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Auxerre\2023\Charlet R2\"/>
    </mc:Choice>
  </mc:AlternateContent>
  <xr:revisionPtr revIDLastSave="0" documentId="13_ncr:1_{D84245A0-9CA3-418D-8601-B1DBA6A25689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0" i="6" l="1"/>
  <c r="I20" i="6" l="1"/>
  <c r="B224" i="1" l="1"/>
  <c r="D224" i="1" s="1"/>
  <c r="B201" i="1"/>
  <c r="B200" i="1"/>
  <c r="B199" i="1"/>
  <c r="B198" i="1"/>
  <c r="B197" i="1"/>
  <c r="B196" i="1"/>
  <c r="B195" i="1"/>
  <c r="B194" i="1"/>
  <c r="B193" i="1"/>
  <c r="B172" i="1"/>
  <c r="D172" i="1" s="1"/>
  <c r="D250" i="1"/>
  <c r="D69" i="1"/>
  <c r="D68" i="1"/>
  <c r="D67" i="1"/>
  <c r="D66" i="1"/>
  <c r="D65" i="1"/>
  <c r="D64" i="1"/>
  <c r="D63" i="1"/>
  <c r="D43" i="1"/>
  <c r="F9" i="1" a="1"/>
  <c r="F9" i="1" s="1"/>
  <c r="F10" i="1" l="1" a="1"/>
  <c r="F10" i="1" s="1"/>
  <c r="F14" i="1" a="1"/>
  <c r="F14" i="1" s="1"/>
  <c r="C19" i="7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C4" i="2"/>
  <c r="GL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P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Q33" i="2"/>
  <c r="J7" i="4" s="1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P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Q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A172" i="2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66" i="2" a="1"/>
  <c r="AH166" i="2" s="1"/>
  <c r="AH199" i="2" a="1"/>
  <c r="AH19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BP203" i="2"/>
  <c r="EC203" i="2"/>
  <c r="EX203" i="2"/>
  <c r="HI203" i="2"/>
  <c r="AH144" i="2" a="1"/>
  <c r="AH144" i="2" s="1"/>
  <c r="AH198" i="2" a="1"/>
  <c r="AH198" i="2" s="1"/>
  <c r="AH146" i="2" a="1"/>
  <c r="AH146" i="2" s="1"/>
  <c r="AH197" i="2" a="1"/>
  <c r="AH197" i="2" s="1"/>
  <c r="AH143" i="2" a="1"/>
  <c r="AH143" i="2" s="1"/>
  <c r="AH201" i="2" a="1"/>
  <c r="AH201" i="2" s="1"/>
  <c r="AH155" i="2" a="1"/>
  <c r="AH155" i="2" s="1"/>
  <c r="AH186" i="2" a="1"/>
  <c r="AH186" i="2" s="1"/>
  <c r="AH140" i="2" a="1"/>
  <c r="AH140" i="2" s="1"/>
  <c r="AH157" i="2" a="1"/>
  <c r="AH157" i="2" s="1"/>
  <c r="AH162" i="2" a="1"/>
  <c r="AH162" i="2" s="1"/>
  <c r="AH89" i="2" a="1"/>
  <c r="AH89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H203" i="2" a="1"/>
  <c r="AH203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104" i="2" a="1"/>
  <c r="AH104" i="2" s="1"/>
  <c r="AH172" i="2" a="1"/>
  <c r="AH172" i="2" s="1"/>
  <c r="AH137" i="2" a="1"/>
  <c r="AH137" i="2" s="1"/>
  <c r="AH135" i="2" a="1"/>
  <c r="AH135" i="2" s="1"/>
  <c r="AH149" i="2" a="1"/>
  <c r="AH149" i="2" s="1"/>
  <c r="AH120" i="2" a="1"/>
  <c r="AH120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189" i="2" a="1"/>
  <c r="AH189" i="2" s="1"/>
  <c r="AH174" i="2" a="1"/>
  <c r="AH174" i="2" s="1"/>
  <c r="AH97" i="2" a="1"/>
  <c r="AH97" i="2" s="1"/>
  <c r="AH87" i="2" a="1"/>
  <c r="AH87" i="2" s="1"/>
  <c r="AH178" i="2" a="1"/>
  <c r="AH178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176" i="2" a="1"/>
  <c r="AH176" i="2" s="1"/>
  <c r="AH133" i="2" a="1"/>
  <c r="AH13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129" i="2" a="1"/>
  <c r="AH129" i="2" s="1"/>
  <c r="AH200" i="2" a="1"/>
  <c r="AH200" i="2" s="1"/>
  <c r="AH86" i="2" a="1"/>
  <c r="AH86" i="2" s="1"/>
  <c r="AH126" i="2" a="1"/>
  <c r="AH126" i="2" s="1"/>
  <c r="AH134" i="2" a="1"/>
  <c r="AH134" i="2" s="1"/>
  <c r="AH165" i="2" a="1"/>
  <c r="AH165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117" i="2" a="1"/>
  <c r="AH117" i="2" s="1"/>
  <c r="AH124" i="2" a="1"/>
  <c r="AH124" i="2" s="1"/>
  <c r="AH196" i="2" a="1"/>
  <c r="AH196" i="2" s="1"/>
  <c r="AH119" i="2" a="1"/>
  <c r="AH119" i="2" s="1"/>
  <c r="AH103" i="2" a="1"/>
  <c r="AH103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128" i="2" a="1"/>
  <c r="AH128" i="2" s="1"/>
  <c r="AH171" i="2" a="1"/>
  <c r="AH171" i="2" s="1"/>
  <c r="AH91" i="2" a="1"/>
  <c r="AH91" i="2" s="1"/>
  <c r="AH121" i="2" a="1"/>
  <c r="AH121" i="2" s="1"/>
  <c r="AH153" i="2" a="1"/>
  <c r="AH153" i="2" s="1"/>
  <c r="AH183" i="2" a="1"/>
  <c r="AH183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l="1"/>
  <c r="D15" i="4" s="1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I16" i="4"/>
  <c r="BE37" i="2"/>
  <c r="BS35" i="2"/>
  <c r="BF36" i="2"/>
  <c r="BG36" i="2" s="1"/>
  <c r="BH36" i="2" s="1"/>
  <c r="GZ3" i="2" l="1"/>
  <c r="C15" i="4" s="1"/>
  <c r="E15" i="4" s="1"/>
  <c r="F15" i="4" s="1"/>
  <c r="G15" i="4" s="1"/>
  <c r="L15" i="4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CD60" i="2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AF13" i="2" l="1"/>
  <c r="AF205" i="2"/>
  <c r="AI12" i="2"/>
  <c r="AJ12" i="2"/>
  <c r="AK12" i="2"/>
  <c r="I62" i="1"/>
  <c r="AG13" i="2" s="1"/>
  <c r="AI13" i="2"/>
  <c r="AJ13" i="2" s="1"/>
  <c r="AK13" i="2" l="1"/>
  <c r="AL13" i="2" s="1"/>
  <c r="AM13" i="2" s="1"/>
  <c r="AL12" i="2"/>
  <c r="AM12" i="2" s="1"/>
  <c r="AI4" i="2"/>
  <c r="AJ4" i="2" s="1"/>
  <c r="AI5" i="2"/>
  <c r="AJ5" i="2" s="1"/>
  <c r="AI6" i="2"/>
  <c r="AJ6" i="2" s="1"/>
  <c r="AI7" i="2"/>
  <c r="AJ7" i="2" s="1"/>
  <c r="AI8" i="2"/>
  <c r="AJ8" i="2" s="1"/>
  <c r="AI9" i="2"/>
  <c r="AJ9" i="2" s="1"/>
  <c r="AI10" i="2"/>
  <c r="AJ10" i="2" s="1"/>
  <c r="AI11" i="2"/>
  <c r="AJ11" i="2" s="1"/>
  <c r="AK11" i="2" l="1"/>
  <c r="AL11" i="2" s="1"/>
  <c r="AM11" i="2" s="1"/>
  <c r="AK10" i="2"/>
  <c r="AL10" i="2" s="1"/>
  <c r="AM10" i="2" s="1"/>
  <c r="AK9" i="2"/>
  <c r="AL9" i="2" s="1"/>
  <c r="AM9" i="2" s="1"/>
  <c r="AK8" i="2"/>
  <c r="AL8" i="2" s="1"/>
  <c r="AM8" i="2" s="1"/>
  <c r="AK7" i="2"/>
  <c r="AL7" i="2" s="1"/>
  <c r="AM7" i="2" s="1"/>
  <c r="AK6" i="2"/>
  <c r="AL6" i="2" s="1"/>
  <c r="AM6" i="2" s="1"/>
  <c r="AK5" i="2"/>
  <c r="AL5" i="2" s="1"/>
  <c r="AM5" i="2" s="1"/>
  <c r="AK4" i="2"/>
  <c r="AL4" i="2" s="1"/>
  <c r="AM4" i="2" s="1"/>
  <c r="I63" i="1"/>
  <c r="AG23" i="2" s="1"/>
  <c r="AF23" i="2"/>
  <c r="AF33" i="2"/>
  <c r="I64" i="1"/>
  <c r="AG33" i="2"/>
  <c r="I65" i="1"/>
  <c r="AG43" i="2" s="1"/>
  <c r="AF43" i="2"/>
  <c r="AF53" i="2"/>
  <c r="I66" i="1"/>
  <c r="AG53" i="2"/>
  <c r="I67" i="1"/>
  <c r="AG63" i="2" s="1"/>
  <c r="AF63" i="2"/>
  <c r="AF73" i="2"/>
  <c r="I69" i="1"/>
  <c r="AG83" i="2"/>
  <c r="AH78" i="2" a="1"/>
  <c r="AH78" i="2" s="1"/>
  <c r="I68" i="1"/>
  <c r="AG73" i="2"/>
  <c r="AH14" i="2" a="1"/>
  <c r="AH14" i="2" s="1"/>
  <c r="AI14" i="2"/>
  <c r="AJ14" i="2" s="1"/>
  <c r="AK14" i="2" l="1"/>
  <c r="AL14" i="2" s="1"/>
  <c r="AM14" i="2" s="1"/>
  <c r="AH62" i="2" a="1"/>
  <c r="AH62" i="2" s="1"/>
  <c r="AH56" i="2" a="1"/>
  <c r="AH56" i="2" s="1"/>
  <c r="AH63" i="2" a="1"/>
  <c r="AH63" i="2" s="1"/>
  <c r="AH55" i="2" a="1"/>
  <c r="AH55" i="2" s="1"/>
  <c r="AH54" i="2" a="1"/>
  <c r="AH54" i="2" s="1"/>
  <c r="AH57" i="2" a="1"/>
  <c r="AH57" i="2" s="1"/>
  <c r="AH60" i="2" a="1"/>
  <c r="AH60" i="2" s="1"/>
  <c r="AH61" i="2" a="1"/>
  <c r="AH61" i="2" s="1"/>
  <c r="AH58" i="2" a="1"/>
  <c r="AH58" i="2" s="1"/>
  <c r="AH59" i="2" a="1"/>
  <c r="AH59" i="2" s="1"/>
  <c r="AH37" i="2" a="1"/>
  <c r="AH37" i="2" s="1"/>
  <c r="AH38" i="2" a="1"/>
  <c r="AH38" i="2" s="1"/>
  <c r="AH39" i="2" a="1"/>
  <c r="AH39" i="2" s="1"/>
  <c r="AH35" i="2" a="1"/>
  <c r="AH35" i="2" s="1"/>
  <c r="AH34" i="2" a="1"/>
  <c r="AH34" i="2" s="1"/>
  <c r="AH40" i="2" a="1"/>
  <c r="AH40" i="2" s="1"/>
  <c r="AH41" i="2" a="1"/>
  <c r="AH41" i="2" s="1"/>
  <c r="AH43" i="2" a="1"/>
  <c r="AH43" i="2" s="1"/>
  <c r="AH42" i="2" a="1"/>
  <c r="AH42" i="2" s="1"/>
  <c r="AH36" i="2" a="1"/>
  <c r="AH36" i="2" s="1"/>
  <c r="AH19" i="2" a="1"/>
  <c r="AH19" i="2" s="1"/>
  <c r="AH17" i="2" a="1"/>
  <c r="AH17" i="2" s="1"/>
  <c r="AH21" i="2" a="1"/>
  <c r="AH21" i="2" s="1"/>
  <c r="AH23" i="2" a="1"/>
  <c r="AH23" i="2" s="1"/>
  <c r="AH15" i="2" a="1"/>
  <c r="AH15" i="2" s="1"/>
  <c r="AI15" i="2" s="1"/>
  <c r="AH20" i="2" a="1"/>
  <c r="AH20" i="2" s="1"/>
  <c r="AH16" i="2" a="1"/>
  <c r="AH16" i="2" s="1"/>
  <c r="AH18" i="2" a="1"/>
  <c r="AH18" i="2" s="1"/>
  <c r="AH22" i="2" a="1"/>
  <c r="AH22" i="2" s="1"/>
  <c r="AH4" i="2" a="1"/>
  <c r="AH4" i="2" s="1"/>
  <c r="AH5" i="2" a="1"/>
  <c r="AH5" i="2" s="1"/>
  <c r="AH6" i="2" a="1"/>
  <c r="AH6" i="2" s="1"/>
  <c r="AH9" i="2" a="1"/>
  <c r="AH9" i="2" s="1"/>
  <c r="AH11" i="2" a="1"/>
  <c r="AH11" i="2" s="1"/>
  <c r="AH7" i="2" a="1"/>
  <c r="AH7" i="2" s="1"/>
  <c r="AH12" i="2" a="1"/>
  <c r="AH12" i="2" s="1"/>
  <c r="AH10" i="2" a="1"/>
  <c r="AH10" i="2" s="1"/>
  <c r="AH13" i="2" a="1"/>
  <c r="AH13" i="2" s="1"/>
  <c r="AH8" i="2" a="1"/>
  <c r="AH8" i="2" s="1"/>
  <c r="AH32" i="2" a="1"/>
  <c r="AH32" i="2" s="1"/>
  <c r="AH29" i="2" a="1"/>
  <c r="AH29" i="2" s="1"/>
  <c r="AH26" i="2" a="1"/>
  <c r="AH26" i="2" s="1"/>
  <c r="AH30" i="2" a="1"/>
  <c r="AH30" i="2" s="1"/>
  <c r="AH33" i="2" a="1"/>
  <c r="AH33" i="2" s="1"/>
  <c r="AH27" i="2" a="1"/>
  <c r="AH27" i="2" s="1"/>
  <c r="AH31" i="2" a="1"/>
  <c r="AH31" i="2" s="1"/>
  <c r="AH25" i="2" a="1"/>
  <c r="AH25" i="2" s="1"/>
  <c r="AH24" i="2" a="1"/>
  <c r="AH24" i="2" s="1"/>
  <c r="AH28" i="2" a="1"/>
  <c r="AH28" i="2" s="1"/>
  <c r="AH46" i="2" a="1"/>
  <c r="AH46" i="2" s="1"/>
  <c r="AH51" i="2" a="1"/>
  <c r="AH51" i="2" s="1"/>
  <c r="AH44" i="2" a="1"/>
  <c r="AH44" i="2" s="1"/>
  <c r="AH50" i="2" a="1"/>
  <c r="AH50" i="2" s="1"/>
  <c r="AH52" i="2" a="1"/>
  <c r="AH52" i="2" s="1"/>
  <c r="AH45" i="2" a="1"/>
  <c r="AH45" i="2" s="1"/>
  <c r="AH47" i="2" a="1"/>
  <c r="AH47" i="2" s="1"/>
  <c r="AH48" i="2" a="1"/>
  <c r="AH48" i="2" s="1"/>
  <c r="AH53" i="2" a="1"/>
  <c r="AH53" i="2" s="1"/>
  <c r="AH49" i="2" a="1"/>
  <c r="AH49" i="2" s="1"/>
  <c r="AH73" i="2" a="1"/>
  <c r="AH73" i="2" s="1"/>
  <c r="AH64" i="2" a="1"/>
  <c r="AH64" i="2" s="1"/>
  <c r="AH67" i="2" a="1"/>
  <c r="AH67" i="2" s="1"/>
  <c r="AH72" i="2" a="1"/>
  <c r="AH72" i="2" s="1"/>
  <c r="AH65" i="2" a="1"/>
  <c r="AH65" i="2" s="1"/>
  <c r="AH71" i="2" a="1"/>
  <c r="AH71" i="2" s="1"/>
  <c r="AH66" i="2" a="1"/>
  <c r="AH66" i="2" s="1"/>
  <c r="AH69" i="2" a="1"/>
  <c r="AH69" i="2" s="1"/>
  <c r="AH68" i="2" a="1"/>
  <c r="AH68" i="2" s="1"/>
  <c r="AH70" i="2" a="1"/>
  <c r="AH70" i="2" s="1"/>
  <c r="AH79" i="2" a="1"/>
  <c r="AH79" i="2" s="1"/>
  <c r="AH83" i="2" a="1"/>
  <c r="AH83" i="2" s="1"/>
  <c r="AH81" i="2" a="1"/>
  <c r="AH81" i="2" s="1"/>
  <c r="AH77" i="2" a="1"/>
  <c r="AH77" i="2" s="1"/>
  <c r="AH75" i="2" a="1"/>
  <c r="AH75" i="2" s="1"/>
  <c r="AH82" i="2" a="1"/>
  <c r="AH82" i="2" s="1"/>
  <c r="AH74" i="2" a="1"/>
  <c r="AH74" i="2" s="1"/>
  <c r="AH76" i="2" a="1"/>
  <c r="AH76" i="2" s="1"/>
  <c r="AH80" i="2" a="1"/>
  <c r="AH80" i="2" s="1"/>
  <c r="AJ15" i="2" l="1"/>
  <c r="AI16" i="2"/>
  <c r="AJ16" i="2" l="1"/>
  <c r="AI17" i="2"/>
  <c r="AK15" i="2"/>
  <c r="AL15" i="2" s="1"/>
  <c r="AM15" i="2" s="1"/>
  <c r="AJ17" i="2" l="1"/>
  <c r="AI18" i="2"/>
  <c r="AK16" i="2"/>
  <c r="AL16" i="2" s="1"/>
  <c r="AM16" i="2" s="1"/>
  <c r="AJ18" i="2" l="1"/>
  <c r="AI19" i="2"/>
  <c r="AK17" i="2"/>
  <c r="AL17" i="2" s="1"/>
  <c r="AM17" i="2" s="1"/>
  <c r="AJ19" i="2" l="1"/>
  <c r="AI20" i="2"/>
  <c r="AK18" i="2"/>
  <c r="AL18" i="2" s="1"/>
  <c r="AM18" i="2" s="1"/>
  <c r="AJ20" i="2" l="1"/>
  <c r="AI21" i="2"/>
  <c r="AK19" i="2"/>
  <c r="AL19" i="2" s="1"/>
  <c r="AM19" i="2" s="1"/>
  <c r="AJ21" i="2" l="1"/>
  <c r="AI22" i="2"/>
  <c r="AK20" i="2"/>
  <c r="AL20" i="2" s="1"/>
  <c r="AM20" i="2" s="1"/>
  <c r="AJ22" i="2" l="1"/>
  <c r="AI23" i="2"/>
  <c r="AK21" i="2"/>
  <c r="AL21" i="2" s="1"/>
  <c r="AM21" i="2" s="1"/>
  <c r="AJ23" i="2" l="1"/>
  <c r="AI24" i="2"/>
  <c r="AK22" i="2"/>
  <c r="AL22" i="2" s="1"/>
  <c r="AM22" i="2" s="1"/>
  <c r="AJ24" i="2" l="1"/>
  <c r="AI25" i="2"/>
  <c r="AK23" i="2"/>
  <c r="AL23" i="2" s="1"/>
  <c r="AM23" i="2" s="1"/>
  <c r="AJ25" i="2" l="1"/>
  <c r="AI26" i="2"/>
  <c r="AK24" i="2"/>
  <c r="AL24" i="2" s="1"/>
  <c r="AM24" i="2" s="1"/>
  <c r="AJ26" i="2" l="1"/>
  <c r="AI27" i="2"/>
  <c r="AK25" i="2"/>
  <c r="AL25" i="2" s="1"/>
  <c r="AM25" i="2" s="1"/>
  <c r="AJ27" i="2" l="1"/>
  <c r="AI28" i="2"/>
  <c r="AK26" i="2"/>
  <c r="AL26" i="2" s="1"/>
  <c r="AM26" i="2" s="1"/>
  <c r="AJ28" i="2" l="1"/>
  <c r="AI29" i="2"/>
  <c r="AK27" i="2"/>
  <c r="AL27" i="2" s="1"/>
  <c r="AM27" i="2" s="1"/>
  <c r="AJ29" i="2" l="1"/>
  <c r="AI30" i="2"/>
  <c r="AK28" i="2"/>
  <c r="AL28" i="2" s="1"/>
  <c r="AM28" i="2" s="1"/>
  <c r="AJ30" i="2" l="1"/>
  <c r="AI31" i="2"/>
  <c r="AK29" i="2"/>
  <c r="AL29" i="2" s="1"/>
  <c r="AM29" i="2" s="1"/>
  <c r="AJ31" i="2" l="1"/>
  <c r="AI32" i="2"/>
  <c r="AK30" i="2"/>
  <c r="AL30" i="2" s="1"/>
  <c r="AM30" i="2" s="1"/>
  <c r="AJ32" i="2" l="1"/>
  <c r="AI33" i="2"/>
  <c r="AK31" i="2"/>
  <c r="AL31" i="2" s="1"/>
  <c r="AM31" i="2" s="1"/>
  <c r="AJ33" i="2" l="1"/>
  <c r="AI34" i="2"/>
  <c r="AK32" i="2"/>
  <c r="AL32" i="2" s="1"/>
  <c r="AM32" i="2" s="1"/>
  <c r="AJ34" i="2" l="1"/>
  <c r="AI35" i="2"/>
  <c r="AK33" i="2"/>
  <c r="AL33" i="2" s="1"/>
  <c r="AM33" i="2" s="1"/>
  <c r="AO3" i="2" l="1"/>
  <c r="AJ35" i="2"/>
  <c r="AI36" i="2"/>
  <c r="AK34" i="2"/>
  <c r="AL34" i="2" s="1"/>
  <c r="AM34" i="2" s="1"/>
  <c r="D7" i="4" l="1"/>
  <c r="AO112" i="2"/>
  <c r="AO16" i="2"/>
  <c r="AO151" i="2"/>
  <c r="AO87" i="2"/>
  <c r="AO23" i="2"/>
  <c r="AO158" i="2"/>
  <c r="AO94" i="2"/>
  <c r="AO30" i="2"/>
  <c r="AO165" i="2"/>
  <c r="AO182" i="2"/>
  <c r="AO117" i="2"/>
  <c r="AO37" i="2"/>
  <c r="AO108" i="2"/>
  <c r="AO5" i="2"/>
  <c r="AO92" i="2"/>
  <c r="AO171" i="2"/>
  <c r="AO107" i="2"/>
  <c r="AO43" i="2"/>
  <c r="AO202" i="2"/>
  <c r="AO138" i="2"/>
  <c r="AO74" i="2"/>
  <c r="AO184" i="2"/>
  <c r="AO177" i="2"/>
  <c r="AO113" i="2"/>
  <c r="AO49" i="2"/>
  <c r="AO104" i="2"/>
  <c r="AO8" i="2"/>
  <c r="AO143" i="2"/>
  <c r="AO79" i="2"/>
  <c r="AO9" i="2"/>
  <c r="AO150" i="2"/>
  <c r="AO86" i="2"/>
  <c r="AO22" i="2"/>
  <c r="AO149" i="2"/>
  <c r="AO14" i="2"/>
  <c r="AO109" i="2"/>
  <c r="AO29" i="2"/>
  <c r="AO84" i="2"/>
  <c r="AO188" i="2"/>
  <c r="AO76" i="2"/>
  <c r="AO163" i="2"/>
  <c r="AO99" i="2"/>
  <c r="AO35" i="2"/>
  <c r="AO194" i="2"/>
  <c r="AO130" i="2"/>
  <c r="AO66" i="2"/>
  <c r="AO152" i="2"/>
  <c r="AO169" i="2"/>
  <c r="AO105" i="2"/>
  <c r="AO41" i="2"/>
  <c r="AO80" i="2"/>
  <c r="AO199" i="2"/>
  <c r="AO135" i="2"/>
  <c r="AO71" i="2"/>
  <c r="AO144" i="2"/>
  <c r="AO142" i="2"/>
  <c r="AO78" i="2"/>
  <c r="AO168" i="2"/>
  <c r="AO125" i="2"/>
  <c r="AO197" i="2"/>
  <c r="AO93" i="2"/>
  <c r="AO13" i="2"/>
  <c r="AO68" i="2"/>
  <c r="AO172" i="2"/>
  <c r="AO52" i="2"/>
  <c r="AO155" i="2"/>
  <c r="AO91" i="2"/>
  <c r="AO27" i="2"/>
  <c r="AO186" i="2"/>
  <c r="AO122" i="2"/>
  <c r="AO58" i="2"/>
  <c r="AO96" i="2"/>
  <c r="AO161" i="2"/>
  <c r="AO97" i="2"/>
  <c r="AO33" i="2"/>
  <c r="AO72" i="2"/>
  <c r="AO191" i="2"/>
  <c r="AO127" i="2"/>
  <c r="AO63" i="2"/>
  <c r="AO88" i="2"/>
  <c r="AO134" i="2"/>
  <c r="AO70" i="2"/>
  <c r="AO120" i="2"/>
  <c r="AO101" i="2"/>
  <c r="AO181" i="2"/>
  <c r="AO85" i="2"/>
  <c r="AO196" i="2"/>
  <c r="AO60" i="2"/>
  <c r="AO164" i="2"/>
  <c r="AO12" i="2"/>
  <c r="AO147" i="2"/>
  <c r="AO83" i="2"/>
  <c r="AO19" i="2"/>
  <c r="AO178" i="2"/>
  <c r="AO114" i="2"/>
  <c r="AO50" i="2"/>
  <c r="AO4" i="2"/>
  <c r="AO153" i="2"/>
  <c r="AO89" i="2"/>
  <c r="AO25" i="2"/>
  <c r="AO17" i="2"/>
  <c r="AO64" i="2"/>
  <c r="AO183" i="2"/>
  <c r="AO119" i="2"/>
  <c r="AO55" i="2"/>
  <c r="AO15" i="2"/>
  <c r="AO126" i="2"/>
  <c r="AO62" i="2"/>
  <c r="AO48" i="2"/>
  <c r="AO69" i="2"/>
  <c r="AO173" i="2"/>
  <c r="AO77" i="2"/>
  <c r="AO180" i="2"/>
  <c r="AO44" i="2"/>
  <c r="AO148" i="2"/>
  <c r="AO203" i="2"/>
  <c r="AO139" i="2"/>
  <c r="AO75" i="2"/>
  <c r="AO192" i="2"/>
  <c r="AO170" i="2"/>
  <c r="AO106" i="2"/>
  <c r="AO42" i="2"/>
  <c r="AO10" i="2"/>
  <c r="AO145" i="2"/>
  <c r="AO81" i="2"/>
  <c r="AO176" i="2"/>
  <c r="AO40" i="2"/>
  <c r="AO175" i="2"/>
  <c r="AO111" i="2"/>
  <c r="AO47" i="2"/>
  <c r="AO190" i="2"/>
  <c r="AO118" i="2"/>
  <c r="AO54" i="2"/>
  <c r="AO198" i="2"/>
  <c r="AO21" i="2"/>
  <c r="AO157" i="2"/>
  <c r="AO61" i="2"/>
  <c r="AO156" i="2"/>
  <c r="AO36" i="2"/>
  <c r="AO132" i="2"/>
  <c r="AO195" i="2"/>
  <c r="AO131" i="2"/>
  <c r="AO67" i="2"/>
  <c r="AO136" i="2"/>
  <c r="AO162" i="2"/>
  <c r="AO98" i="2"/>
  <c r="AO34" i="2"/>
  <c r="AO201" i="2"/>
  <c r="AO137" i="2"/>
  <c r="AO73" i="2"/>
  <c r="AO160" i="2"/>
  <c r="AO32" i="2"/>
  <c r="AO167" i="2"/>
  <c r="AO103" i="2"/>
  <c r="AO39" i="2"/>
  <c r="AO174" i="2"/>
  <c r="AO110" i="2"/>
  <c r="AO46" i="2"/>
  <c r="AO6" i="2"/>
  <c r="AO200" i="2"/>
  <c r="AO141" i="2"/>
  <c r="AO53" i="2"/>
  <c r="AO140" i="2"/>
  <c r="AO28" i="2"/>
  <c r="AO116" i="2"/>
  <c r="AO187" i="2"/>
  <c r="AO123" i="2"/>
  <c r="AO59" i="2"/>
  <c r="AO56" i="2"/>
  <c r="AO154" i="2"/>
  <c r="AO90" i="2"/>
  <c r="AO26" i="2"/>
  <c r="AO193" i="2"/>
  <c r="AO129" i="2"/>
  <c r="AO65" i="2"/>
  <c r="AO128" i="2"/>
  <c r="AO24" i="2"/>
  <c r="AO159" i="2"/>
  <c r="AO95" i="2"/>
  <c r="AO31" i="2"/>
  <c r="AO166" i="2"/>
  <c r="AO102" i="2"/>
  <c r="AO38" i="2"/>
  <c r="AO189" i="2"/>
  <c r="AO7" i="2"/>
  <c r="AO133" i="2"/>
  <c r="AO45" i="2"/>
  <c r="AO124" i="2"/>
  <c r="AO20" i="2"/>
  <c r="AO100" i="2"/>
  <c r="AO179" i="2"/>
  <c r="AO115" i="2"/>
  <c r="AO51" i="2"/>
  <c r="AO11" i="2"/>
  <c r="AO146" i="2"/>
  <c r="AO82" i="2"/>
  <c r="AO18" i="2"/>
  <c r="AO185" i="2"/>
  <c r="AO121" i="2"/>
  <c r="AO57" i="2"/>
  <c r="AJ36" i="2"/>
  <c r="AI37" i="2"/>
  <c r="AK35" i="2"/>
  <c r="AL35" i="2" s="1"/>
  <c r="AM35" i="2" s="1"/>
  <c r="AJ37" i="2" l="1"/>
  <c r="AI38" i="2"/>
  <c r="AK36" i="2"/>
  <c r="AL36" i="2" s="1"/>
  <c r="AM36" i="2" s="1"/>
  <c r="AJ38" i="2" l="1"/>
  <c r="AI39" i="2"/>
  <c r="AK37" i="2"/>
  <c r="AL37" i="2" s="1"/>
  <c r="AM37" i="2" s="1"/>
  <c r="AJ39" i="2" l="1"/>
  <c r="AI40" i="2"/>
  <c r="AK38" i="2"/>
  <c r="AL38" i="2" s="1"/>
  <c r="AM38" i="2" s="1"/>
  <c r="AJ40" i="2" l="1"/>
  <c r="AI41" i="2"/>
  <c r="AK39" i="2"/>
  <c r="AL39" i="2" s="1"/>
  <c r="AM39" i="2" s="1"/>
  <c r="AJ41" i="2" l="1"/>
  <c r="AI42" i="2"/>
  <c r="AK40" i="2"/>
  <c r="AL40" i="2" s="1"/>
  <c r="AM40" i="2" s="1"/>
  <c r="AJ42" i="2" l="1"/>
  <c r="AI43" i="2"/>
  <c r="AK41" i="2"/>
  <c r="AL41" i="2" s="1"/>
  <c r="AM41" i="2" s="1"/>
  <c r="AJ43" i="2" l="1"/>
  <c r="AI44" i="2"/>
  <c r="AK42" i="2"/>
  <c r="AL42" i="2" s="1"/>
  <c r="AM42" i="2" s="1"/>
  <c r="AJ44" i="2" l="1"/>
  <c r="AI45" i="2"/>
  <c r="AK43" i="2"/>
  <c r="AL43" i="2" s="1"/>
  <c r="AM43" i="2" s="1"/>
  <c r="AJ45" i="2" l="1"/>
  <c r="AI46" i="2"/>
  <c r="AK44" i="2"/>
  <c r="AL44" i="2" s="1"/>
  <c r="AM44" i="2" s="1"/>
  <c r="AJ46" i="2" l="1"/>
  <c r="AI47" i="2"/>
  <c r="AK45" i="2"/>
  <c r="AL45" i="2" s="1"/>
  <c r="AM45" i="2" s="1"/>
  <c r="AJ47" i="2" l="1"/>
  <c r="AI48" i="2"/>
  <c r="AK46" i="2"/>
  <c r="AL46" i="2" s="1"/>
  <c r="AM46" i="2" s="1"/>
  <c r="AJ48" i="2" l="1"/>
  <c r="AI49" i="2"/>
  <c r="AK47" i="2"/>
  <c r="AL47" i="2" s="1"/>
  <c r="AM47" i="2" s="1"/>
  <c r="AJ49" i="2" l="1"/>
  <c r="AI50" i="2"/>
  <c r="AK48" i="2"/>
  <c r="AL48" i="2" s="1"/>
  <c r="AM48" i="2" s="1"/>
  <c r="AJ50" i="2" l="1"/>
  <c r="AI51" i="2"/>
  <c r="AK49" i="2"/>
  <c r="AL49" i="2" s="1"/>
  <c r="AM49" i="2" s="1"/>
  <c r="AJ51" i="2" l="1"/>
  <c r="AI52" i="2"/>
  <c r="AK50" i="2"/>
  <c r="AL50" i="2" s="1"/>
  <c r="AM50" i="2" s="1"/>
  <c r="AJ52" i="2" l="1"/>
  <c r="AI53" i="2"/>
  <c r="AK51" i="2"/>
  <c r="AL51" i="2" s="1"/>
  <c r="AM51" i="2" s="1"/>
  <c r="AJ53" i="2" l="1"/>
  <c r="AI54" i="2"/>
  <c r="AK52" i="2"/>
  <c r="AL52" i="2" s="1"/>
  <c r="AM52" i="2" s="1"/>
  <c r="AJ54" i="2" l="1"/>
  <c r="AI55" i="2"/>
  <c r="AK53" i="2"/>
  <c r="AL53" i="2" s="1"/>
  <c r="AM53" i="2" s="1"/>
  <c r="AJ55" i="2" l="1"/>
  <c r="AI56" i="2"/>
  <c r="AK54" i="2"/>
  <c r="AL54" i="2" s="1"/>
  <c r="AM54" i="2" s="1"/>
  <c r="AJ56" i="2" l="1"/>
  <c r="AI57" i="2"/>
  <c r="AK55" i="2"/>
  <c r="AL55" i="2" s="1"/>
  <c r="AM55" i="2" s="1"/>
  <c r="AJ57" i="2" l="1"/>
  <c r="AI58" i="2"/>
  <c r="AK56" i="2"/>
  <c r="AL56" i="2" s="1"/>
  <c r="AM56" i="2" s="1"/>
  <c r="AJ58" i="2" l="1"/>
  <c r="AI59" i="2"/>
  <c r="AK57" i="2"/>
  <c r="AL57" i="2" s="1"/>
  <c r="AM57" i="2" s="1"/>
  <c r="AJ59" i="2" l="1"/>
  <c r="AI60" i="2"/>
  <c r="AK58" i="2"/>
  <c r="AL58" i="2" s="1"/>
  <c r="AM58" i="2" s="1"/>
  <c r="AJ60" i="2" l="1"/>
  <c r="AI61" i="2"/>
  <c r="AK59" i="2"/>
  <c r="AL59" i="2" s="1"/>
  <c r="AM59" i="2" s="1"/>
  <c r="AJ61" i="2" l="1"/>
  <c r="AI62" i="2"/>
  <c r="AK60" i="2"/>
  <c r="AL60" i="2" s="1"/>
  <c r="AM60" i="2" s="1"/>
  <c r="AJ62" i="2" l="1"/>
  <c r="AI63" i="2"/>
  <c r="AK61" i="2"/>
  <c r="AL61" i="2" s="1"/>
  <c r="AM61" i="2" s="1"/>
  <c r="AJ63" i="2" l="1"/>
  <c r="AI64" i="2"/>
  <c r="AK62" i="2"/>
  <c r="AL62" i="2" s="1"/>
  <c r="AM62" i="2" s="1"/>
  <c r="AJ64" i="2" l="1"/>
  <c r="AI65" i="2"/>
  <c r="AK63" i="2"/>
  <c r="AL63" i="2" s="1"/>
  <c r="AM63" i="2" s="1"/>
  <c r="AJ65" i="2" l="1"/>
  <c r="AI66" i="2"/>
  <c r="AK64" i="2"/>
  <c r="AL64" i="2" s="1"/>
  <c r="AM64" i="2" s="1"/>
  <c r="AJ66" i="2" l="1"/>
  <c r="AI67" i="2"/>
  <c r="AK65" i="2"/>
  <c r="AL65" i="2" s="1"/>
  <c r="AM65" i="2" s="1"/>
  <c r="AJ67" i="2" l="1"/>
  <c r="AI68" i="2"/>
  <c r="AK66" i="2"/>
  <c r="AL66" i="2" s="1"/>
  <c r="AM66" i="2" s="1"/>
  <c r="AJ68" i="2" l="1"/>
  <c r="AI69" i="2"/>
  <c r="AK67" i="2"/>
  <c r="AL67" i="2" s="1"/>
  <c r="AM67" i="2" s="1"/>
  <c r="AJ69" i="2" l="1"/>
  <c r="AI70" i="2"/>
  <c r="AK68" i="2"/>
  <c r="AL68" i="2" s="1"/>
  <c r="AM68" i="2" s="1"/>
  <c r="AJ70" i="2" l="1"/>
  <c r="AI71" i="2"/>
  <c r="AK69" i="2"/>
  <c r="AL69" i="2" s="1"/>
  <c r="AM69" i="2" s="1"/>
  <c r="AJ71" i="2" l="1"/>
  <c r="AI72" i="2"/>
  <c r="AK70" i="2"/>
  <c r="AL70" i="2" s="1"/>
  <c r="AM70" i="2" s="1"/>
  <c r="AJ72" i="2" l="1"/>
  <c r="AI73" i="2"/>
  <c r="AK71" i="2"/>
  <c r="AL71" i="2" s="1"/>
  <c r="AM71" i="2" s="1"/>
  <c r="AJ73" i="2" l="1"/>
  <c r="AI74" i="2"/>
  <c r="AK72" i="2"/>
  <c r="AL72" i="2" s="1"/>
  <c r="AM72" i="2" s="1"/>
  <c r="AJ74" i="2" l="1"/>
  <c r="AI75" i="2"/>
  <c r="AK73" i="2"/>
  <c r="AL73" i="2" s="1"/>
  <c r="AM73" i="2" s="1"/>
  <c r="AJ75" i="2" l="1"/>
  <c r="AI76" i="2"/>
  <c r="AK74" i="2"/>
  <c r="AL74" i="2" s="1"/>
  <c r="AM74" i="2" s="1"/>
  <c r="AJ76" i="2" l="1"/>
  <c r="AI77" i="2"/>
  <c r="AK75" i="2"/>
  <c r="AL75" i="2" s="1"/>
  <c r="AM75" i="2" s="1"/>
  <c r="AJ77" i="2" l="1"/>
  <c r="AI78" i="2"/>
  <c r="AK76" i="2"/>
  <c r="AL76" i="2" s="1"/>
  <c r="AM76" i="2" s="1"/>
  <c r="AJ78" i="2" l="1"/>
  <c r="AI79" i="2"/>
  <c r="AK77" i="2"/>
  <c r="AL77" i="2" s="1"/>
  <c r="AM77" i="2" s="1"/>
  <c r="AJ79" i="2" l="1"/>
  <c r="AI80" i="2"/>
  <c r="AK78" i="2"/>
  <c r="AL78" i="2" s="1"/>
  <c r="AM78" i="2" s="1"/>
  <c r="AJ80" i="2" l="1"/>
  <c r="AI81" i="2"/>
  <c r="AK79" i="2"/>
  <c r="AL79" i="2" s="1"/>
  <c r="AM79" i="2" s="1"/>
  <c r="AJ81" i="2" l="1"/>
  <c r="AI82" i="2"/>
  <c r="AK80" i="2"/>
  <c r="AL80" i="2" s="1"/>
  <c r="AM80" i="2" s="1"/>
  <c r="AJ82" i="2" l="1"/>
  <c r="AI83" i="2"/>
  <c r="AK81" i="2"/>
  <c r="AL81" i="2" s="1"/>
  <c r="AM81" i="2" s="1"/>
  <c r="AJ83" i="2" l="1"/>
  <c r="AI84" i="2"/>
  <c r="AK82" i="2"/>
  <c r="AL82" i="2" s="1"/>
  <c r="AM82" i="2" s="1"/>
  <c r="AJ84" i="2" l="1"/>
  <c r="AI85" i="2"/>
  <c r="AK83" i="2"/>
  <c r="AL83" i="2" s="1"/>
  <c r="AM83" i="2" s="1"/>
  <c r="AN50" i="2" l="1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85" i="2"/>
  <c r="AI86" i="2"/>
  <c r="AK84" i="2"/>
  <c r="AL84" i="2" s="1"/>
  <c r="AM84" i="2" s="1"/>
  <c r="G7" i="4" l="1"/>
  <c r="F16" i="4"/>
  <c r="AJ86" i="2"/>
  <c r="AI87" i="2"/>
  <c r="AK85" i="2"/>
  <c r="AL85" i="2" s="1"/>
  <c r="AM85" i="2" s="1"/>
  <c r="L7" i="4" l="1"/>
  <c r="L16" i="4" s="1"/>
  <c r="G16" i="4"/>
  <c r="AJ87" i="2"/>
  <c r="AI88" i="2"/>
  <c r="AK86" i="2"/>
  <c r="AL86" i="2" s="1"/>
  <c r="AM86" i="2" s="1"/>
  <c r="AJ88" i="2" l="1"/>
  <c r="AI89" i="2"/>
  <c r="AK87" i="2"/>
  <c r="AL87" i="2" s="1"/>
  <c r="AM87" i="2" s="1"/>
  <c r="AJ89" i="2" l="1"/>
  <c r="AI90" i="2"/>
  <c r="AK88" i="2"/>
  <c r="AL88" i="2" s="1"/>
  <c r="AM88" i="2" s="1"/>
  <c r="AJ90" i="2" l="1"/>
  <c r="AI91" i="2"/>
  <c r="AK89" i="2"/>
  <c r="AL89" i="2" s="1"/>
  <c r="AM89" i="2" s="1"/>
  <c r="AJ91" i="2" l="1"/>
  <c r="AI92" i="2"/>
  <c r="AK90" i="2"/>
  <c r="AL90" i="2" s="1"/>
  <c r="AM90" i="2" s="1"/>
  <c r="AJ92" i="2" l="1"/>
  <c r="AI93" i="2"/>
  <c r="AK91" i="2"/>
  <c r="AL91" i="2" s="1"/>
  <c r="AM91" i="2" s="1"/>
  <c r="AJ93" i="2" l="1"/>
  <c r="AI94" i="2"/>
  <c r="AK92" i="2"/>
  <c r="AL92" i="2" s="1"/>
  <c r="AM92" i="2" s="1"/>
  <c r="AJ94" i="2" l="1"/>
  <c r="AI95" i="2"/>
  <c r="AK93" i="2"/>
  <c r="AL93" i="2" s="1"/>
  <c r="AM93" i="2" s="1"/>
  <c r="AJ95" i="2" l="1"/>
  <c r="AI96" i="2"/>
  <c r="AK94" i="2"/>
  <c r="AL94" i="2" s="1"/>
  <c r="AM94" i="2" s="1"/>
  <c r="AJ96" i="2" l="1"/>
  <c r="AI97" i="2"/>
  <c r="AK95" i="2"/>
  <c r="AL95" i="2" s="1"/>
  <c r="AM95" i="2" s="1"/>
  <c r="AJ97" i="2" l="1"/>
  <c r="AI98" i="2"/>
  <c r="AK96" i="2"/>
  <c r="AL96" i="2" s="1"/>
  <c r="AM96" i="2" s="1"/>
  <c r="AJ98" i="2" l="1"/>
  <c r="AI99" i="2"/>
  <c r="AK97" i="2"/>
  <c r="AL97" i="2" s="1"/>
  <c r="AM97" i="2" s="1"/>
  <c r="AJ99" i="2" l="1"/>
  <c r="AI100" i="2"/>
  <c r="AK98" i="2"/>
  <c r="AL98" i="2" s="1"/>
  <c r="AM98" i="2" s="1"/>
  <c r="AJ100" i="2" l="1"/>
  <c r="AI101" i="2"/>
  <c r="AK99" i="2"/>
  <c r="AL99" i="2" s="1"/>
  <c r="AM99" i="2" s="1"/>
  <c r="AJ101" i="2" l="1"/>
  <c r="AI102" i="2"/>
  <c r="AK100" i="2"/>
  <c r="AL100" i="2" s="1"/>
  <c r="AM100" i="2" s="1"/>
  <c r="AJ102" i="2" l="1"/>
  <c r="AI103" i="2"/>
  <c r="AK101" i="2"/>
  <c r="AL101" i="2" s="1"/>
  <c r="AM101" i="2" s="1"/>
  <c r="AJ103" i="2" l="1"/>
  <c r="AI104" i="2"/>
  <c r="AK102" i="2"/>
  <c r="AL102" i="2" s="1"/>
  <c r="AM102" i="2" s="1"/>
  <c r="AJ104" i="2" l="1"/>
  <c r="AI105" i="2"/>
  <c r="AK103" i="2"/>
  <c r="AL103" i="2" s="1"/>
  <c r="AM103" i="2" s="1"/>
  <c r="AJ105" i="2" l="1"/>
  <c r="AI106" i="2"/>
  <c r="AK104" i="2"/>
  <c r="AL104" i="2" s="1"/>
  <c r="AM104" i="2" s="1"/>
  <c r="AJ106" i="2" l="1"/>
  <c r="AI107" i="2"/>
  <c r="AK105" i="2"/>
  <c r="AL105" i="2" s="1"/>
  <c r="AM105" i="2" s="1"/>
  <c r="AJ107" i="2" l="1"/>
  <c r="AI108" i="2"/>
  <c r="AK106" i="2"/>
  <c r="AL106" i="2" s="1"/>
  <c r="AM106" i="2" s="1"/>
  <c r="AJ108" i="2" l="1"/>
  <c r="AI109" i="2"/>
  <c r="AK107" i="2"/>
  <c r="AL107" i="2" s="1"/>
  <c r="AM107" i="2" s="1"/>
  <c r="AJ109" i="2" l="1"/>
  <c r="AI110" i="2"/>
  <c r="AK108" i="2"/>
  <c r="AL108" i="2" s="1"/>
  <c r="AM108" i="2" s="1"/>
  <c r="AJ110" i="2" l="1"/>
  <c r="AI111" i="2"/>
  <c r="AK109" i="2"/>
  <c r="AL109" i="2" s="1"/>
  <c r="AM109" i="2" s="1"/>
  <c r="AJ111" i="2" l="1"/>
  <c r="AI112" i="2"/>
  <c r="AK110" i="2"/>
  <c r="AL110" i="2" s="1"/>
  <c r="AM110" i="2" s="1"/>
  <c r="AJ112" i="2" l="1"/>
  <c r="AI113" i="2"/>
  <c r="AK111" i="2"/>
  <c r="AL111" i="2" s="1"/>
  <c r="AM111" i="2" s="1"/>
  <c r="AJ113" i="2" l="1"/>
  <c r="AI114" i="2"/>
  <c r="AK112" i="2"/>
  <c r="AL112" i="2" s="1"/>
  <c r="AM112" i="2" s="1"/>
  <c r="AJ114" i="2" l="1"/>
  <c r="AI115" i="2"/>
  <c r="AK113" i="2"/>
  <c r="AL113" i="2" s="1"/>
  <c r="AM113" i="2" s="1"/>
  <c r="AJ115" i="2" l="1"/>
  <c r="AI116" i="2"/>
  <c r="AK114" i="2"/>
  <c r="AL114" i="2" s="1"/>
  <c r="AM114" i="2" s="1"/>
  <c r="AJ116" i="2" l="1"/>
  <c r="AI117" i="2"/>
  <c r="AK115" i="2"/>
  <c r="AL115" i="2" s="1"/>
  <c r="AM115" i="2" s="1"/>
  <c r="AJ117" i="2" l="1"/>
  <c r="AI118" i="2"/>
  <c r="AK116" i="2"/>
  <c r="AL116" i="2" s="1"/>
  <c r="AM116" i="2" s="1"/>
  <c r="AJ118" i="2" l="1"/>
  <c r="AI119" i="2"/>
  <c r="AK117" i="2"/>
  <c r="AL117" i="2" s="1"/>
  <c r="AM117" i="2" s="1"/>
  <c r="AJ119" i="2" l="1"/>
  <c r="AI120" i="2"/>
  <c r="AK118" i="2"/>
  <c r="AL118" i="2" s="1"/>
  <c r="AM118" i="2" s="1"/>
  <c r="AJ120" i="2" l="1"/>
  <c r="AI121" i="2"/>
  <c r="AK119" i="2"/>
  <c r="AL119" i="2" s="1"/>
  <c r="AM119" i="2" s="1"/>
  <c r="AJ121" i="2" l="1"/>
  <c r="AI122" i="2"/>
  <c r="AK120" i="2"/>
  <c r="AL120" i="2" s="1"/>
  <c r="AM120" i="2" s="1"/>
  <c r="AJ122" i="2" l="1"/>
  <c r="AI123" i="2"/>
  <c r="AK121" i="2"/>
  <c r="AL121" i="2" s="1"/>
  <c r="AM121" i="2" s="1"/>
  <c r="AJ123" i="2" l="1"/>
  <c r="AI124" i="2"/>
  <c r="AK122" i="2"/>
  <c r="AL122" i="2" s="1"/>
  <c r="AM122" i="2" s="1"/>
  <c r="AJ124" i="2" l="1"/>
  <c r="AI125" i="2"/>
  <c r="AK123" i="2"/>
  <c r="AL123" i="2" s="1"/>
  <c r="AM123" i="2" s="1"/>
  <c r="AJ125" i="2" l="1"/>
  <c r="AI126" i="2"/>
  <c r="AK124" i="2"/>
  <c r="AL124" i="2" s="1"/>
  <c r="AM124" i="2" s="1"/>
  <c r="AJ126" i="2" l="1"/>
  <c r="AI127" i="2"/>
  <c r="AK125" i="2"/>
  <c r="AL125" i="2" s="1"/>
  <c r="AM125" i="2" s="1"/>
  <c r="AJ127" i="2" l="1"/>
  <c r="AI128" i="2"/>
  <c r="AK126" i="2"/>
  <c r="AL126" i="2" s="1"/>
  <c r="AM126" i="2" s="1"/>
  <c r="AJ128" i="2" l="1"/>
  <c r="AI129" i="2"/>
  <c r="AK127" i="2"/>
  <c r="AL127" i="2" s="1"/>
  <c r="AM127" i="2" s="1"/>
  <c r="AJ129" i="2" l="1"/>
  <c r="AI130" i="2"/>
  <c r="AK128" i="2"/>
  <c r="AL128" i="2" s="1"/>
  <c r="AM128" i="2" s="1"/>
  <c r="AJ130" i="2" l="1"/>
  <c r="AI131" i="2"/>
  <c r="AK129" i="2"/>
  <c r="AL129" i="2" s="1"/>
  <c r="AM129" i="2" s="1"/>
  <c r="AJ131" i="2" l="1"/>
  <c r="AI132" i="2"/>
  <c r="AK130" i="2"/>
  <c r="AL130" i="2" s="1"/>
  <c r="AM130" i="2" s="1"/>
  <c r="AJ132" i="2" l="1"/>
  <c r="AI133" i="2"/>
  <c r="AK131" i="2"/>
  <c r="AL131" i="2" s="1"/>
  <c r="AM131" i="2" s="1"/>
  <c r="AJ133" i="2" l="1"/>
  <c r="AI134" i="2"/>
  <c r="AK132" i="2"/>
  <c r="AL132" i="2" s="1"/>
  <c r="AM132" i="2" s="1"/>
  <c r="AJ134" i="2" l="1"/>
  <c r="AI135" i="2"/>
  <c r="AK133" i="2"/>
  <c r="AL133" i="2" s="1"/>
  <c r="AM133" i="2" s="1"/>
  <c r="AJ135" i="2" l="1"/>
  <c r="AI136" i="2"/>
  <c r="AK134" i="2"/>
  <c r="AL134" i="2" s="1"/>
  <c r="AM134" i="2" s="1"/>
  <c r="AJ136" i="2" l="1"/>
  <c r="AI137" i="2"/>
  <c r="AK135" i="2"/>
  <c r="AL135" i="2" s="1"/>
  <c r="AM135" i="2" s="1"/>
  <c r="AJ137" i="2" l="1"/>
  <c r="AI138" i="2"/>
  <c r="AK136" i="2"/>
  <c r="AL136" i="2" s="1"/>
  <c r="AM136" i="2" s="1"/>
  <c r="AJ138" i="2" l="1"/>
  <c r="AI139" i="2"/>
  <c r="AK137" i="2"/>
  <c r="AL137" i="2" s="1"/>
  <c r="AM137" i="2" s="1"/>
  <c r="AJ139" i="2" l="1"/>
  <c r="AI140" i="2"/>
  <c r="AK138" i="2"/>
  <c r="AL138" i="2" s="1"/>
  <c r="AM138" i="2" s="1"/>
  <c r="AJ140" i="2" l="1"/>
  <c r="AI141" i="2"/>
  <c r="AK139" i="2"/>
  <c r="AL139" i="2" s="1"/>
  <c r="AM139" i="2" s="1"/>
  <c r="AJ141" i="2" l="1"/>
  <c r="AI142" i="2"/>
  <c r="AK140" i="2"/>
  <c r="AL140" i="2" s="1"/>
  <c r="AM140" i="2" s="1"/>
  <c r="AJ142" i="2" l="1"/>
  <c r="AI143" i="2"/>
  <c r="AK141" i="2"/>
  <c r="AL141" i="2" s="1"/>
  <c r="AM141" i="2" s="1"/>
  <c r="AJ143" i="2" l="1"/>
  <c r="AI144" i="2"/>
  <c r="AK142" i="2"/>
  <c r="AL142" i="2" s="1"/>
  <c r="AM142" i="2" s="1"/>
  <c r="AJ144" i="2" l="1"/>
  <c r="AI145" i="2"/>
  <c r="AK143" i="2"/>
  <c r="AL143" i="2" s="1"/>
  <c r="AM143" i="2" s="1"/>
  <c r="AJ145" i="2" l="1"/>
  <c r="AI146" i="2"/>
  <c r="AK144" i="2"/>
  <c r="AL144" i="2" s="1"/>
  <c r="AM144" i="2" s="1"/>
  <c r="AJ146" i="2" l="1"/>
  <c r="AI147" i="2"/>
  <c r="AK145" i="2"/>
  <c r="AL145" i="2" s="1"/>
  <c r="AM145" i="2" s="1"/>
  <c r="AJ147" i="2" l="1"/>
  <c r="AI148" i="2"/>
  <c r="AK146" i="2"/>
  <c r="AL146" i="2" s="1"/>
  <c r="AM146" i="2" s="1"/>
  <c r="AJ148" i="2" l="1"/>
  <c r="AI149" i="2"/>
  <c r="AK147" i="2"/>
  <c r="AL147" i="2" s="1"/>
  <c r="AM147" i="2" s="1"/>
  <c r="AJ149" i="2" l="1"/>
  <c r="AI150" i="2"/>
  <c r="AK148" i="2"/>
  <c r="AL148" i="2" s="1"/>
  <c r="AM148" i="2" s="1"/>
  <c r="AJ150" i="2" l="1"/>
  <c r="AI151" i="2"/>
  <c r="AK149" i="2"/>
  <c r="AL149" i="2" s="1"/>
  <c r="AM149" i="2" s="1"/>
  <c r="AJ151" i="2" l="1"/>
  <c r="AI152" i="2"/>
  <c r="AK150" i="2"/>
  <c r="AL150" i="2" s="1"/>
  <c r="AM150" i="2" s="1"/>
  <c r="AJ152" i="2" l="1"/>
  <c r="AI153" i="2"/>
  <c r="AK151" i="2"/>
  <c r="AL151" i="2" s="1"/>
  <c r="AM151" i="2" s="1"/>
  <c r="AJ153" i="2" l="1"/>
  <c r="AI154" i="2"/>
  <c r="AK152" i="2"/>
  <c r="AL152" i="2" s="1"/>
  <c r="AM152" i="2" s="1"/>
  <c r="AJ154" i="2" l="1"/>
  <c r="AI155" i="2"/>
  <c r="AK153" i="2"/>
  <c r="AL153" i="2" s="1"/>
  <c r="AM153" i="2" s="1"/>
  <c r="AJ155" i="2" l="1"/>
  <c r="AI156" i="2"/>
  <c r="AK154" i="2"/>
  <c r="AL154" i="2" s="1"/>
  <c r="AM154" i="2" s="1"/>
  <c r="AJ156" i="2" l="1"/>
  <c r="AI157" i="2"/>
  <c r="AK155" i="2"/>
  <c r="AL155" i="2" s="1"/>
  <c r="AM155" i="2" s="1"/>
  <c r="AJ157" i="2" l="1"/>
  <c r="AI158" i="2"/>
  <c r="AK156" i="2"/>
  <c r="AL156" i="2" s="1"/>
  <c r="AM156" i="2" s="1"/>
  <c r="AJ158" i="2" l="1"/>
  <c r="AI159" i="2"/>
  <c r="AK157" i="2"/>
  <c r="AL157" i="2" s="1"/>
  <c r="AM157" i="2" s="1"/>
  <c r="AJ159" i="2" l="1"/>
  <c r="AI160" i="2"/>
  <c r="AK158" i="2"/>
  <c r="AL158" i="2" s="1"/>
  <c r="AM158" i="2" s="1"/>
  <c r="AJ160" i="2" l="1"/>
  <c r="AI161" i="2"/>
  <c r="AK159" i="2"/>
  <c r="AL159" i="2" s="1"/>
  <c r="AM159" i="2" s="1"/>
  <c r="AJ161" i="2" l="1"/>
  <c r="AI162" i="2"/>
  <c r="AK160" i="2"/>
  <c r="AL160" i="2" s="1"/>
  <c r="AM160" i="2" s="1"/>
  <c r="AJ162" i="2" l="1"/>
  <c r="AI163" i="2"/>
  <c r="AK161" i="2"/>
  <c r="AL161" i="2" s="1"/>
  <c r="AM161" i="2" s="1"/>
  <c r="AJ163" i="2" l="1"/>
  <c r="AI164" i="2"/>
  <c r="AK162" i="2"/>
  <c r="AL162" i="2" s="1"/>
  <c r="AM162" i="2" s="1"/>
  <c r="AJ164" i="2" l="1"/>
  <c r="AI165" i="2"/>
  <c r="AK163" i="2"/>
  <c r="AL163" i="2" s="1"/>
  <c r="AM163" i="2" s="1"/>
  <c r="AJ165" i="2" l="1"/>
  <c r="AI166" i="2"/>
  <c r="AK164" i="2"/>
  <c r="AL164" i="2" s="1"/>
  <c r="AM164" i="2" s="1"/>
  <c r="AJ166" i="2" l="1"/>
  <c r="AI167" i="2"/>
  <c r="AK165" i="2"/>
  <c r="AL165" i="2" s="1"/>
  <c r="AM165" i="2" s="1"/>
  <c r="AJ167" i="2" l="1"/>
  <c r="AI168" i="2"/>
  <c r="AK166" i="2"/>
  <c r="AL166" i="2" s="1"/>
  <c r="AM166" i="2" s="1"/>
  <c r="AJ168" i="2" l="1"/>
  <c r="AI169" i="2"/>
  <c r="AK167" i="2"/>
  <c r="AL167" i="2" s="1"/>
  <c r="AM167" i="2" s="1"/>
  <c r="AJ169" i="2" l="1"/>
  <c r="AI170" i="2"/>
  <c r="AK168" i="2"/>
  <c r="AL168" i="2" s="1"/>
  <c r="AM168" i="2" s="1"/>
  <c r="AJ170" i="2" l="1"/>
  <c r="AI171" i="2"/>
  <c r="AK169" i="2"/>
  <c r="AL169" i="2" s="1"/>
  <c r="AM169" i="2" s="1"/>
  <c r="AJ171" i="2" l="1"/>
  <c r="AI172" i="2"/>
  <c r="AK170" i="2"/>
  <c r="AL170" i="2" s="1"/>
  <c r="AM170" i="2" s="1"/>
  <c r="AJ172" i="2" l="1"/>
  <c r="AI173" i="2"/>
  <c r="AK171" i="2"/>
  <c r="AL171" i="2" s="1"/>
  <c r="AM171" i="2" s="1"/>
  <c r="AJ173" i="2" l="1"/>
  <c r="AI174" i="2"/>
  <c r="AK172" i="2"/>
  <c r="AL172" i="2" s="1"/>
  <c r="AM172" i="2" s="1"/>
  <c r="AJ174" i="2" l="1"/>
  <c r="AI175" i="2"/>
  <c r="AK173" i="2"/>
  <c r="AL173" i="2" s="1"/>
  <c r="AM173" i="2" s="1"/>
  <c r="AJ175" i="2" l="1"/>
  <c r="AI176" i="2"/>
  <c r="AK174" i="2"/>
  <c r="AL174" i="2" s="1"/>
  <c r="AM174" i="2" s="1"/>
  <c r="AJ176" i="2" l="1"/>
  <c r="AI177" i="2"/>
  <c r="AK175" i="2"/>
  <c r="AL175" i="2" s="1"/>
  <c r="AM175" i="2" s="1"/>
  <c r="AJ177" i="2" l="1"/>
  <c r="AI178" i="2"/>
  <c r="AK176" i="2"/>
  <c r="AL176" i="2" s="1"/>
  <c r="AM176" i="2" s="1"/>
  <c r="AJ178" i="2" l="1"/>
  <c r="AI179" i="2"/>
  <c r="AK177" i="2"/>
  <c r="AL177" i="2" s="1"/>
  <c r="AM177" i="2" s="1"/>
  <c r="AJ179" i="2" l="1"/>
  <c r="AI180" i="2"/>
  <c r="AK178" i="2"/>
  <c r="AL178" i="2" s="1"/>
  <c r="AM178" i="2" s="1"/>
  <c r="AJ180" i="2" l="1"/>
  <c r="AI181" i="2"/>
  <c r="AK179" i="2"/>
  <c r="AL179" i="2" s="1"/>
  <c r="AM179" i="2" s="1"/>
  <c r="AJ181" i="2" l="1"/>
  <c r="AI182" i="2"/>
  <c r="AK180" i="2"/>
  <c r="AL180" i="2" s="1"/>
  <c r="AM180" i="2" s="1"/>
  <c r="AJ182" i="2" l="1"/>
  <c r="AI183" i="2"/>
  <c r="AK181" i="2"/>
  <c r="AL181" i="2" s="1"/>
  <c r="AM181" i="2" s="1"/>
  <c r="AJ183" i="2" l="1"/>
  <c r="AI184" i="2"/>
  <c r="AK182" i="2"/>
  <c r="AL182" i="2" s="1"/>
  <c r="AM182" i="2" s="1"/>
  <c r="AJ184" i="2" l="1"/>
  <c r="AI185" i="2"/>
  <c r="AK183" i="2"/>
  <c r="AL183" i="2" s="1"/>
  <c r="AM183" i="2" s="1"/>
  <c r="AJ185" i="2" l="1"/>
  <c r="AI186" i="2"/>
  <c r="AK184" i="2"/>
  <c r="AL184" i="2" s="1"/>
  <c r="AM184" i="2" s="1"/>
  <c r="AJ186" i="2" l="1"/>
  <c r="AI187" i="2"/>
  <c r="AK185" i="2"/>
  <c r="AL185" i="2" s="1"/>
  <c r="AM185" i="2" s="1"/>
  <c r="AJ187" i="2" l="1"/>
  <c r="AI188" i="2"/>
  <c r="AK186" i="2"/>
  <c r="AL186" i="2" s="1"/>
  <c r="AM186" i="2" s="1"/>
  <c r="AJ188" i="2" l="1"/>
  <c r="AI189" i="2"/>
  <c r="AK187" i="2"/>
  <c r="AL187" i="2" s="1"/>
  <c r="AM187" i="2" s="1"/>
  <c r="AJ189" i="2" l="1"/>
  <c r="AI190" i="2"/>
  <c r="AK188" i="2"/>
  <c r="AL188" i="2" s="1"/>
  <c r="AM188" i="2" s="1"/>
  <c r="AJ190" i="2" l="1"/>
  <c r="AI191" i="2"/>
  <c r="AK189" i="2"/>
  <c r="AL189" i="2" s="1"/>
  <c r="AM189" i="2" s="1"/>
  <c r="AJ191" i="2" l="1"/>
  <c r="AI192" i="2"/>
  <c r="AK190" i="2"/>
  <c r="AL190" i="2" s="1"/>
  <c r="AM190" i="2" s="1"/>
  <c r="AJ192" i="2" l="1"/>
  <c r="AI193" i="2"/>
  <c r="AK191" i="2"/>
  <c r="AL191" i="2" s="1"/>
  <c r="AM191" i="2" s="1"/>
  <c r="AJ193" i="2" l="1"/>
  <c r="AI194" i="2"/>
  <c r="AK192" i="2"/>
  <c r="AL192" i="2" s="1"/>
  <c r="AM192" i="2" s="1"/>
  <c r="AJ194" i="2" l="1"/>
  <c r="AI195" i="2"/>
  <c r="AK193" i="2"/>
  <c r="AL193" i="2" s="1"/>
  <c r="AM193" i="2" s="1"/>
  <c r="AJ195" i="2" l="1"/>
  <c r="AI196" i="2"/>
  <c r="AK194" i="2"/>
  <c r="AL194" i="2" s="1"/>
  <c r="AM194" i="2" s="1"/>
  <c r="AJ196" i="2" l="1"/>
  <c r="AI197" i="2"/>
  <c r="AK195" i="2"/>
  <c r="AL195" i="2" s="1"/>
  <c r="AM195" i="2" s="1"/>
  <c r="AJ197" i="2" l="1"/>
  <c r="AI198" i="2"/>
  <c r="AK196" i="2"/>
  <c r="AL196" i="2" s="1"/>
  <c r="AM196" i="2" s="1"/>
  <c r="AJ198" i="2" l="1"/>
  <c r="AI199" i="2"/>
  <c r="AK197" i="2"/>
  <c r="AL197" i="2" s="1"/>
  <c r="AM197" i="2" s="1"/>
  <c r="AJ199" i="2" l="1"/>
  <c r="AI200" i="2"/>
  <c r="AK198" i="2"/>
  <c r="AL198" i="2" s="1"/>
  <c r="AM198" i="2" s="1"/>
  <c r="AJ200" i="2" l="1"/>
  <c r="AI201" i="2"/>
  <c r="AK199" i="2"/>
  <c r="AL199" i="2" s="1"/>
  <c r="AM199" i="2" s="1"/>
  <c r="AJ201" i="2" l="1"/>
  <c r="AI202" i="2"/>
  <c r="AK200" i="2"/>
  <c r="AL200" i="2" s="1"/>
  <c r="AM200" i="2" s="1"/>
  <c r="AJ202" i="2" l="1"/>
  <c r="AI203" i="2"/>
  <c r="AJ203" i="2" s="1"/>
  <c r="AK201" i="2"/>
  <c r="AL201" i="2" s="1"/>
  <c r="AM201" i="2" s="1"/>
  <c r="AK203" i="2" l="1"/>
  <c r="AL203" i="2" s="1"/>
  <c r="AM203" i="2" s="1"/>
  <c r="AK202" i="2"/>
  <c r="AL202" i="2" s="1"/>
  <c r="AM202" i="2" s="1"/>
</calcChain>
</file>

<file path=xl/sharedStrings.xml><?xml version="1.0" encoding="utf-8"?>
<sst xmlns="http://schemas.openxmlformats.org/spreadsheetml/2006/main" count="1182" uniqueCount="327">
  <si>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</si>
  <si>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</si>
  <si>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</si>
  <si>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</si>
  <si>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</si>
  <si>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</si>
  <si>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</si>
  <si>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</si>
  <si>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</si>
  <si>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</si>
  <si>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</si>
  <si>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</si>
  <si>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</si>
  <si>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</si>
  <si>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</si>
  <si>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</si>
  <si>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</si>
  <si>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</si>
  <si>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</si>
  <si>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</si>
  <si>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</si>
  <si>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</si>
  <si>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</si>
  <si>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</si>
  <si>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</si>
  <si>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</si>
  <si>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</si>
  <si>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</si>
  <si>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</si>
  <si>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</si>
  <si>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</si>
  <si>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</si>
  <si>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</si>
  <si>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</si>
  <si>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</si>
  <si>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</si>
  <si>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</si>
  <si>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</si>
  <si>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</si>
  <si>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</si>
  <si>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</si>
  <si>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</si>
  <si>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</si>
  <si>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</si>
  <si>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</si>
  <si>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</si>
  <si>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</si>
  <si>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</si>
  <si>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</si>
  <si>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</si>
  <si>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</si>
  <si>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</si>
  <si>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</si>
  <si>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</si>
  <si>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</si>
  <si>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</si>
  <si>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</si>
  <si>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</si>
  <si>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</si>
  <si>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</si>
  <si>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</si>
  <si>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</si>
  <si>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</si>
  <si>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</si>
  <si>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</si>
  <si>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</si>
  <si>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</si>
  <si>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</si>
  <si>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</si>
  <si>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</si>
  <si>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</si>
  <si>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</si>
  <si>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</si>
  <si>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</si>
  <si>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</si>
  <si>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</si>
  <si>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</si>
  <si>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</si>
  <si>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</si>
  <si>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</si>
  <si>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</si>
  <si>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</si>
  <si>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</si>
  <si>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</si>
  <si>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</si>
  <si>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</si>
  <si>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</si>
  <si>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</si>
  <si>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</si>
  <si>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</si>
  <si>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</si>
  <si>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</si>
  <si>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</si>
  <si>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</si>
  <si>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</si>
  <si>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</si>
  <si>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</si>
  <si>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</si>
  <si>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</si>
  <si>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</si>
  <si>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</si>
  <si>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</si>
  <si>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</si>
  <si>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</si>
  <si>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</si>
  <si>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</si>
  <si>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</si>
  <si>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</si>
  <si>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</si>
  <si>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</si>
  <si>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</si>
  <si>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</si>
  <si>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</si>
  <si>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</si>
  <si>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</si>
  <si>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</si>
  <si>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</si>
  <si>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</si>
  <si>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</si>
  <si>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</si>
  <si>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</si>
  <si>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</si>
  <si>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</si>
  <si>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</si>
  <si>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</si>
  <si>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</si>
  <si>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</si>
  <si>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</si>
  <si>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</si>
  <si>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</si>
  <si>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</si>
  <si>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</si>
  <si>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</si>
  <si>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</si>
  <si>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</si>
  <si>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</si>
  <si>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</si>
  <si>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</si>
  <si>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</si>
  <si>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</si>
  <si>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</si>
  <si>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</si>
  <si>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</si>
  <si>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</si>
  <si>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</si>
  <si>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</si>
  <si>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</si>
  <si>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</si>
  <si>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</si>
  <si>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</si>
  <si>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</si>
  <si>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</si>
  <si>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</si>
  <si>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</si>
  <si>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</si>
  <si>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</si>
  <si>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</si>
  <si>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</si>
  <si>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</si>
  <si>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</si>
  <si>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</si>
  <si>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</si>
  <si>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</si>
  <si>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</si>
  <si>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</si>
  <si>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</si>
  <si>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</si>
  <si>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</si>
  <si>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</si>
  <si>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</si>
  <si>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</si>
  <si>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</si>
  <si>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</si>
  <si>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</si>
  <si>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</si>
  <si>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</si>
  <si>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</si>
  <si>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</si>
  <si>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</si>
  <si>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</si>
  <si>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</si>
  <si>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</si>
  <si>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</si>
  <si>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</si>
  <si>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</si>
  <si>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</si>
  <si>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</si>
  <si>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</si>
  <si>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</si>
  <si>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</si>
  <si>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</si>
  <si>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</si>
  <si>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</si>
  <si>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</si>
  <si>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</si>
  <si>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</si>
  <si>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</si>
  <si>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</si>
  <si>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</si>
  <si>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</si>
  <si>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</si>
  <si>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</si>
  <si>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</si>
  <si>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</si>
  <si>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</si>
  <si>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</si>
  <si>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</si>
  <si>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</si>
  <si>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</si>
  <si>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</si>
  <si>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</si>
  <si>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</si>
  <si>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</si>
  <si>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</si>
  <si>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</si>
  <si>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</si>
  <si>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</si>
  <si>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</si>
  <si>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</si>
  <si>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</si>
  <si>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</si>
  <si>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</si>
  <si>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</si>
  <si>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</si>
  <si>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</si>
  <si>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</si>
  <si>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</si>
  <si>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</si>
  <si>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</si>
  <si>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</si>
  <si>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</si>
  <si>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</si>
  <si>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</si>
  <si>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</si>
  <si>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</si>
  <si>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</si>
  <si>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</si>
  <si>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</si>
  <si>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</si>
  <si>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</si>
  <si>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</si>
  <si>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</si>
  <si>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</si>
  <si>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</si>
  <si>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</si>
  <si>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</si>
  <si>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</si>
  <si>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</si>
  <si>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</si>
  <si>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</si>
  <si>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</si>
  <si>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</si>
  <si>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</si>
  <si>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</si>
  <si>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</si>
  <si>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</si>
  <si>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</si>
  <si>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</si>
  <si>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</si>
  <si>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</si>
  <si>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</si>
  <si>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</si>
  <si>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</si>
  <si>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</si>
  <si>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</si>
  <si>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</si>
  <si>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</si>
  <si>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</si>
  <si>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</si>
  <si>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</si>
  <si>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</si>
  <si>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</si>
  <si>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</si>
  <si>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</si>
  <si>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</si>
  <si>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</si>
  <si>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</si>
  <si>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</si>
  <si>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</si>
  <si>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</si>
  <si>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</si>
  <si>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</si>
  <si>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</si>
  <si>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</si>
  <si>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</si>
  <si>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</si>
  <si>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</si>
  <si>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</si>
  <si>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</si>
  <si>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</si>
  <si>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</si>
  <si>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</si>
  <si>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</si>
  <si>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</si>
  <si>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</si>
  <si>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</si>
  <si>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</si>
  <si>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</si>
  <si>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</si>
  <si>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</si>
  <si>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</si>
  <si>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</si>
  <si>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</si>
  <si>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</si>
  <si>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</si>
  <si>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</si>
  <si>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</si>
  <si>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</si>
  <si>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</si>
  <si>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</si>
  <si>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</si>
  <si>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</si>
  <si>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</si>
  <si>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</si>
  <si>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</si>
  <si>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</si>
  <si>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</si>
  <si>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</si>
  <si>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</si>
  <si>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</si>
  <si>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</si>
  <si>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</si>
  <si>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</si>
  <si>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</si>
  <si>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Le Sorbier est compté avec l'Alisier</t>
  </si>
  <si>
    <t>Le sorbier est compté avec l'Alisier</t>
  </si>
  <si>
    <t>Le sorbier est compté avec l'alisier, le coût a été additionné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</si>
</sst>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9" fontId="9" fillId="14" borderId="1" xfId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1.8154835401121989</c:v>
                </c:pt>
                <c:pt idx="2">
                  <c:v>2.2676794886566864</c:v>
                </c:pt>
                <c:pt idx="3">
                  <c:v>2.8329519370540375</c:v>
                </c:pt>
                <c:pt idx="4">
                  <c:v>3.5396819946201337</c:v>
                </c:pt>
                <c:pt idx="5">
                  <c:v>4.423398898575468</c:v>
                </c:pt>
                <c:pt idx="6">
                  <c:v>5.5285861606171816</c:v>
                </c:pt>
                <c:pt idx="7">
                  <c:v>6.9109454363870801</c:v>
                </c:pt>
                <c:pt idx="8">
                  <c:v>8.640234432352095</c:v>
                </c:pt>
                <c:pt idx="9">
                  <c:v>10.803824795358084</c:v>
                </c:pt>
                <c:pt idx="10">
                  <c:v>13.511163126205266</c:v>
                </c:pt>
                <c:pt idx="11">
                  <c:v>16.899364955542922</c:v>
                </c:pt>
                <c:pt idx="12">
                  <c:v>21.140230149801212</c:v>
                </c:pt>
                <c:pt idx="13">
                  <c:v>26.449041831828016</c:v>
                </c:pt>
                <c:pt idx="14">
                  <c:v>33.09560334399378</c:v>
                </c:pt>
                <c:pt idx="15">
                  <c:v>41.418083874217693</c:v>
                </c:pt>
                <c:pt idx="16">
                  <c:v>57.184217043772861</c:v>
                </c:pt>
                <c:pt idx="17">
                  <c:v>72.835541640396144</c:v>
                </c:pt>
                <c:pt idx="18">
                  <c:v>88.400460965136418</c:v>
                </c:pt>
                <c:pt idx="19">
                  <c:v>103.89641721710223</c:v>
                </c:pt>
                <c:pt idx="20">
                  <c:v>119.33517902711669</c:v>
                </c:pt>
                <c:pt idx="21">
                  <c:v>115.05183808512884</c:v>
                </c:pt>
                <c:pt idx="22">
                  <c:v>135.21305233822034</c:v>
                </c:pt>
                <c:pt idx="23">
                  <c:v>155.30175558978996</c:v>
                </c:pt>
                <c:pt idx="24">
                  <c:v>175.32866141582917</c:v>
                </c:pt>
                <c:pt idx="25">
                  <c:v>195.30182759174372</c:v>
                </c:pt>
                <c:pt idx="26">
                  <c:v>215.22752536323196</c:v>
                </c:pt>
                <c:pt idx="27">
                  <c:v>235.11076813955651</c:v>
                </c:pt>
                <c:pt idx="28">
                  <c:v>254.95565122562834</c:v>
                </c:pt>
                <c:pt idx="29">
                  <c:v>274.76557990694795</c:v>
                </c:pt>
                <c:pt idx="30">
                  <c:v>294.54342815595749</c:v>
                </c:pt>
                <c:pt idx="31">
                  <c:v>214.38308691352654</c:v>
                </c:pt>
                <c:pt idx="32">
                  <c:v>235.23115194598691</c:v>
                </c:pt>
                <c:pt idx="33">
                  <c:v>256.03706594115931</c:v>
                </c:pt>
                <c:pt idx="34">
                  <c:v>276.8047351898287</c:v>
                </c:pt>
                <c:pt idx="35">
                  <c:v>297.53743172399726</c:v>
                </c:pt>
                <c:pt idx="36">
                  <c:v>318.2379342675012</c:v>
                </c:pt>
                <c:pt idx="37">
                  <c:v>338.90863053944435</c:v>
                </c:pt>
                <c:pt idx="38">
                  <c:v>359.55159326635481</c:v>
                </c:pt>
                <c:pt idx="39">
                  <c:v>380.16863781191483</c:v>
                </c:pt>
                <c:pt idx="40">
                  <c:v>400.76136664564439</c:v>
                </c:pt>
                <c:pt idx="41">
                  <c:v>319.07488453338192</c:v>
                </c:pt>
                <c:pt idx="42">
                  <c:v>337.59515490696054</c:v>
                </c:pt>
                <c:pt idx="43">
                  <c:v>356.09306684900554</c:v>
                </c:pt>
                <c:pt idx="44">
                  <c:v>374.56994479574246</c:v>
                </c:pt>
                <c:pt idx="45">
                  <c:v>393.02697189108068</c:v>
                </c:pt>
                <c:pt idx="46">
                  <c:v>411.46521112446504</c:v>
                </c:pt>
                <c:pt idx="47">
                  <c:v>429.88562248171951</c:v>
                </c:pt>
                <c:pt idx="48">
                  <c:v>448.28907700291933</c:v>
                </c:pt>
                <c:pt idx="49">
                  <c:v>466.67636841166092</c:v>
                </c:pt>
                <c:pt idx="50">
                  <c:v>485.04822281633716</c:v>
                </c:pt>
                <c:pt idx="51">
                  <c:v>400.99929643662978</c:v>
                </c:pt>
                <c:pt idx="52">
                  <c:v>416.6960037793271</c:v>
                </c:pt>
                <c:pt idx="53">
                  <c:v>432.37996845331372</c:v>
                </c:pt>
                <c:pt idx="54">
                  <c:v>448.05171763684865</c:v>
                </c:pt>
                <c:pt idx="55">
                  <c:v>463.71173863172265</c:v>
                </c:pt>
                <c:pt idx="56">
                  <c:v>479.36048315231164</c:v>
                </c:pt>
                <c:pt idx="57">
                  <c:v>494.99837102550174</c:v>
                </c:pt>
                <c:pt idx="58">
                  <c:v>510.62579339883246</c:v>
                </c:pt>
                <c:pt idx="59">
                  <c:v>526.24311553557425</c:v>
                </c:pt>
                <c:pt idx="60">
                  <c:v>541.85067926084878</c:v>
                </c:pt>
                <c:pt idx="61">
                  <c:v>472.72297142073893</c:v>
                </c:pt>
                <c:pt idx="62">
                  <c:v>485.28518110618751</c:v>
                </c:pt>
                <c:pt idx="63">
                  <c:v>497.84048794120577</c:v>
                </c:pt>
                <c:pt idx="64">
                  <c:v>510.38909052121204</c:v>
                </c:pt>
                <c:pt idx="65">
                  <c:v>522.93117688121526</c:v>
                </c:pt>
                <c:pt idx="66">
                  <c:v>535.46692530251255</c:v>
                </c:pt>
                <c:pt idx="67">
                  <c:v>547.99650503993382</c:v>
                </c:pt>
                <c:pt idx="68">
                  <c:v>560.52007697912893</c:v>
                </c:pt>
                <c:pt idx="69">
                  <c:v>573.03779423207209</c:v>
                </c:pt>
                <c:pt idx="70">
                  <c:v>585.54980267784322</c:v>
                </c:pt>
                <c:pt idx="71">
                  <c:v>531.56495568602577</c:v>
                </c:pt>
                <c:pt idx="72">
                  <c:v>541.37786301655706</c:v>
                </c:pt>
                <c:pt idx="73">
                  <c:v>551.18703551764054</c:v>
                </c:pt>
                <c:pt idx="74">
                  <c:v>560.99254902736823</c:v>
                </c:pt>
                <c:pt idx="75">
                  <c:v>570.79447651651674</c:v>
                </c:pt>
                <c:pt idx="76">
                  <c:v>580.59288824538407</c:v>
                </c:pt>
                <c:pt idx="77">
                  <c:v>590.38785190949113</c:v>
                </c:pt>
                <c:pt idx="78">
                  <c:v>600.17943277511279</c:v>
                </c:pt>
                <c:pt idx="79">
                  <c:v>609.96769380550427</c:v>
                </c:pt>
                <c:pt idx="80">
                  <c:v>619.75269577860956</c:v>
                </c:pt>
                <c:pt idx="81">
                  <c:v>4.959485612423072E-12</c:v>
                </c:pt>
                <c:pt idx="82">
                  <c:v>4.959485612423072E-12</c:v>
                </c:pt>
                <c:pt idx="83">
                  <c:v>4.959485612423072E-12</c:v>
                </c:pt>
                <c:pt idx="84">
                  <c:v>4.959485612423072E-12</c:v>
                </c:pt>
                <c:pt idx="85">
                  <c:v>4.959485612423072E-12</c:v>
                </c:pt>
                <c:pt idx="86">
                  <c:v>4.959485612423072E-12</c:v>
                </c:pt>
                <c:pt idx="87">
                  <c:v>4.959485612423072E-12</c:v>
                </c:pt>
                <c:pt idx="88">
                  <c:v>4.959485612423072E-12</c:v>
                </c:pt>
                <c:pt idx="89">
                  <c:v>4.959485612423072E-12</c:v>
                </c:pt>
                <c:pt idx="90">
                  <c:v>4.959485612423072E-12</c:v>
                </c:pt>
                <c:pt idx="91">
                  <c:v>4.959485612423072E-12</c:v>
                </c:pt>
                <c:pt idx="92">
                  <c:v>4.959485612423072E-12</c:v>
                </c:pt>
                <c:pt idx="93">
                  <c:v>4.959485612423072E-12</c:v>
                </c:pt>
                <c:pt idx="94">
                  <c:v>4.959485612423072E-12</c:v>
                </c:pt>
                <c:pt idx="95">
                  <c:v>4.959485612423072E-12</c:v>
                </c:pt>
                <c:pt idx="96">
                  <c:v>4.959485612423072E-12</c:v>
                </c:pt>
                <c:pt idx="97">
                  <c:v>4.959485612423072E-12</c:v>
                </c:pt>
                <c:pt idx="98">
                  <c:v>4.959485612423072E-12</c:v>
                </c:pt>
                <c:pt idx="99">
                  <c:v>4.959485612423072E-12</c:v>
                </c:pt>
                <c:pt idx="100">
                  <c:v>4.959485612423072E-12</c:v>
                </c:pt>
                <c:pt idx="101">
                  <c:v>4.959485612423072E-12</c:v>
                </c:pt>
                <c:pt idx="102">
                  <c:v>4.959485612423072E-12</c:v>
                </c:pt>
                <c:pt idx="103">
                  <c:v>4.959485612423072E-12</c:v>
                </c:pt>
                <c:pt idx="104">
                  <c:v>4.959485612423072E-12</c:v>
                </c:pt>
                <c:pt idx="105">
                  <c:v>4.959485612423072E-12</c:v>
                </c:pt>
                <c:pt idx="106">
                  <c:v>4.959485612423072E-12</c:v>
                </c:pt>
                <c:pt idx="107">
                  <c:v>4.959485612423072E-12</c:v>
                </c:pt>
                <c:pt idx="108">
                  <c:v>4.959485612423072E-12</c:v>
                </c:pt>
                <c:pt idx="109">
                  <c:v>4.959485612423072E-12</c:v>
                </c:pt>
                <c:pt idx="110">
                  <c:v>4.959485612423072E-12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142.51899286185792</c:v>
                </c:pt>
                <c:pt idx="32">
                  <c:v>154.70300795717841</c:v>
                </c:pt>
                <c:pt idx="33">
                  <c:v>166.86421422486248</c:v>
                </c:pt>
                <c:pt idx="34">
                  <c:v>179.00450954681364</c:v>
                </c:pt>
                <c:pt idx="35">
                  <c:v>191.12551298630106</c:v>
                </c:pt>
                <c:pt idx="36">
                  <c:v>203.22862122579673</c:v>
                </c:pt>
                <c:pt idx="37">
                  <c:v>215.31505082710763</c:v>
                </c:pt>
                <c:pt idx="38">
                  <c:v>227.38587048813096</c:v>
                </c:pt>
                <c:pt idx="39">
                  <c:v>239.44202608060974</c:v>
                </c:pt>
                <c:pt idx="40">
                  <c:v>251.48436037421268</c:v>
                </c:pt>
                <c:pt idx="41">
                  <c:v>201.83298159430865</c:v>
                </c:pt>
                <c:pt idx="42">
                  <c:v>214.85048322218776</c:v>
                </c:pt>
                <c:pt idx="43">
                  <c:v>227.84983423962134</c:v>
                </c:pt>
                <c:pt idx="44">
                  <c:v>240.83221650658706</c:v>
                </c:pt>
                <c:pt idx="45">
                  <c:v>253.79867396956936</c:v>
                </c:pt>
                <c:pt idx="46">
                  <c:v>266.75013513037209</c:v>
                </c:pt>
                <c:pt idx="47">
                  <c:v>279.68743091813349</c:v>
                </c:pt>
                <c:pt idx="48">
                  <c:v>292.61130907849321</c:v>
                </c:pt>
                <c:pt idx="49">
                  <c:v>305.52244588564622</c:v>
                </c:pt>
                <c:pt idx="50">
                  <c:v>318.42145576976321</c:v>
                </c:pt>
                <c:pt idx="51">
                  <c:v>266.51898559814146</c:v>
                </c:pt>
                <c:pt idx="52">
                  <c:v>279.22561990730264</c:v>
                </c:pt>
                <c:pt idx="53">
                  <c:v>291.91928720317537</c:v>
                </c:pt>
                <c:pt idx="54">
                  <c:v>304.60063094888795</c:v>
                </c:pt>
                <c:pt idx="55">
                  <c:v>317.27023663514404</c:v>
                </c:pt>
                <c:pt idx="56">
                  <c:v>329.92863915898073</c:v>
                </c:pt>
                <c:pt idx="57">
                  <c:v>342.57632901037942</c:v>
                </c:pt>
                <c:pt idx="58">
                  <c:v>355.21375749714201</c:v>
                </c:pt>
                <c:pt idx="59">
                  <c:v>367.84134118712888</c:v>
                </c:pt>
                <c:pt idx="60">
                  <c:v>380.45946570848531</c:v>
                </c:pt>
                <c:pt idx="61">
                  <c:v>328.08809393827676</c:v>
                </c:pt>
                <c:pt idx="62">
                  <c:v>340.04762586478643</c:v>
                </c:pt>
                <c:pt idx="63">
                  <c:v>351.99790751820484</c:v>
                </c:pt>
                <c:pt idx="64">
                  <c:v>363.93929728008379</c:v>
                </c:pt>
                <c:pt idx="65">
                  <c:v>375.87212808855378</c:v>
                </c:pt>
                <c:pt idx="66">
                  <c:v>387.79671001229207</c:v>
                </c:pt>
                <c:pt idx="67">
                  <c:v>399.71333249130322</c:v>
                </c:pt>
                <c:pt idx="68">
                  <c:v>411.62226629649223</c:v>
                </c:pt>
                <c:pt idx="69">
                  <c:v>423.5237652506014</c:v>
                </c:pt>
                <c:pt idx="70">
                  <c:v>435.41806774560064</c:v>
                </c:pt>
                <c:pt idx="71">
                  <c:v>382.29406292611219</c:v>
                </c:pt>
                <c:pt idx="72">
                  <c:v>393.29766185584344</c:v>
                </c:pt>
                <c:pt idx="73">
                  <c:v>404.2945873285737</c:v>
                </c:pt>
                <c:pt idx="74">
                  <c:v>415.28504649423826</c:v>
                </c:pt>
                <c:pt idx="75">
                  <c:v>426.26923464136979</c:v>
                </c:pt>
                <c:pt idx="76">
                  <c:v>437.24733617095711</c:v>
                </c:pt>
                <c:pt idx="77">
                  <c:v>448.21952546739061</c:v>
                </c:pt>
                <c:pt idx="78">
                  <c:v>459.18596767967614</c:v>
                </c:pt>
                <c:pt idx="79">
                  <c:v>470.14681942412517</c:v>
                </c:pt>
                <c:pt idx="80">
                  <c:v>481.10222941810252</c:v>
                </c:pt>
                <c:pt idx="81">
                  <c:v>426.95554244779743</c:v>
                </c:pt>
                <c:pt idx="82">
                  <c:v>436.79003448979796</c:v>
                </c:pt>
                <c:pt idx="83">
                  <c:v>446.61977630530856</c:v>
                </c:pt>
                <c:pt idx="84">
                  <c:v>456.44488721114999</c:v>
                </c:pt>
                <c:pt idx="85">
                  <c:v>466.26548096718722</c:v>
                </c:pt>
                <c:pt idx="86">
                  <c:v>476.08166614924011</c:v>
                </c:pt>
                <c:pt idx="87">
                  <c:v>485.8935464896349</c:v>
                </c:pt>
                <c:pt idx="88">
                  <c:v>495.70122118881346</c:v>
                </c:pt>
                <c:pt idx="89">
                  <c:v>505.50478520099563</c:v>
                </c:pt>
                <c:pt idx="90">
                  <c:v>515.3043294965272</c:v>
                </c:pt>
                <c:pt idx="91">
                  <c:v>459.87118311540104</c:v>
                </c:pt>
                <c:pt idx="92">
                  <c:v>468.32039262206649</c:v>
                </c:pt>
                <c:pt idx="93">
                  <c:v>476.76635445992991</c:v>
                </c:pt>
                <c:pt idx="94">
                  <c:v>485.20913429492407</c:v>
                </c:pt>
                <c:pt idx="95">
                  <c:v>493.64879532061627</c:v>
                </c:pt>
                <c:pt idx="96">
                  <c:v>502.08539839288784</c:v>
                </c:pt>
                <c:pt idx="97">
                  <c:v>510.51900215508903</c:v>
                </c:pt>
                <c:pt idx="98">
                  <c:v>518.94966315449392</c:v>
                </c:pt>
                <c:pt idx="99">
                  <c:v>527.37743595079144</c:v>
                </c:pt>
                <c:pt idx="100">
                  <c:v>535.80237321728089</c:v>
                </c:pt>
                <c:pt idx="101">
                  <c:v>479.04849794970545</c:v>
                </c:pt>
                <c:pt idx="102">
                  <c:v>486.12167933752744</c:v>
                </c:pt>
                <c:pt idx="103">
                  <c:v>493.19267614406277</c:v>
                </c:pt>
                <c:pt idx="104">
                  <c:v>500.26152412217442</c:v>
                </c:pt>
                <c:pt idx="105">
                  <c:v>507.32825793146134</c:v>
                </c:pt>
                <c:pt idx="106">
                  <c:v>514.39291118678432</c:v>
                </c:pt>
                <c:pt idx="107">
                  <c:v>521.45551650398772</c:v>
                </c:pt>
                <c:pt idx="108">
                  <c:v>528.51610554301385</c:v>
                </c:pt>
                <c:pt idx="109">
                  <c:v>535.57470904859372</c:v>
                </c:pt>
                <c:pt idx="110">
                  <c:v>542.63135688868044</c:v>
                </c:pt>
                <c:pt idx="111">
                  <c:v>487.49042873157447</c:v>
                </c:pt>
                <c:pt idx="112">
                  <c:v>493.87685155793497</c:v>
                </c:pt>
                <c:pt idx="113">
                  <c:v>500.26152412217442</c:v>
                </c:pt>
                <c:pt idx="114">
                  <c:v>506.64447192492526</c:v>
                </c:pt>
                <c:pt idx="115">
                  <c:v>513.02571977154435</c:v>
                </c:pt>
                <c:pt idx="116">
                  <c:v>519.40529179967302</c:v>
                </c:pt>
                <c:pt idx="117">
                  <c:v>525.78321150537067</c:v>
                </c:pt>
                <c:pt idx="118">
                  <c:v>532.15950176791523</c:v>
                </c:pt>
                <c:pt idx="119">
                  <c:v>538.53418487335261</c:v>
                </c:pt>
                <c:pt idx="120">
                  <c:v>544.90728253687359</c:v>
                </c:pt>
                <c:pt idx="121">
                  <c:v>9.7206903134409357E-13</c:v>
                </c:pt>
                <c:pt idx="122">
                  <c:v>9.7206903134409357E-13</c:v>
                </c:pt>
                <c:pt idx="123">
                  <c:v>9.7206903134409357E-13</c:v>
                </c:pt>
                <c:pt idx="124">
                  <c:v>9.7206903134409357E-13</c:v>
                </c:pt>
                <c:pt idx="125">
                  <c:v>9.7206903134409357E-13</c:v>
                </c:pt>
                <c:pt idx="126">
                  <c:v>9.7206903134409357E-13</c:v>
                </c:pt>
                <c:pt idx="127">
                  <c:v>9.7206903134409357E-13</c:v>
                </c:pt>
                <c:pt idx="128">
                  <c:v>9.7206903134409357E-13</c:v>
                </c:pt>
                <c:pt idx="129">
                  <c:v>9.7206903134409357E-13</c:v>
                </c:pt>
                <c:pt idx="130">
                  <c:v>9.7206903134409357E-13</c:v>
                </c:pt>
                <c:pt idx="131">
                  <c:v>9.7206903134409357E-13</c:v>
                </c:pt>
                <c:pt idx="132">
                  <c:v>9.7206903134409357E-13</c:v>
                </c:pt>
                <c:pt idx="133">
                  <c:v>9.7206903134409357E-13</c:v>
                </c:pt>
                <c:pt idx="134">
                  <c:v>9.7206903134409357E-13</c:v>
                </c:pt>
                <c:pt idx="135">
                  <c:v>9.7206903134409357E-13</c:v>
                </c:pt>
                <c:pt idx="136">
                  <c:v>9.7206903134409357E-13</c:v>
                </c:pt>
                <c:pt idx="137">
                  <c:v>9.7206903134409357E-13</c:v>
                </c:pt>
                <c:pt idx="138">
                  <c:v>9.7206903134409357E-13</c:v>
                </c:pt>
                <c:pt idx="139">
                  <c:v>9.7206903134409357E-13</c:v>
                </c:pt>
                <c:pt idx="140">
                  <c:v>9.7206903134409357E-13</c:v>
                </c:pt>
                <c:pt idx="141">
                  <c:v>9.7206903134409357E-13</c:v>
                </c:pt>
                <c:pt idx="142">
                  <c:v>9.7206903134409357E-13</c:v>
                </c:pt>
                <c:pt idx="143">
                  <c:v>9.7206903134409357E-13</c:v>
                </c:pt>
                <c:pt idx="144">
                  <c:v>9.7206903134409357E-13</c:v>
                </c:pt>
                <c:pt idx="145">
                  <c:v>9.7206903134409357E-13</c:v>
                </c:pt>
                <c:pt idx="146">
                  <c:v>9.7206903134409357E-13</c:v>
                </c:pt>
                <c:pt idx="147">
                  <c:v>9.7206903134409357E-13</c:v>
                </c:pt>
                <c:pt idx="148">
                  <c:v>9.7206903134409357E-13</c:v>
                </c:pt>
                <c:pt idx="149">
                  <c:v>9.7206903134409357E-13</c:v>
                </c:pt>
                <c:pt idx="150">
                  <c:v>9.7206903134409357E-13</c:v>
                </c:pt>
                <c:pt idx="151">
                  <c:v>9.7206903134409357E-13</c:v>
                </c:pt>
                <c:pt idx="152">
                  <c:v>9.7206903134409357E-13</c:v>
                </c:pt>
                <c:pt idx="153">
                  <c:v>9.7206903134409357E-13</c:v>
                </c:pt>
                <c:pt idx="154">
                  <c:v>9.7206903134409357E-13</c:v>
                </c:pt>
                <c:pt idx="155">
                  <c:v>9.7206903134409357E-13</c:v>
                </c:pt>
                <c:pt idx="156">
                  <c:v>9.7206903134409357E-13</c:v>
                </c:pt>
                <c:pt idx="157">
                  <c:v>9.7206903134409357E-13</c:v>
                </c:pt>
                <c:pt idx="158">
                  <c:v>9.7206903134409357E-13</c:v>
                </c:pt>
                <c:pt idx="159">
                  <c:v>9.7206903134409357E-13</c:v>
                </c:pt>
                <c:pt idx="160">
                  <c:v>9.7206903134409357E-13</c:v>
                </c:pt>
                <c:pt idx="161">
                  <c:v>9.7206903134409357E-13</c:v>
                </c:pt>
                <c:pt idx="162">
                  <c:v>9.7206903134409357E-13</c:v>
                </c:pt>
                <c:pt idx="163">
                  <c:v>9.7206903134409357E-13</c:v>
                </c:pt>
                <c:pt idx="164">
                  <c:v>9.7206903134409357E-13</c:v>
                </c:pt>
                <c:pt idx="165">
                  <c:v>9.7206903134409357E-13</c:v>
                </c:pt>
                <c:pt idx="166">
                  <c:v>9.7206903134409357E-13</c:v>
                </c:pt>
                <c:pt idx="167">
                  <c:v>9.7206903134409357E-13</c:v>
                </c:pt>
                <c:pt idx="168">
                  <c:v>9.7206903134409357E-13</c:v>
                </c:pt>
                <c:pt idx="169">
                  <c:v>9.7206903134409357E-13</c:v>
                </c:pt>
                <c:pt idx="170">
                  <c:v>9.7206903134409357E-13</c:v>
                </c:pt>
                <c:pt idx="171">
                  <c:v>9.7206903134409357E-13</c:v>
                </c:pt>
                <c:pt idx="172">
                  <c:v>9.7206903134409357E-13</c:v>
                </c:pt>
                <c:pt idx="173">
                  <c:v>9.7206903134409357E-13</c:v>
                </c:pt>
                <c:pt idx="174">
                  <c:v>9.7206903134409357E-13</c:v>
                </c:pt>
                <c:pt idx="175">
                  <c:v>9.7206903134409357E-13</c:v>
                </c:pt>
                <c:pt idx="176">
                  <c:v>9.7206903134409357E-13</c:v>
                </c:pt>
                <c:pt idx="177">
                  <c:v>9.7206903134409357E-13</c:v>
                </c:pt>
                <c:pt idx="178">
                  <c:v>9.7206903134409357E-13</c:v>
                </c:pt>
                <c:pt idx="179">
                  <c:v>9.7206903134409357E-13</c:v>
                </c:pt>
                <c:pt idx="180">
                  <c:v>9.7206903134409357E-13</c:v>
                </c:pt>
                <c:pt idx="181">
                  <c:v>9.7206903134409357E-13</c:v>
                </c:pt>
                <c:pt idx="182">
                  <c:v>9.7206903134409357E-13</c:v>
                </c:pt>
                <c:pt idx="183">
                  <c:v>9.7206903134409357E-13</c:v>
                </c:pt>
                <c:pt idx="184">
                  <c:v>9.7206903134409357E-13</c:v>
                </c:pt>
                <c:pt idx="185">
                  <c:v>9.7206903134409357E-13</c:v>
                </c:pt>
                <c:pt idx="186">
                  <c:v>9.7206903134409357E-13</c:v>
                </c:pt>
                <c:pt idx="187">
                  <c:v>9.7206903134409357E-13</c:v>
                </c:pt>
                <c:pt idx="188">
                  <c:v>9.7206903134409357E-13</c:v>
                </c:pt>
                <c:pt idx="189">
                  <c:v>9.7206903134409357E-13</c:v>
                </c:pt>
                <c:pt idx="190">
                  <c:v>9.7206903134409357E-13</c:v>
                </c:pt>
                <c:pt idx="191">
                  <c:v>9.7206903134409357E-13</c:v>
                </c:pt>
                <c:pt idx="192">
                  <c:v>9.7206903134409357E-13</c:v>
                </c:pt>
                <c:pt idx="193">
                  <c:v>9.7206903134409357E-13</c:v>
                </c:pt>
                <c:pt idx="194">
                  <c:v>9.7206903134409357E-13</c:v>
                </c:pt>
                <c:pt idx="195">
                  <c:v>9.7206903134409357E-13</c:v>
                </c:pt>
                <c:pt idx="196">
                  <c:v>9.7206903134409357E-13</c:v>
                </c:pt>
                <c:pt idx="197">
                  <c:v>9.7206903134409357E-13</c:v>
                </c:pt>
                <c:pt idx="198">
                  <c:v>9.7206903134409357E-13</c:v>
                </c:pt>
                <c:pt idx="199">
                  <c:v>9.7206903134409357E-13</c:v>
                </c:pt>
                <c:pt idx="200">
                  <c:v>9.7206903134409357E-13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1.9214893041217032</c:v>
                </c:pt>
                <c:pt idx="2">
                  <c:v>2.5987025008718923</c:v>
                </c:pt>
                <c:pt idx="3">
                  <c:v>3.5156040807503324</c:v>
                </c:pt>
                <c:pt idx="4">
                  <c:v>4.7573647265716694</c:v>
                </c:pt>
                <c:pt idx="5">
                  <c:v>6.4395315306240031</c:v>
                </c:pt>
                <c:pt idx="6">
                  <c:v>8.7188988740568281</c:v>
                </c:pt>
                <c:pt idx="7">
                  <c:v>11.808281901058599</c:v>
                </c:pt>
                <c:pt idx="8">
                  <c:v>15.996597611169451</c:v>
                </c:pt>
                <c:pt idx="9">
                  <c:v>21.676165746847925</c:v>
                </c:pt>
                <c:pt idx="10">
                  <c:v>29.379832297005887</c:v>
                </c:pt>
                <c:pt idx="11">
                  <c:v>43.42796098315484</c:v>
                </c:pt>
                <c:pt idx="12">
                  <c:v>57.352308105364443</c:v>
                </c:pt>
                <c:pt idx="13">
                  <c:v>71.187624867837272</c:v>
                </c:pt>
                <c:pt idx="14">
                  <c:v>84.953789769718654</c:v>
                </c:pt>
                <c:pt idx="15">
                  <c:v>98.663638916304294</c:v>
                </c:pt>
                <c:pt idx="16">
                  <c:v>112.32612308019601</c:v>
                </c:pt>
                <c:pt idx="17">
                  <c:v>125.94782644681675</c:v>
                </c:pt>
                <c:pt idx="18">
                  <c:v>139.53378725227557</c:v>
                </c:pt>
                <c:pt idx="19">
                  <c:v>153.08797965351815</c:v>
                </c:pt>
                <c:pt idx="20">
                  <c:v>166.61361501076925</c:v>
                </c:pt>
                <c:pt idx="21">
                  <c:v>115.43621516079592</c:v>
                </c:pt>
                <c:pt idx="22">
                  <c:v>132.1491048997581</c:v>
                </c:pt>
                <c:pt idx="23">
                  <c:v>148.81093286135925</c:v>
                </c:pt>
                <c:pt idx="24">
                  <c:v>165.4282275996666</c:v>
                </c:pt>
                <c:pt idx="25">
                  <c:v>182.0060955160782</c:v>
                </c:pt>
                <c:pt idx="26">
                  <c:v>198.54863502669249</c:v>
                </c:pt>
                <c:pt idx="27">
                  <c:v>215.05920485974343</c:v>
                </c:pt>
                <c:pt idx="28">
                  <c:v>231.54060536306488</c:v>
                </c:pt>
                <c:pt idx="29">
                  <c:v>247.99520534543674</c:v>
                </c:pt>
                <c:pt idx="30">
                  <c:v>264.42503341914329</c:v>
                </c:pt>
                <c:pt idx="31">
                  <c:v>196.30551917967912</c:v>
                </c:pt>
                <c:pt idx="32">
                  <c:v>210.58075731770046</c:v>
                </c:pt>
                <c:pt idx="33">
                  <c:v>224.83368096285912</c:v>
                </c:pt>
                <c:pt idx="34">
                  <c:v>239.06590436046736</c:v>
                </c:pt>
                <c:pt idx="35">
                  <c:v>253.27883373100008</c:v>
                </c:pt>
                <c:pt idx="36">
                  <c:v>267.47370449813809</c:v>
                </c:pt>
                <c:pt idx="37">
                  <c:v>281.65161019072974</c:v>
                </c:pt>
                <c:pt idx="38">
                  <c:v>295.81352521481881</c:v>
                </c:pt>
                <c:pt idx="39">
                  <c:v>309.96032303309579</c:v>
                </c:pt>
                <c:pt idx="40">
                  <c:v>324.09279084959798</c:v>
                </c:pt>
                <c:pt idx="41">
                  <c:v>256.09574439867498</c:v>
                </c:pt>
                <c:pt idx="42">
                  <c:v>267.70818510138707</c:v>
                </c:pt>
                <c:pt idx="43">
                  <c:v>279.30928259257695</c:v>
                </c:pt>
                <c:pt idx="44">
                  <c:v>290.89957463061307</c:v>
                </c:pt>
                <c:pt idx="45">
                  <c:v>302.47955260057626</c:v>
                </c:pt>
                <c:pt idx="46">
                  <c:v>314.04966717357325</c:v>
                </c:pt>
                <c:pt idx="47">
                  <c:v>325.61033308796351</c:v>
                </c:pt>
                <c:pt idx="48">
                  <c:v>337.16193321571785</c:v>
                </c:pt>
                <c:pt idx="49">
                  <c:v>348.70482204213005</c:v>
                </c:pt>
                <c:pt idx="50">
                  <c:v>360.23932866053048</c:v>
                </c:pt>
                <c:pt idx="51">
                  <c:v>305.63599851497548</c:v>
                </c:pt>
                <c:pt idx="52">
                  <c:v>315.21783358823507</c:v>
                </c:pt>
                <c:pt idx="53">
                  <c:v>324.79321443249796</c:v>
                </c:pt>
                <c:pt idx="54">
                  <c:v>334.36235827747288</c:v>
                </c:pt>
                <c:pt idx="55">
                  <c:v>343.92546889640698</c:v>
                </c:pt>
                <c:pt idx="56">
                  <c:v>353.48273779876689</c:v>
                </c:pt>
                <c:pt idx="57">
                  <c:v>363.03434528713234</c:v>
                </c:pt>
                <c:pt idx="58">
                  <c:v>372.58046139700485</c:v>
                </c:pt>
                <c:pt idx="59">
                  <c:v>382.12124673523084</c:v>
                </c:pt>
                <c:pt idx="60">
                  <c:v>391.65685323028885</c:v>
                </c:pt>
                <c:pt idx="61">
                  <c:v>346.37361123107047</c:v>
                </c:pt>
                <c:pt idx="62">
                  <c:v>354.64786759228576</c:v>
                </c:pt>
                <c:pt idx="63">
                  <c:v>362.91789568036029</c:v>
                </c:pt>
                <c:pt idx="64">
                  <c:v>371.18380550457044</c:v>
                </c:pt>
                <c:pt idx="65">
                  <c:v>379.44570177141003</c:v>
                </c:pt>
                <c:pt idx="66">
                  <c:v>387.70368425262308</c:v>
                </c:pt>
                <c:pt idx="67">
                  <c:v>395.95784812023118</c:v>
                </c:pt>
                <c:pt idx="68">
                  <c:v>404.20828425215444</c:v>
                </c:pt>
                <c:pt idx="69">
                  <c:v>412.45507951156748</c:v>
                </c:pt>
                <c:pt idx="70">
                  <c:v>420.69831700274091</c:v>
                </c:pt>
                <c:pt idx="71">
                  <c:v>378.98034777548816</c:v>
                </c:pt>
                <c:pt idx="72">
                  <c:v>386.0756548689514</c:v>
                </c:pt>
                <c:pt idx="73">
                  <c:v>393.16812973897248</c:v>
                </c:pt>
                <c:pt idx="74">
                  <c:v>400.25783072357098</c:v>
                </c:pt>
                <c:pt idx="75">
                  <c:v>407.34481392391939</c:v>
                </c:pt>
                <c:pt idx="76">
                  <c:v>414.42913332839385</c:v>
                </c:pt>
                <c:pt idx="77">
                  <c:v>421.51084092769702</c:v>
                </c:pt>
                <c:pt idx="78">
                  <c:v>428.58998682183602</c:v>
                </c:pt>
                <c:pt idx="79">
                  <c:v>435.66661931966229</c:v>
                </c:pt>
                <c:pt idx="80">
                  <c:v>442.74078503160263</c:v>
                </c:pt>
                <c:pt idx="81">
                  <c:v>3.3837175350986671E-12</c:v>
                </c:pt>
                <c:pt idx="82">
                  <c:v>3.3837175350986671E-12</c:v>
                </c:pt>
                <c:pt idx="83">
                  <c:v>3.3837175350986671E-12</c:v>
                </c:pt>
                <c:pt idx="84">
                  <c:v>3.3837175350986671E-12</c:v>
                </c:pt>
                <c:pt idx="85">
                  <c:v>3.3837175350986671E-12</c:v>
                </c:pt>
                <c:pt idx="86">
                  <c:v>3.3837175350986671E-12</c:v>
                </c:pt>
                <c:pt idx="87">
                  <c:v>3.3837175350986671E-12</c:v>
                </c:pt>
                <c:pt idx="88">
                  <c:v>3.3837175350986671E-12</c:v>
                </c:pt>
                <c:pt idx="89">
                  <c:v>3.3837175350986671E-12</c:v>
                </c:pt>
                <c:pt idx="90">
                  <c:v>3.3837175350986671E-12</c:v>
                </c:pt>
                <c:pt idx="91">
                  <c:v>3.3837175350986671E-12</c:v>
                </c:pt>
                <c:pt idx="92">
                  <c:v>3.3837175350986671E-12</c:v>
                </c:pt>
                <c:pt idx="93">
                  <c:v>3.3837175350986671E-12</c:v>
                </c:pt>
                <c:pt idx="94">
                  <c:v>3.3837175350986671E-12</c:v>
                </c:pt>
                <c:pt idx="95">
                  <c:v>3.3837175350986671E-12</c:v>
                </c:pt>
                <c:pt idx="96">
                  <c:v>3.3837175350986671E-12</c:v>
                </c:pt>
                <c:pt idx="97">
                  <c:v>3.3837175350986671E-12</c:v>
                </c:pt>
                <c:pt idx="98">
                  <c:v>3.3837175350986671E-12</c:v>
                </c:pt>
                <c:pt idx="99">
                  <c:v>3.3837175350986671E-12</c:v>
                </c:pt>
                <c:pt idx="100">
                  <c:v>3.3837175350986671E-12</c:v>
                </c:pt>
                <c:pt idx="101">
                  <c:v>3.3837175350986671E-12</c:v>
                </c:pt>
                <c:pt idx="102">
                  <c:v>3.3837175350986671E-12</c:v>
                </c:pt>
                <c:pt idx="103">
                  <c:v>3.3837175350986671E-12</c:v>
                </c:pt>
                <c:pt idx="104">
                  <c:v>3.3837175350986671E-12</c:v>
                </c:pt>
                <c:pt idx="105">
                  <c:v>3.3837175350986671E-12</c:v>
                </c:pt>
                <c:pt idx="106">
                  <c:v>3.3837175350986671E-12</c:v>
                </c:pt>
                <c:pt idx="107">
                  <c:v>3.3837175350986671E-12</c:v>
                </c:pt>
                <c:pt idx="108">
                  <c:v>3.3837175350986671E-12</c:v>
                </c:pt>
                <c:pt idx="109">
                  <c:v>3.3837175350986671E-12</c:v>
                </c:pt>
                <c:pt idx="110">
                  <c:v>3.3837175350986671E-12</c:v>
                </c:pt>
                <c:pt idx="111">
                  <c:v>3.3837175350986671E-12</c:v>
                </c:pt>
                <c:pt idx="112">
                  <c:v>3.3837175350986671E-12</c:v>
                </c:pt>
                <c:pt idx="113">
                  <c:v>3.3837175350986671E-12</c:v>
                </c:pt>
                <c:pt idx="114">
                  <c:v>3.3837175350986671E-12</c:v>
                </c:pt>
                <c:pt idx="115">
                  <c:v>3.3837175350986671E-12</c:v>
                </c:pt>
                <c:pt idx="116">
                  <c:v>3.3837175350986671E-12</c:v>
                </c:pt>
                <c:pt idx="117">
                  <c:v>3.3837175350986671E-12</c:v>
                </c:pt>
                <c:pt idx="118">
                  <c:v>3.3837175350986671E-12</c:v>
                </c:pt>
                <c:pt idx="119">
                  <c:v>3.3837175350986671E-12</c:v>
                </c:pt>
                <c:pt idx="120">
                  <c:v>3.3837175350986671E-12</c:v>
                </c:pt>
                <c:pt idx="121">
                  <c:v>3.3837175350986671E-12</c:v>
                </c:pt>
                <c:pt idx="122">
                  <c:v>3.3837175350986671E-12</c:v>
                </c:pt>
                <c:pt idx="123">
                  <c:v>3.3837175350986671E-12</c:v>
                </c:pt>
                <c:pt idx="124">
                  <c:v>3.3837175350986671E-12</c:v>
                </c:pt>
                <c:pt idx="125">
                  <c:v>3.3837175350986671E-12</c:v>
                </c:pt>
                <c:pt idx="126">
                  <c:v>3.3837175350986671E-12</c:v>
                </c:pt>
                <c:pt idx="127">
                  <c:v>3.3837175350986671E-12</c:v>
                </c:pt>
                <c:pt idx="128">
                  <c:v>3.3837175350986671E-12</c:v>
                </c:pt>
                <c:pt idx="129">
                  <c:v>3.3837175350986671E-12</c:v>
                </c:pt>
                <c:pt idx="130">
                  <c:v>3.3837175350986671E-12</c:v>
                </c:pt>
                <c:pt idx="131">
                  <c:v>3.3837175350986671E-12</c:v>
                </c:pt>
                <c:pt idx="132">
                  <c:v>3.3837175350986671E-12</c:v>
                </c:pt>
                <c:pt idx="133">
                  <c:v>3.3837175350986671E-12</c:v>
                </c:pt>
                <c:pt idx="134">
                  <c:v>3.3837175350986671E-12</c:v>
                </c:pt>
                <c:pt idx="135">
                  <c:v>3.3837175350986671E-12</c:v>
                </c:pt>
                <c:pt idx="136">
                  <c:v>3.3837175350986671E-12</c:v>
                </c:pt>
                <c:pt idx="137">
                  <c:v>3.3837175350986671E-12</c:v>
                </c:pt>
                <c:pt idx="138">
                  <c:v>3.3837175350986671E-12</c:v>
                </c:pt>
                <c:pt idx="139">
                  <c:v>3.3837175350986671E-12</c:v>
                </c:pt>
                <c:pt idx="140">
                  <c:v>3.3837175350986671E-12</c:v>
                </c:pt>
                <c:pt idx="141">
                  <c:v>3.3837175350986671E-12</c:v>
                </c:pt>
                <c:pt idx="142">
                  <c:v>3.3837175350986671E-12</c:v>
                </c:pt>
                <c:pt idx="143">
                  <c:v>3.3837175350986671E-12</c:v>
                </c:pt>
                <c:pt idx="144">
                  <c:v>3.3837175350986671E-12</c:v>
                </c:pt>
                <c:pt idx="145">
                  <c:v>3.3837175350986671E-12</c:v>
                </c:pt>
                <c:pt idx="146">
                  <c:v>3.3837175350986671E-12</c:v>
                </c:pt>
                <c:pt idx="147">
                  <c:v>3.3837175350986671E-12</c:v>
                </c:pt>
                <c:pt idx="148">
                  <c:v>3.3837175350986671E-12</c:v>
                </c:pt>
                <c:pt idx="149">
                  <c:v>3.3837175350986671E-12</c:v>
                </c:pt>
                <c:pt idx="150">
                  <c:v>3.3837175350986671E-12</c:v>
                </c:pt>
                <c:pt idx="151">
                  <c:v>3.3837175350986671E-12</c:v>
                </c:pt>
                <c:pt idx="152">
                  <c:v>3.3837175350986671E-12</c:v>
                </c:pt>
                <c:pt idx="153">
                  <c:v>3.3837175350986671E-12</c:v>
                </c:pt>
                <c:pt idx="154">
                  <c:v>3.3837175350986671E-12</c:v>
                </c:pt>
                <c:pt idx="155">
                  <c:v>3.3837175350986671E-12</c:v>
                </c:pt>
                <c:pt idx="156">
                  <c:v>3.3837175350986671E-12</c:v>
                </c:pt>
                <c:pt idx="157">
                  <c:v>3.3837175350986671E-12</c:v>
                </c:pt>
                <c:pt idx="158">
                  <c:v>3.3837175350986671E-12</c:v>
                </c:pt>
                <c:pt idx="159">
                  <c:v>3.3837175350986671E-12</c:v>
                </c:pt>
                <c:pt idx="160">
                  <c:v>3.3837175350986671E-12</c:v>
                </c:pt>
                <c:pt idx="161">
                  <c:v>3.3837175350986671E-12</c:v>
                </c:pt>
                <c:pt idx="162">
                  <c:v>3.3837175350986671E-12</c:v>
                </c:pt>
                <c:pt idx="163">
                  <c:v>3.3837175350986671E-12</c:v>
                </c:pt>
                <c:pt idx="164">
                  <c:v>3.3837175350986671E-12</c:v>
                </c:pt>
                <c:pt idx="165">
                  <c:v>3.3837175350986671E-12</c:v>
                </c:pt>
                <c:pt idx="166">
                  <c:v>3.3837175350986671E-12</c:v>
                </c:pt>
                <c:pt idx="167">
                  <c:v>3.3837175350986671E-12</c:v>
                </c:pt>
                <c:pt idx="168">
                  <c:v>3.3837175350986671E-12</c:v>
                </c:pt>
                <c:pt idx="169">
                  <c:v>3.3837175350986671E-12</c:v>
                </c:pt>
                <c:pt idx="170">
                  <c:v>3.3837175350986671E-12</c:v>
                </c:pt>
                <c:pt idx="171">
                  <c:v>3.3837175350986671E-12</c:v>
                </c:pt>
                <c:pt idx="172">
                  <c:v>3.3837175350986671E-12</c:v>
                </c:pt>
                <c:pt idx="173">
                  <c:v>3.3837175350986671E-12</c:v>
                </c:pt>
                <c:pt idx="174">
                  <c:v>3.3837175350986671E-12</c:v>
                </c:pt>
                <c:pt idx="175">
                  <c:v>3.3837175350986671E-12</c:v>
                </c:pt>
                <c:pt idx="176">
                  <c:v>3.3837175350986671E-12</c:v>
                </c:pt>
                <c:pt idx="177">
                  <c:v>3.3837175350986671E-12</c:v>
                </c:pt>
                <c:pt idx="178">
                  <c:v>3.3837175350986671E-12</c:v>
                </c:pt>
                <c:pt idx="179">
                  <c:v>3.3837175350986671E-12</c:v>
                </c:pt>
                <c:pt idx="180">
                  <c:v>3.3837175350986671E-12</c:v>
                </c:pt>
                <c:pt idx="181">
                  <c:v>3.3837175350986671E-12</c:v>
                </c:pt>
                <c:pt idx="182">
                  <c:v>3.3837175350986671E-12</c:v>
                </c:pt>
                <c:pt idx="183">
                  <c:v>3.3837175350986671E-12</c:v>
                </c:pt>
                <c:pt idx="184">
                  <c:v>3.3837175350986671E-12</c:v>
                </c:pt>
                <c:pt idx="185">
                  <c:v>3.3837175350986671E-12</c:v>
                </c:pt>
                <c:pt idx="186">
                  <c:v>3.3837175350986671E-12</c:v>
                </c:pt>
                <c:pt idx="187">
                  <c:v>3.3837175350986671E-12</c:v>
                </c:pt>
                <c:pt idx="188">
                  <c:v>3.3837175350986671E-12</c:v>
                </c:pt>
                <c:pt idx="189">
                  <c:v>3.3837175350986671E-12</c:v>
                </c:pt>
                <c:pt idx="190">
                  <c:v>3.3837175350986671E-12</c:v>
                </c:pt>
                <c:pt idx="191">
                  <c:v>3.3837175350986671E-12</c:v>
                </c:pt>
                <c:pt idx="192">
                  <c:v>3.3837175350986671E-12</c:v>
                </c:pt>
                <c:pt idx="193">
                  <c:v>3.3837175350986671E-12</c:v>
                </c:pt>
                <c:pt idx="194">
                  <c:v>3.3837175350986671E-12</c:v>
                </c:pt>
                <c:pt idx="195">
                  <c:v>3.3837175350986671E-12</c:v>
                </c:pt>
                <c:pt idx="196">
                  <c:v>3.3837175350986671E-12</c:v>
                </c:pt>
                <c:pt idx="197">
                  <c:v>3.3837175350986671E-12</c:v>
                </c:pt>
                <c:pt idx="198">
                  <c:v>3.3837175350986671E-12</c:v>
                </c:pt>
                <c:pt idx="199">
                  <c:v>3.3837175350986671E-12</c:v>
                </c:pt>
                <c:pt idx="200">
                  <c:v>3.3837175350986671E-12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1.8917258979789879</c:v>
                </c:pt>
                <c:pt idx="2">
                  <c:v>2.3074540372543173</c:v>
                </c:pt>
                <c:pt idx="3">
                  <c:v>2.8148953385457798</c:v>
                </c:pt>
                <c:pt idx="4">
                  <c:v>3.4343559758792388</c:v>
                </c:pt>
                <c:pt idx="5">
                  <c:v>4.1906533722832648</c:v>
                </c:pt>
                <c:pt idx="6">
                  <c:v>5.1141215864537903</c:v>
                </c:pt>
                <c:pt idx="7">
                  <c:v>6.2418414143326073</c:v>
                </c:pt>
                <c:pt idx="8">
                  <c:v>7.6191455660130769</c:v>
                </c:pt>
                <c:pt idx="9">
                  <c:v>9.3014605920777775</c:v>
                </c:pt>
                <c:pt idx="10">
                  <c:v>11.356561094464588</c:v>
                </c:pt>
                <c:pt idx="11">
                  <c:v>13.86732873992832</c:v>
                </c:pt>
                <c:pt idx="12">
                  <c:v>16.935129403676104</c:v>
                </c:pt>
                <c:pt idx="13">
                  <c:v>20.68394727065299</c:v>
                </c:pt>
                <c:pt idx="14">
                  <c:v>25.26544597144051</c:v>
                </c:pt>
                <c:pt idx="15">
                  <c:v>30.865165127605138</c:v>
                </c:pt>
                <c:pt idx="16">
                  <c:v>37.71010762027948</c:v>
                </c:pt>
                <c:pt idx="17">
                  <c:v>46.078030428938128</c:v>
                </c:pt>
                <c:pt idx="18">
                  <c:v>56.30882241009423</c:v>
                </c:pt>
                <c:pt idx="19">
                  <c:v>68.818438835784079</c:v>
                </c:pt>
                <c:pt idx="20">
                  <c:v>84.115968492471652</c:v>
                </c:pt>
                <c:pt idx="21">
                  <c:v>97.554514250101889</c:v>
                </c:pt>
                <c:pt idx="22">
                  <c:v>110.94698489986827</c:v>
                </c:pt>
                <c:pt idx="23">
                  <c:v>124.29973684178829</c:v>
                </c:pt>
                <c:pt idx="24">
                  <c:v>137.61764410276893</c:v>
                </c:pt>
                <c:pt idx="25">
                  <c:v>150.90455756698671</c:v>
                </c:pt>
                <c:pt idx="26">
                  <c:v>164.16359306202688</c:v>
                </c:pt>
                <c:pt idx="27">
                  <c:v>177.39732107296882</c:v>
                </c:pt>
                <c:pt idx="28">
                  <c:v>190.60789667260721</c:v>
                </c:pt>
                <c:pt idx="29">
                  <c:v>203.79715143595331</c:v>
                </c:pt>
                <c:pt idx="30">
                  <c:v>216.96666025537795</c:v>
                </c:pt>
                <c:pt idx="31">
                  <c:v>178.17503537456423</c:v>
                </c:pt>
                <c:pt idx="32">
                  <c:v>192.4194111275834</c:v>
                </c:pt>
                <c:pt idx="33">
                  <c:v>206.63925413557968</c:v>
                </c:pt>
                <c:pt idx="34">
                  <c:v>220.83649103083067</c:v>
                </c:pt>
                <c:pt idx="35">
                  <c:v>235.01278028177913</c:v>
                </c:pt>
                <c:pt idx="36">
                  <c:v>249.16956379358496</c:v>
                </c:pt>
                <c:pt idx="37">
                  <c:v>263.3081061496967</c:v>
                </c:pt>
                <c:pt idx="38">
                  <c:v>277.42952497301968</c:v>
                </c:pt>
                <c:pt idx="39">
                  <c:v>291.53481477536712</c:v>
                </c:pt>
                <c:pt idx="40">
                  <c:v>305.62486594574432</c:v>
                </c:pt>
                <c:pt idx="41">
                  <c:v>247.49746299241795</c:v>
                </c:pt>
                <c:pt idx="42">
                  <c:v>261.25268017016526</c:v>
                </c:pt>
                <c:pt idx="43">
                  <c:v>274.99154952399925</c:v>
                </c:pt>
                <c:pt idx="44">
                  <c:v>288.71500303129199</c:v>
                </c:pt>
                <c:pt idx="45">
                  <c:v>302.42387680444131</c:v>
                </c:pt>
                <c:pt idx="46">
                  <c:v>316.11892494264958</c:v>
                </c:pt>
                <c:pt idx="47">
                  <c:v>329.80083085635027</c:v>
                </c:pt>
                <c:pt idx="48">
                  <c:v>343.47021661326585</c:v>
                </c:pt>
                <c:pt idx="49">
                  <c:v>357.12765071829648</c:v>
                </c:pt>
                <c:pt idx="50">
                  <c:v>370.7736546407628</c:v>
                </c:pt>
                <c:pt idx="51">
                  <c:v>311.51274483481546</c:v>
                </c:pt>
                <c:pt idx="52">
                  <c:v>323.79259907322466</c:v>
                </c:pt>
                <c:pt idx="53">
                  <c:v>336.06216151622726</c:v>
                </c:pt>
                <c:pt idx="54">
                  <c:v>348.32186095767742</c:v>
                </c:pt>
                <c:pt idx="55">
                  <c:v>360.57209353569027</c:v>
                </c:pt>
                <c:pt idx="56">
                  <c:v>372.81322626817473</c:v>
                </c:pt>
                <c:pt idx="57">
                  <c:v>385.04560009964825</c:v>
                </c:pt>
                <c:pt idx="58">
                  <c:v>397.26953254058282</c:v>
                </c:pt>
                <c:pt idx="59">
                  <c:v>409.48531996489601</c:v>
                </c:pt>
                <c:pt idx="60">
                  <c:v>421.69323961894679</c:v>
                </c:pt>
                <c:pt idx="61">
                  <c:v>369.49879816887756</c:v>
                </c:pt>
                <c:pt idx="62">
                  <c:v>379.69499344441147</c:v>
                </c:pt>
                <c:pt idx="63">
                  <c:v>389.88523246274644</c:v>
                </c:pt>
                <c:pt idx="64">
                  <c:v>400.0696929048429</c:v>
                </c:pt>
                <c:pt idx="65">
                  <c:v>410.2485426639725</c:v>
                </c:pt>
                <c:pt idx="66">
                  <c:v>420.42194061957366</c:v>
                </c:pt>
                <c:pt idx="67">
                  <c:v>430.5900373322807</c:v>
                </c:pt>
                <c:pt idx="68">
                  <c:v>440.75297566986904</c:v>
                </c:pt>
                <c:pt idx="69">
                  <c:v>450.91089137244717</c:v>
                </c:pt>
                <c:pt idx="70">
                  <c:v>461.06391356406112</c:v>
                </c:pt>
                <c:pt idx="71">
                  <c:v>420.42194061957366</c:v>
                </c:pt>
                <c:pt idx="72">
                  <c:v>428.04850220658636</c:v>
                </c:pt>
                <c:pt idx="73">
                  <c:v>435.67214265339436</c:v>
                </c:pt>
                <c:pt idx="74">
                  <c:v>443.29292031429787</c:v>
                </c:pt>
                <c:pt idx="75">
                  <c:v>450.91089137244717</c:v>
                </c:pt>
                <c:pt idx="76">
                  <c:v>458.52610995674212</c:v>
                </c:pt>
                <c:pt idx="77">
                  <c:v>466.13862825055884</c:v>
                </c:pt>
                <c:pt idx="78">
                  <c:v>473.74849659300213</c:v>
                </c:pt>
                <c:pt idx="79">
                  <c:v>481.35576357331178</c:v>
                </c:pt>
                <c:pt idx="80">
                  <c:v>488.96047611898717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128.41557453190208</c:v>
                </c:pt>
                <c:pt idx="32">
                  <c:v>139.39094880292336</c:v>
                </c:pt>
                <c:pt idx="33">
                  <c:v>150.34557139672583</c:v>
                </c:pt>
                <c:pt idx="34">
                  <c:v>161.28116902339272</c:v>
                </c:pt>
                <c:pt idx="35">
                  <c:v>172.19921472129715</c:v>
                </c:pt>
                <c:pt idx="36">
                  <c:v>183.10097920475641</c:v>
                </c:pt>
                <c:pt idx="37">
                  <c:v>193.98756931268113</c:v>
                </c:pt>
                <c:pt idx="38">
                  <c:v>204.85995735606244</c:v>
                </c:pt>
                <c:pt idx="39">
                  <c:v>215.71900389754816</c:v>
                </c:pt>
                <c:pt idx="40">
                  <c:v>226.56547569658815</c:v>
                </c:pt>
                <c:pt idx="41">
                  <c:v>181.84387743661719</c:v>
                </c:pt>
                <c:pt idx="42">
                  <c:v>193.56912276774736</c:v>
                </c:pt>
                <c:pt idx="43">
                  <c:v>205.2778545096966</c:v>
                </c:pt>
                <c:pt idx="44">
                  <c:v>216.97114792933803</c:v>
                </c:pt>
                <c:pt idx="45">
                  <c:v>228.64995281860425</c:v>
                </c:pt>
                <c:pt idx="46">
                  <c:v>240.31511393681538</c:v>
                </c:pt>
                <c:pt idx="47">
                  <c:v>251.96738727080017</c:v>
                </c:pt>
                <c:pt idx="48">
                  <c:v>263.60745312628956</c:v>
                </c:pt>
                <c:pt idx="49">
                  <c:v>275.23592678364861</c:v>
                </c:pt>
                <c:pt idx="50">
                  <c:v>286.85336725699199</c:v>
                </c:pt>
                <c:pt idx="51">
                  <c:v>240.10692263363936</c:v>
                </c:pt>
                <c:pt idx="52">
                  <c:v>251.5514487000452</c:v>
                </c:pt>
                <c:pt idx="53">
                  <c:v>262.98417726074223</c:v>
                </c:pt>
                <c:pt idx="54">
                  <c:v>274.40569374429145</c:v>
                </c:pt>
                <c:pt idx="55">
                  <c:v>285.81653083541875</c:v>
                </c:pt>
                <c:pt idx="56">
                  <c:v>297.21717518827546</c:v>
                </c:pt>
                <c:pt idx="57">
                  <c:v>308.60807305507313</c:v>
                </c:pt>
                <c:pt idx="58">
                  <c:v>319.98963503972237</c:v>
                </c:pt>
                <c:pt idx="59">
                  <c:v>331.36224013942228</c:v>
                </c:pt>
                <c:pt idx="60">
                  <c:v>342.7262392021392</c:v>
                </c:pt>
                <c:pt idx="61">
                  <c:v>295.55951555452697</c:v>
                </c:pt>
                <c:pt idx="62">
                  <c:v>306.33065301274718</c:v>
                </c:pt>
                <c:pt idx="63">
                  <c:v>317.09337448903136</c:v>
                </c:pt>
                <c:pt idx="64">
                  <c:v>327.84800604214905</c:v>
                </c:pt>
                <c:pt idx="65">
                  <c:v>338.59485058221628</c:v>
                </c:pt>
                <c:pt idx="66">
                  <c:v>349.3341902125137</c:v>
                </c:pt>
                <c:pt idx="67">
                  <c:v>360.06628826816967</c:v>
                </c:pt>
                <c:pt idx="68">
                  <c:v>370.79139109899648</c:v>
                </c:pt>
                <c:pt idx="69">
                  <c:v>381.50972963521639</c:v>
                </c:pt>
                <c:pt idx="70">
                  <c:v>392.22152076799443</c:v>
                </c:pt>
                <c:pt idx="71">
                  <c:v>344.37848728901122</c:v>
                </c:pt>
                <c:pt idx="72">
                  <c:v>354.28835078897436</c:v>
                </c:pt>
                <c:pt idx="73">
                  <c:v>364.19214271753418</c:v>
                </c:pt>
                <c:pt idx="74">
                  <c:v>374.09005154157148</c:v>
                </c:pt>
                <c:pt idx="75">
                  <c:v>383.9822549363555</c:v>
                </c:pt>
                <c:pt idx="76">
                  <c:v>393.86892067156981</c:v>
                </c:pt>
                <c:pt idx="77">
                  <c:v>403.75020740370678</c:v>
                </c:pt>
                <c:pt idx="78">
                  <c:v>413.62626538682213</c:v>
                </c:pt>
                <c:pt idx="79">
                  <c:v>423.49723711184964</c:v>
                </c:pt>
                <c:pt idx="80">
                  <c:v>433.36325788318953</c:v>
                </c:pt>
                <c:pt idx="81">
                  <c:v>384.6003320904606</c:v>
                </c:pt>
                <c:pt idx="82">
                  <c:v>393.45708472964401</c:v>
                </c:pt>
                <c:pt idx="83">
                  <c:v>402.30951556989913</c:v>
                </c:pt>
                <c:pt idx="84">
                  <c:v>411.15773316674648</c:v>
                </c:pt>
                <c:pt idx="85">
                  <c:v>420.00184101993727</c:v>
                </c:pt>
                <c:pt idx="86">
                  <c:v>428.84193791273259</c:v>
                </c:pt>
                <c:pt idx="87">
                  <c:v>437.67811822173894</c:v>
                </c:pt>
                <c:pt idx="88">
                  <c:v>446.51047220041374</c:v>
                </c:pt>
                <c:pt idx="89">
                  <c:v>455.33908623896281</c:v>
                </c:pt>
                <c:pt idx="90">
                  <c:v>464.16404310302778</c:v>
                </c:pt>
                <c:pt idx="91">
                  <c:v>414.24334869220405</c:v>
                </c:pt>
                <c:pt idx="92">
                  <c:v>421.85242254279427</c:v>
                </c:pt>
                <c:pt idx="93">
                  <c:v>429.45854163500036</c:v>
                </c:pt>
                <c:pt idx="94">
                  <c:v>437.0617657122807</c:v>
                </c:pt>
                <c:pt idx="95">
                  <c:v>444.66215226871276</c:v>
                </c:pt>
                <c:pt idx="96">
                  <c:v>452.2597566715263</c:v>
                </c:pt>
                <c:pt idx="97">
                  <c:v>459.85463227497115</c:v>
                </c:pt>
                <c:pt idx="98">
                  <c:v>467.4468305262676</c:v>
                </c:pt>
                <c:pt idx="99">
                  <c:v>475.03640106431271</c:v>
                </c:pt>
                <c:pt idx="100">
                  <c:v>482.62339181174951</c:v>
                </c:pt>
                <c:pt idx="101">
                  <c:v>431.5137501046442</c:v>
                </c:pt>
                <c:pt idx="102">
                  <c:v>437.88356491828085</c:v>
                </c:pt>
                <c:pt idx="103">
                  <c:v>444.25139218014823</c:v>
                </c:pt>
                <c:pt idx="104">
                  <c:v>450.61726441852403</c:v>
                </c:pt>
                <c:pt idx="105">
                  <c:v>456.98121316702412</c:v>
                </c:pt>
                <c:pt idx="106">
                  <c:v>463.3432690087522</c:v>
                </c:pt>
                <c:pt idx="107">
                  <c:v>469.70346161789774</c:v>
                </c:pt>
                <c:pt idx="108">
                  <c:v>476.06181979896178</c:v>
                </c:pt>
                <c:pt idx="109">
                  <c:v>482.41837152377838</c:v>
                </c:pt>
                <c:pt idx="110">
                  <c:v>488.77314396648063</c:v>
                </c:pt>
                <c:pt idx="111">
                  <c:v>439.11620170572905</c:v>
                </c:pt>
                <c:pt idx="112">
                  <c:v>444.86752926426288</c:v>
                </c:pt>
                <c:pt idx="113">
                  <c:v>450.61726441852403</c:v>
                </c:pt>
                <c:pt idx="114">
                  <c:v>456.36543036921802</c:v>
                </c:pt>
                <c:pt idx="115">
                  <c:v>462.11204968448232</c:v>
                </c:pt>
                <c:pt idx="116">
                  <c:v>467.85714432496087</c:v>
                </c:pt>
                <c:pt idx="117">
                  <c:v>473.6007356675803</c:v>
                </c:pt>
                <c:pt idx="118">
                  <c:v>479.34284452811465</c:v>
                </c:pt>
                <c:pt idx="119">
                  <c:v>485.08349118260935</c:v>
                </c:pt>
                <c:pt idx="120">
                  <c:v>490.82269538774068</c:v>
                </c:pt>
                <c:pt idx="121">
                  <c:v>8.8379730068101964E-13</c:v>
                </c:pt>
                <c:pt idx="122">
                  <c:v>8.8379730068101964E-13</c:v>
                </c:pt>
                <c:pt idx="123">
                  <c:v>8.8379730068101964E-13</c:v>
                </c:pt>
                <c:pt idx="124">
                  <c:v>8.8379730068101964E-13</c:v>
                </c:pt>
                <c:pt idx="125">
                  <c:v>8.8379730068101964E-13</c:v>
                </c:pt>
                <c:pt idx="126">
                  <c:v>8.8379730068101964E-13</c:v>
                </c:pt>
                <c:pt idx="127">
                  <c:v>8.8379730068101964E-13</c:v>
                </c:pt>
                <c:pt idx="128">
                  <c:v>8.8379730068101964E-13</c:v>
                </c:pt>
                <c:pt idx="129">
                  <c:v>8.8379730068101964E-13</c:v>
                </c:pt>
                <c:pt idx="130">
                  <c:v>8.8379730068101964E-13</c:v>
                </c:pt>
                <c:pt idx="131">
                  <c:v>8.8379730068101964E-13</c:v>
                </c:pt>
                <c:pt idx="132">
                  <c:v>8.8379730068101964E-13</c:v>
                </c:pt>
                <c:pt idx="133">
                  <c:v>8.8379730068101964E-13</c:v>
                </c:pt>
                <c:pt idx="134">
                  <c:v>8.8379730068101964E-13</c:v>
                </c:pt>
                <c:pt idx="135">
                  <c:v>8.8379730068101964E-13</c:v>
                </c:pt>
                <c:pt idx="136">
                  <c:v>8.8379730068101964E-13</c:v>
                </c:pt>
                <c:pt idx="137">
                  <c:v>8.8379730068101964E-13</c:v>
                </c:pt>
                <c:pt idx="138">
                  <c:v>8.8379730068101964E-13</c:v>
                </c:pt>
                <c:pt idx="139">
                  <c:v>8.8379730068101964E-13</c:v>
                </c:pt>
                <c:pt idx="140">
                  <c:v>8.8379730068101964E-13</c:v>
                </c:pt>
                <c:pt idx="141">
                  <c:v>8.8379730068101964E-13</c:v>
                </c:pt>
                <c:pt idx="142">
                  <c:v>8.8379730068101964E-13</c:v>
                </c:pt>
                <c:pt idx="143">
                  <c:v>8.8379730068101964E-13</c:v>
                </c:pt>
                <c:pt idx="144">
                  <c:v>8.8379730068101964E-13</c:v>
                </c:pt>
                <c:pt idx="145">
                  <c:v>8.8379730068101964E-13</c:v>
                </c:pt>
                <c:pt idx="146">
                  <c:v>8.8379730068101964E-13</c:v>
                </c:pt>
                <c:pt idx="147">
                  <c:v>8.8379730068101964E-13</c:v>
                </c:pt>
                <c:pt idx="148">
                  <c:v>8.8379730068101964E-13</c:v>
                </c:pt>
                <c:pt idx="149">
                  <c:v>8.8379730068101964E-13</c:v>
                </c:pt>
                <c:pt idx="150">
                  <c:v>8.8379730068101964E-13</c:v>
                </c:pt>
                <c:pt idx="151">
                  <c:v>8.8379730068101964E-13</c:v>
                </c:pt>
                <c:pt idx="152">
                  <c:v>8.8379730068101964E-13</c:v>
                </c:pt>
                <c:pt idx="153">
                  <c:v>8.8379730068101964E-13</c:v>
                </c:pt>
                <c:pt idx="154">
                  <c:v>8.8379730068101964E-13</c:v>
                </c:pt>
                <c:pt idx="155">
                  <c:v>8.8379730068101964E-13</c:v>
                </c:pt>
                <c:pt idx="156">
                  <c:v>8.8379730068101964E-13</c:v>
                </c:pt>
                <c:pt idx="157">
                  <c:v>8.8379730068101964E-13</c:v>
                </c:pt>
                <c:pt idx="158">
                  <c:v>8.8379730068101964E-13</c:v>
                </c:pt>
                <c:pt idx="159">
                  <c:v>8.8379730068101964E-13</c:v>
                </c:pt>
                <c:pt idx="160">
                  <c:v>8.8379730068101964E-13</c:v>
                </c:pt>
                <c:pt idx="161">
                  <c:v>8.8379730068101964E-13</c:v>
                </c:pt>
                <c:pt idx="162">
                  <c:v>8.8379730068101964E-13</c:v>
                </c:pt>
                <c:pt idx="163">
                  <c:v>8.8379730068101964E-13</c:v>
                </c:pt>
                <c:pt idx="164">
                  <c:v>8.8379730068101964E-13</c:v>
                </c:pt>
                <c:pt idx="165">
                  <c:v>8.8379730068101964E-13</c:v>
                </c:pt>
                <c:pt idx="166">
                  <c:v>8.8379730068101964E-13</c:v>
                </c:pt>
                <c:pt idx="167">
                  <c:v>8.8379730068101964E-13</c:v>
                </c:pt>
                <c:pt idx="168">
                  <c:v>8.8379730068101964E-13</c:v>
                </c:pt>
                <c:pt idx="169">
                  <c:v>8.8379730068101964E-13</c:v>
                </c:pt>
                <c:pt idx="170">
                  <c:v>8.8379730068101964E-13</c:v>
                </c:pt>
                <c:pt idx="171">
                  <c:v>8.8379730068101964E-13</c:v>
                </c:pt>
                <c:pt idx="172">
                  <c:v>8.8379730068101964E-13</c:v>
                </c:pt>
                <c:pt idx="173">
                  <c:v>8.8379730068101964E-13</c:v>
                </c:pt>
                <c:pt idx="174">
                  <c:v>8.8379730068101964E-13</c:v>
                </c:pt>
                <c:pt idx="175">
                  <c:v>8.8379730068101964E-13</c:v>
                </c:pt>
                <c:pt idx="176">
                  <c:v>8.8379730068101964E-13</c:v>
                </c:pt>
                <c:pt idx="177">
                  <c:v>8.8379730068101964E-13</c:v>
                </c:pt>
                <c:pt idx="178">
                  <c:v>8.8379730068101964E-13</c:v>
                </c:pt>
                <c:pt idx="179">
                  <c:v>8.8379730068101964E-13</c:v>
                </c:pt>
                <c:pt idx="180">
                  <c:v>8.8379730068101964E-13</c:v>
                </c:pt>
                <c:pt idx="181">
                  <c:v>8.8379730068101964E-13</c:v>
                </c:pt>
                <c:pt idx="182">
                  <c:v>8.8379730068101964E-13</c:v>
                </c:pt>
                <c:pt idx="183">
                  <c:v>8.8379730068101964E-13</c:v>
                </c:pt>
                <c:pt idx="184">
                  <c:v>8.8379730068101964E-13</c:v>
                </c:pt>
                <c:pt idx="185">
                  <c:v>8.8379730068101964E-13</c:v>
                </c:pt>
                <c:pt idx="186">
                  <c:v>8.8379730068101964E-13</c:v>
                </c:pt>
                <c:pt idx="187">
                  <c:v>8.8379730068101964E-13</c:v>
                </c:pt>
                <c:pt idx="188">
                  <c:v>8.8379730068101964E-13</c:v>
                </c:pt>
                <c:pt idx="189">
                  <c:v>8.8379730068101964E-13</c:v>
                </c:pt>
                <c:pt idx="190">
                  <c:v>8.8379730068101964E-13</c:v>
                </c:pt>
                <c:pt idx="191">
                  <c:v>8.8379730068101964E-13</c:v>
                </c:pt>
                <c:pt idx="192">
                  <c:v>8.8379730068101964E-13</c:v>
                </c:pt>
                <c:pt idx="193">
                  <c:v>8.8379730068101964E-13</c:v>
                </c:pt>
                <c:pt idx="194">
                  <c:v>8.8379730068101964E-13</c:v>
                </c:pt>
                <c:pt idx="195">
                  <c:v>8.8379730068101964E-13</c:v>
                </c:pt>
                <c:pt idx="196">
                  <c:v>8.8379730068101964E-13</c:v>
                </c:pt>
                <c:pt idx="197">
                  <c:v>8.8379730068101964E-13</c:v>
                </c:pt>
                <c:pt idx="198">
                  <c:v>8.8379730068101964E-13</c:v>
                </c:pt>
                <c:pt idx="199">
                  <c:v>8.8379730068101964E-13</c:v>
                </c:pt>
                <c:pt idx="200">
                  <c:v>8.8379730068101964E-13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2.3711100633426869</c:v>
                </c:pt>
                <c:pt idx="2">
                  <c:v>2.7031246520527321</c:v>
                </c:pt>
                <c:pt idx="3">
                  <c:v>3.0817960057191134</c:v>
                </c:pt>
                <c:pt idx="4">
                  <c:v>3.5137027515789687</c:v>
                </c:pt>
                <c:pt idx="5">
                  <c:v>4.0063540378213611</c:v>
                </c:pt>
                <c:pt idx="6">
                  <c:v>4.5683215391147245</c:v>
                </c:pt>
                <c:pt idx="7">
                  <c:v>5.2093902396304417</c:v>
                </c:pt>
                <c:pt idx="8">
                  <c:v>5.9407306713037533</c:v>
                </c:pt>
                <c:pt idx="9">
                  <c:v>6.7750956678038543</c:v>
                </c:pt>
                <c:pt idx="10">
                  <c:v>7.7270451322336315</c:v>
                </c:pt>
                <c:pt idx="11">
                  <c:v>8.8132028168125274</c:v>
                </c:pt>
                <c:pt idx="12">
                  <c:v>10.052549684710629</c:v>
                </c:pt>
                <c:pt idx="13">
                  <c:v>11.46675907808889</c:v>
                </c:pt>
                <c:pt idx="14">
                  <c:v>13.080579664030017</c:v>
                </c:pt>
                <c:pt idx="15">
                  <c:v>14.922272984880344</c:v>
                </c:pt>
                <c:pt idx="16">
                  <c:v>17.024113416965328</c:v>
                </c:pt>
                <c:pt idx="17">
                  <c:v>19.422959459306036</c:v>
                </c:pt>
                <c:pt idx="18">
                  <c:v>22.160906552002245</c:v>
                </c:pt>
                <c:pt idx="19">
                  <c:v>25.286033085411635</c:v>
                </c:pt>
                <c:pt idx="20">
                  <c:v>28.853252932512927</c:v>
                </c:pt>
                <c:pt idx="21">
                  <c:v>32.92528974806217</c:v>
                </c:pt>
                <c:pt idx="22">
                  <c:v>37.573790463845313</c:v>
                </c:pt>
                <c:pt idx="23">
                  <c:v>42.88059790898027</c:v>
                </c:pt>
                <c:pt idx="24">
                  <c:v>48.939205342996395</c:v>
                </c:pt>
                <c:pt idx="25">
                  <c:v>55.85641895899721</c:v>
                </c:pt>
                <c:pt idx="26">
                  <c:v>64.525797838159249</c:v>
                </c:pt>
                <c:pt idx="27">
                  <c:v>73.165009741463976</c:v>
                </c:pt>
                <c:pt idx="28">
                  <c:v>81.778129529459392</c:v>
                </c:pt>
                <c:pt idx="29">
                  <c:v>90.36829953190481</c:v>
                </c:pt>
                <c:pt idx="30">
                  <c:v>98.938013551923461</c:v>
                </c:pt>
                <c:pt idx="31">
                  <c:v>108.20112627091542</c:v>
                </c:pt>
                <c:pt idx="32">
                  <c:v>117.4447190078148</c:v>
                </c:pt>
                <c:pt idx="33">
                  <c:v>126.67054710265984</c:v>
                </c:pt>
                <c:pt idx="34">
                  <c:v>135.88008871966042</c:v>
                </c:pt>
                <c:pt idx="35">
                  <c:v>145.07460486529598</c:v>
                </c:pt>
                <c:pt idx="36">
                  <c:v>154.25518334489234</c:v>
                </c:pt>
                <c:pt idx="37">
                  <c:v>163.42277167690068</c:v>
                </c:pt>
                <c:pt idx="38">
                  <c:v>172.57820221605286</c:v>
                </c:pt>
                <c:pt idx="39">
                  <c:v>181.72221165400222</c:v>
                </c:pt>
                <c:pt idx="40">
                  <c:v>190.85545638141204</c:v>
                </c:pt>
                <c:pt idx="41">
                  <c:v>153.19656565271248</c:v>
                </c:pt>
                <c:pt idx="42">
                  <c:v>163.07040194236586</c:v>
                </c:pt>
                <c:pt idx="43">
                  <c:v>172.9301016396976</c:v>
                </c:pt>
                <c:pt idx="44">
                  <c:v>182.77658523565947</c:v>
                </c:pt>
                <c:pt idx="45">
                  <c:v>192.61066580735996</c:v>
                </c:pt>
                <c:pt idx="46">
                  <c:v>202.43306651788546</c:v>
                </c:pt>
                <c:pt idx="47">
                  <c:v>212.24443453590905</c:v>
                </c:pt>
                <c:pt idx="48">
                  <c:v>222.04535224268434</c:v>
                </c:pt>
                <c:pt idx="49">
                  <c:v>231.83634635397223</c:v>
                </c:pt>
                <c:pt idx="50">
                  <c:v>241.61789541835171</c:v>
                </c:pt>
                <c:pt idx="51">
                  <c:v>202.25776507632227</c:v>
                </c:pt>
                <c:pt idx="52">
                  <c:v>211.89421177306693</c:v>
                </c:pt>
                <c:pt idx="53">
                  <c:v>221.52055911910168</c:v>
                </c:pt>
                <c:pt idx="54">
                  <c:v>231.1373082753073</c:v>
                </c:pt>
                <c:pt idx="55">
                  <c:v>240.74491525077585</c:v>
                </c:pt>
                <c:pt idx="56">
                  <c:v>250.34379664975131</c:v>
                </c:pt>
                <c:pt idx="57">
                  <c:v>259.93433449006892</c:v>
                </c:pt>
                <c:pt idx="58">
                  <c:v>269.51688027254562</c:v>
                </c:pt>
                <c:pt idx="59">
                  <c:v>279.09175844081602</c:v>
                </c:pt>
                <c:pt idx="60">
                  <c:v>288.6592693411352</c:v>
                </c:pt>
                <c:pt idx="61">
                  <c:v>248.94812297245923</c:v>
                </c:pt>
                <c:pt idx="62">
                  <c:v>258.01687712472398</c:v>
                </c:pt>
                <c:pt idx="63">
                  <c:v>267.07842670720601</c:v>
                </c:pt>
                <c:pt idx="64">
                  <c:v>276.13305084516702</c:v>
                </c:pt>
                <c:pt idx="65">
                  <c:v>285.18100884727511</c:v>
                </c:pt>
                <c:pt idx="66">
                  <c:v>294.22254221033819</c:v>
                </c:pt>
                <c:pt idx="67">
                  <c:v>303.25787636453447</c:v>
                </c:pt>
                <c:pt idx="68">
                  <c:v>312.28722219962441</c:v>
                </c:pt>
                <c:pt idx="69">
                  <c:v>321.31077740530276</c:v>
                </c:pt>
                <c:pt idx="70">
                  <c:v>330.32872765301551</c:v>
                </c:pt>
                <c:pt idx="71">
                  <c:v>290.05031041971222</c:v>
                </c:pt>
                <c:pt idx="72">
                  <c:v>298.39345366223534</c:v>
                </c:pt>
                <c:pt idx="73">
                  <c:v>306.73139928667928</c:v>
                </c:pt>
                <c:pt idx="74">
                  <c:v>315.06430863164996</c:v>
                </c:pt>
                <c:pt idx="75">
                  <c:v>323.39233379750675</c:v>
                </c:pt>
                <c:pt idx="76">
                  <c:v>331.71561840485163</c:v>
                </c:pt>
                <c:pt idx="77">
                  <c:v>340.03429827286533</c:v>
                </c:pt>
                <c:pt idx="78">
                  <c:v>348.34850202775414</c:v>
                </c:pt>
                <c:pt idx="79">
                  <c:v>356.65835165004091</c:v>
                </c:pt>
                <c:pt idx="80">
                  <c:v>364.96396296815789</c:v>
                </c:pt>
                <c:pt idx="81">
                  <c:v>323.91267652187861</c:v>
                </c:pt>
                <c:pt idx="82">
                  <c:v>331.36890773078488</c:v>
                </c:pt>
                <c:pt idx="83">
                  <c:v>338.82143922857</c:v>
                </c:pt>
                <c:pt idx="84">
                  <c:v>346.2703639450699</c:v>
                </c:pt>
                <c:pt idx="85">
                  <c:v>353.71577048208866</c:v>
                </c:pt>
                <c:pt idx="86">
                  <c:v>361.15774340384002</c:v>
                </c:pt>
                <c:pt idx="87">
                  <c:v>368.59636350218562</c:v>
                </c:pt>
                <c:pt idx="88">
                  <c:v>376.03170803933176</c:v>
                </c:pt>
                <c:pt idx="89">
                  <c:v>383.46385097031697</c:v>
                </c:pt>
                <c:pt idx="90">
                  <c:v>390.89286314734153</c:v>
                </c:pt>
                <c:pt idx="91">
                  <c:v>348.86799395984394</c:v>
                </c:pt>
                <c:pt idx="92">
                  <c:v>355.27367409484697</c:v>
                </c:pt>
                <c:pt idx="93">
                  <c:v>361.67682478490451</c:v>
                </c:pt>
                <c:pt idx="94">
                  <c:v>368.07749717388987</c:v>
                </c:pt>
                <c:pt idx="95">
                  <c:v>374.4757404800759</c:v>
                </c:pt>
                <c:pt idx="96">
                  <c:v>380.87160210102996</c:v>
                </c:pt>
                <c:pt idx="97">
                  <c:v>387.26512771109151</c:v>
                </c:pt>
                <c:pt idx="98">
                  <c:v>393.65636135207143</c:v>
                </c:pt>
                <c:pt idx="99">
                  <c:v>400.04534551775185</c:v>
                </c:pt>
                <c:pt idx="100">
                  <c:v>406.43212123270087</c:v>
                </c:pt>
                <c:pt idx="101">
                  <c:v>363.40697854295041</c:v>
                </c:pt>
                <c:pt idx="102">
                  <c:v>368.769315400918</c:v>
                </c:pt>
                <c:pt idx="103">
                  <c:v>374.12995079902913</c:v>
                </c:pt>
                <c:pt idx="104">
                  <c:v>379.48891258338023</c:v>
                </c:pt>
                <c:pt idx="105">
                  <c:v>384.84622774857968</c:v>
                </c:pt>
                <c:pt idx="106">
                  <c:v>390.20192247554218</c:v>
                </c:pt>
                <c:pt idx="107">
                  <c:v>395.55602216709894</c:v>
                </c:pt>
                <c:pt idx="108">
                  <c:v>400.90855148157726</c:v>
                </c:pt>
                <c:pt idx="109">
                  <c:v>406.25953436449339</c:v>
                </c:pt>
                <c:pt idx="110">
                  <c:v>411.60899407848461</c:v>
                </c:pt>
                <c:pt idx="111">
                  <c:v>369.80698964740623</c:v>
                </c:pt>
                <c:pt idx="112">
                  <c:v>374.64863271070755</c:v>
                </c:pt>
                <c:pt idx="113">
                  <c:v>379.48891258338023</c:v>
                </c:pt>
                <c:pt idx="114">
                  <c:v>384.32784912657712</c:v>
                </c:pt>
                <c:pt idx="115">
                  <c:v>389.16546165993606</c:v>
                </c:pt>
                <c:pt idx="116">
                  <c:v>394.00176898304431</c:v>
                </c:pt>
                <c:pt idx="117">
                  <c:v>398.83678939579437</c:v>
                </c:pt>
                <c:pt idx="118">
                  <c:v>403.67054071769843</c:v>
                </c:pt>
                <c:pt idx="119">
                  <c:v>408.50304030623039</c:v>
                </c:pt>
                <c:pt idx="120">
                  <c:v>413.33430507425345</c:v>
                </c:pt>
                <c:pt idx="121">
                  <c:v>7.5575126628944061E-13</c:v>
                </c:pt>
                <c:pt idx="122">
                  <c:v>7.5575126628944061E-13</c:v>
                </c:pt>
                <c:pt idx="123">
                  <c:v>7.5575126628944061E-13</c:v>
                </c:pt>
                <c:pt idx="124">
                  <c:v>7.5575126628944061E-13</c:v>
                </c:pt>
                <c:pt idx="125">
                  <c:v>7.5575126628944061E-13</c:v>
                </c:pt>
                <c:pt idx="126">
                  <c:v>7.5575126628944061E-13</c:v>
                </c:pt>
                <c:pt idx="127">
                  <c:v>7.5575126628944061E-13</c:v>
                </c:pt>
                <c:pt idx="128">
                  <c:v>7.5575126628944061E-13</c:v>
                </c:pt>
                <c:pt idx="129">
                  <c:v>7.5575126628944061E-13</c:v>
                </c:pt>
                <c:pt idx="130">
                  <c:v>7.5575126628944061E-13</c:v>
                </c:pt>
                <c:pt idx="131">
                  <c:v>7.5575126628944061E-13</c:v>
                </c:pt>
                <c:pt idx="132">
                  <c:v>7.5575126628944061E-13</c:v>
                </c:pt>
                <c:pt idx="133">
                  <c:v>7.5575126628944061E-13</c:v>
                </c:pt>
                <c:pt idx="134">
                  <c:v>7.5575126628944061E-13</c:v>
                </c:pt>
                <c:pt idx="135">
                  <c:v>7.5575126628944061E-13</c:v>
                </c:pt>
                <c:pt idx="136">
                  <c:v>7.5575126628944061E-13</c:v>
                </c:pt>
                <c:pt idx="137">
                  <c:v>7.5575126628944061E-13</c:v>
                </c:pt>
                <c:pt idx="138">
                  <c:v>7.5575126628944061E-13</c:v>
                </c:pt>
                <c:pt idx="139">
                  <c:v>7.5575126628944061E-13</c:v>
                </c:pt>
                <c:pt idx="140">
                  <c:v>7.5575126628944061E-13</c:v>
                </c:pt>
                <c:pt idx="141">
                  <c:v>7.5575126628944061E-13</c:v>
                </c:pt>
                <c:pt idx="142">
                  <c:v>7.5575126628944061E-13</c:v>
                </c:pt>
                <c:pt idx="143">
                  <c:v>7.5575126628944061E-13</c:v>
                </c:pt>
                <c:pt idx="144">
                  <c:v>7.5575126628944061E-13</c:v>
                </c:pt>
                <c:pt idx="145">
                  <c:v>7.5575126628944061E-13</c:v>
                </c:pt>
                <c:pt idx="146">
                  <c:v>7.5575126628944061E-13</c:v>
                </c:pt>
                <c:pt idx="147">
                  <c:v>7.5575126628944061E-13</c:v>
                </c:pt>
                <c:pt idx="148">
                  <c:v>7.5575126628944061E-13</c:v>
                </c:pt>
                <c:pt idx="149">
                  <c:v>7.5575126628944061E-13</c:v>
                </c:pt>
                <c:pt idx="150">
                  <c:v>7.5575126628944061E-13</c:v>
                </c:pt>
                <c:pt idx="151">
                  <c:v>7.5575126628944061E-13</c:v>
                </c:pt>
                <c:pt idx="152">
                  <c:v>7.5575126628944061E-13</c:v>
                </c:pt>
                <c:pt idx="153">
                  <c:v>7.5575126628944061E-13</c:v>
                </c:pt>
                <c:pt idx="154">
                  <c:v>7.5575126628944061E-13</c:v>
                </c:pt>
                <c:pt idx="155">
                  <c:v>7.5575126628944061E-13</c:v>
                </c:pt>
                <c:pt idx="156">
                  <c:v>7.5575126628944061E-13</c:v>
                </c:pt>
                <c:pt idx="157">
                  <c:v>7.5575126628944061E-13</c:v>
                </c:pt>
                <c:pt idx="158">
                  <c:v>7.5575126628944061E-13</c:v>
                </c:pt>
                <c:pt idx="159">
                  <c:v>7.5575126628944061E-13</c:v>
                </c:pt>
                <c:pt idx="160">
                  <c:v>7.5575126628944061E-13</c:v>
                </c:pt>
                <c:pt idx="161">
                  <c:v>7.5575126628944061E-13</c:v>
                </c:pt>
                <c:pt idx="162">
                  <c:v>7.5575126628944061E-13</c:v>
                </c:pt>
                <c:pt idx="163">
                  <c:v>7.5575126628944061E-13</c:v>
                </c:pt>
                <c:pt idx="164">
                  <c:v>7.5575126628944061E-13</c:v>
                </c:pt>
                <c:pt idx="165">
                  <c:v>7.5575126628944061E-13</c:v>
                </c:pt>
                <c:pt idx="166">
                  <c:v>7.5575126628944061E-13</c:v>
                </c:pt>
                <c:pt idx="167">
                  <c:v>7.5575126628944061E-13</c:v>
                </c:pt>
                <c:pt idx="168">
                  <c:v>7.5575126628944061E-13</c:v>
                </c:pt>
                <c:pt idx="169">
                  <c:v>7.5575126628944061E-13</c:v>
                </c:pt>
                <c:pt idx="170">
                  <c:v>7.5575126628944061E-13</c:v>
                </c:pt>
                <c:pt idx="171">
                  <c:v>7.5575126628944061E-13</c:v>
                </c:pt>
                <c:pt idx="172">
                  <c:v>7.5575126628944061E-13</c:v>
                </c:pt>
                <c:pt idx="173">
                  <c:v>7.5575126628944061E-13</c:v>
                </c:pt>
                <c:pt idx="174">
                  <c:v>7.5575126628944061E-13</c:v>
                </c:pt>
                <c:pt idx="175">
                  <c:v>7.5575126628944061E-13</c:v>
                </c:pt>
                <c:pt idx="176">
                  <c:v>7.5575126628944061E-13</c:v>
                </c:pt>
                <c:pt idx="177">
                  <c:v>7.5575126628944061E-13</c:v>
                </c:pt>
                <c:pt idx="178">
                  <c:v>7.5575126628944061E-13</c:v>
                </c:pt>
                <c:pt idx="179">
                  <c:v>7.5575126628944061E-13</c:v>
                </c:pt>
                <c:pt idx="180">
                  <c:v>7.5575126628944061E-13</c:v>
                </c:pt>
                <c:pt idx="181">
                  <c:v>7.5575126628944061E-13</c:v>
                </c:pt>
                <c:pt idx="182">
                  <c:v>7.5575126628944061E-13</c:v>
                </c:pt>
                <c:pt idx="183">
                  <c:v>7.5575126628944061E-13</c:v>
                </c:pt>
                <c:pt idx="184">
                  <c:v>7.5575126628944061E-13</c:v>
                </c:pt>
                <c:pt idx="185">
                  <c:v>7.5575126628944061E-13</c:v>
                </c:pt>
                <c:pt idx="186">
                  <c:v>7.5575126628944061E-13</c:v>
                </c:pt>
                <c:pt idx="187">
                  <c:v>7.5575126628944061E-13</c:v>
                </c:pt>
                <c:pt idx="188">
                  <c:v>7.5575126628944061E-13</c:v>
                </c:pt>
                <c:pt idx="189">
                  <c:v>7.5575126628944061E-13</c:v>
                </c:pt>
                <c:pt idx="190">
                  <c:v>7.5575126628944061E-13</c:v>
                </c:pt>
                <c:pt idx="191">
                  <c:v>7.5575126628944061E-13</c:v>
                </c:pt>
                <c:pt idx="192">
                  <c:v>7.5575126628944061E-13</c:v>
                </c:pt>
                <c:pt idx="193">
                  <c:v>7.5575126628944061E-13</c:v>
                </c:pt>
                <c:pt idx="194">
                  <c:v>7.5575126628944061E-13</c:v>
                </c:pt>
                <c:pt idx="195">
                  <c:v>7.5575126628944061E-13</c:v>
                </c:pt>
                <c:pt idx="196">
                  <c:v>7.5575126628944061E-13</c:v>
                </c:pt>
                <c:pt idx="197">
                  <c:v>7.5575126628944061E-13</c:v>
                </c:pt>
                <c:pt idx="198">
                  <c:v>7.5575126628944061E-13</c:v>
                </c:pt>
                <c:pt idx="199">
                  <c:v>7.5575126628944061E-13</c:v>
                </c:pt>
                <c:pt idx="200">
                  <c:v>7.5575126628944061E-13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2.1043770504051134</c:v>
                </c:pt>
                <c:pt idx="2">
                  <c:v>2.556635274731863</c:v>
                </c:pt>
                <c:pt idx="3">
                  <c:v>3.1064610439735567</c:v>
                </c:pt>
                <c:pt idx="4">
                  <c:v>3.7749787108909825</c:v>
                </c:pt>
                <c:pt idx="5">
                  <c:v>4.5879016370415391</c:v>
                </c:pt>
                <c:pt idx="6">
                  <c:v>5.5765322103947055</c:v>
                </c:pt>
                <c:pt idx="7">
                  <c:v>6.7789804101070219</c:v>
                </c:pt>
                <c:pt idx="8">
                  <c:v>8.2416488066415781</c:v>
                </c:pt>
                <c:pt idx="9">
                  <c:v>10.021042403998829</c:v>
                </c:pt>
                <c:pt idx="10">
                  <c:v>12.185974564858995</c:v>
                </c:pt>
                <c:pt idx="11">
                  <c:v>14.820255919629199</c:v>
                </c:pt>
                <c:pt idx="12">
                  <c:v>18.02597227029521</c:v>
                </c:pt>
                <c:pt idx="13">
                  <c:v>21.927480820970342</c:v>
                </c:pt>
                <c:pt idx="14">
                  <c:v>26.676282528815268</c:v>
                </c:pt>
                <c:pt idx="15">
                  <c:v>32.456963106872998</c:v>
                </c:pt>
                <c:pt idx="16">
                  <c:v>39.494437610763406</c:v>
                </c:pt>
                <c:pt idx="17">
                  <c:v>48.062785297322939</c:v>
                </c:pt>
                <c:pt idx="18">
                  <c:v>58.496024623120455</c:v>
                </c:pt>
                <c:pt idx="19">
                  <c:v>71.201255380100662</c:v>
                </c:pt>
                <c:pt idx="20">
                  <c:v>86.674689129479319</c:v>
                </c:pt>
                <c:pt idx="21">
                  <c:v>70.208784708255038</c:v>
                </c:pt>
                <c:pt idx="22">
                  <c:v>84.898706575488632</c:v>
                </c:pt>
                <c:pt idx="23">
                  <c:v>99.52442602177058</c:v>
                </c:pt>
                <c:pt idx="24">
                  <c:v>114.09673823116221</c:v>
                </c:pt>
                <c:pt idx="25">
                  <c:v>128.62343973346526</c:v>
                </c:pt>
                <c:pt idx="26">
                  <c:v>143.1104149110906</c:v>
                </c:pt>
                <c:pt idx="27">
                  <c:v>157.56225588280279</c:v>
                </c:pt>
                <c:pt idx="28">
                  <c:v>171.98264162724925</c:v>
                </c:pt>
                <c:pt idx="29">
                  <c:v>186.37458267443208</c:v>
                </c:pt>
                <c:pt idx="30">
                  <c:v>200.74058596732016</c:v>
                </c:pt>
                <c:pt idx="31">
                  <c:v>151.43520927905112</c:v>
                </c:pt>
                <c:pt idx="32">
                  <c:v>163.24658905905844</c:v>
                </c:pt>
                <c:pt idx="33">
                  <c:v>175.03776317918656</c:v>
                </c:pt>
                <c:pt idx="34">
                  <c:v>186.81028563699491</c:v>
                </c:pt>
                <c:pt idx="35">
                  <c:v>198.56549832270625</c:v>
                </c:pt>
                <c:pt idx="36">
                  <c:v>210.30457108963284</c:v>
                </c:pt>
                <c:pt idx="37">
                  <c:v>222.02853239227241</c:v>
                </c:pt>
                <c:pt idx="38">
                  <c:v>233.73829310368777</c:v>
                </c:pt>
                <c:pt idx="39">
                  <c:v>245.4346653033914</c:v>
                </c:pt>
                <c:pt idx="40">
                  <c:v>257.1183772918742</c:v>
                </c:pt>
                <c:pt idx="41">
                  <c:v>205.08912920241872</c:v>
                </c:pt>
                <c:pt idx="42">
                  <c:v>213.77986970233792</c:v>
                </c:pt>
                <c:pt idx="43">
                  <c:v>222.46247518327689</c:v>
                </c:pt>
                <c:pt idx="44">
                  <c:v>231.1373082753073</c:v>
                </c:pt>
                <c:pt idx="45">
                  <c:v>239.80470213417212</c:v>
                </c:pt>
                <c:pt idx="46">
                  <c:v>248.46496383915076</c:v>
                </c:pt>
                <c:pt idx="47">
                  <c:v>257.1183772918742</c:v>
                </c:pt>
                <c:pt idx="48">
                  <c:v>265.76520570407024</c:v>
                </c:pt>
                <c:pt idx="49">
                  <c:v>274.40569374429145</c:v>
                </c:pt>
                <c:pt idx="50">
                  <c:v>283.04006939986522</c:v>
                </c:pt>
                <c:pt idx="51">
                  <c:v>244.71304073260163</c:v>
                </c:pt>
                <c:pt idx="52">
                  <c:v>251.06169458557397</c:v>
                </c:pt>
                <c:pt idx="53">
                  <c:v>257.40670959179045</c:v>
                </c:pt>
                <c:pt idx="54">
                  <c:v>263.74818823223598</c:v>
                </c:pt>
                <c:pt idx="55">
                  <c:v>270.08622765058908</c:v>
                </c:pt>
                <c:pt idx="56">
                  <c:v>276.42092005274168</c:v>
                </c:pt>
                <c:pt idx="57">
                  <c:v>282.75235306773908</c:v>
                </c:pt>
                <c:pt idx="58">
                  <c:v>289.08061007466716</c:v>
                </c:pt>
                <c:pt idx="59">
                  <c:v>295.40577049938912</c:v>
                </c:pt>
                <c:pt idx="60">
                  <c:v>301.72791008451253</c:v>
                </c:pt>
                <c:pt idx="61">
                  <c:v>277.57232962767188</c:v>
                </c:pt>
                <c:pt idx="62">
                  <c:v>282.17690071187536</c:v>
                </c:pt>
                <c:pt idx="63">
                  <c:v>286.77978808603979</c:v>
                </c:pt>
                <c:pt idx="64">
                  <c:v>291.38102263306956</c:v>
                </c:pt>
                <c:pt idx="65">
                  <c:v>295.98063417932593</c:v>
                </c:pt>
                <c:pt idx="66">
                  <c:v>300.5786515470067</c:v>
                </c:pt>
                <c:pt idx="67">
                  <c:v>305.17510260314924</c:v>
                </c:pt>
                <c:pt idx="68">
                  <c:v>309.7700143055248</c:v>
                </c:pt>
                <c:pt idx="69">
                  <c:v>314.363412745662</c:v>
                </c:pt>
                <c:pt idx="70">
                  <c:v>318.95532318922386</c:v>
                </c:pt>
                <c:pt idx="71">
                  <c:v>299.57297004093181</c:v>
                </c:pt>
                <c:pt idx="72">
                  <c:v>303.16434624776599</c:v>
                </c:pt>
                <c:pt idx="73">
                  <c:v>306.75477579321574</c:v>
                </c:pt>
                <c:pt idx="74">
                  <c:v>310.34427134114759</c:v>
                </c:pt>
                <c:pt idx="75">
                  <c:v>313.93284523806807</c:v>
                </c:pt>
                <c:pt idx="76">
                  <c:v>317.5205095246979</c:v>
                </c:pt>
                <c:pt idx="77">
                  <c:v>321.10727594699443</c:v>
                </c:pt>
                <c:pt idx="78">
                  <c:v>324.69315596665706</c:v>
                </c:pt>
                <c:pt idx="79">
                  <c:v>328.27816077114107</c:v>
                </c:pt>
                <c:pt idx="80">
                  <c:v>331.86230128321324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120.49003654699459</c:v>
                </c:pt>
                <c:pt idx="22">
                  <c:v>127.1409435652896</c:v>
                </c:pt>
                <c:pt idx="23">
                  <c:v>133.78342099832221</c:v>
                </c:pt>
                <c:pt idx="24">
                  <c:v>140.41794724133206</c:v>
                </c:pt>
                <c:pt idx="25">
                  <c:v>147.04495169244021</c:v>
                </c:pt>
                <c:pt idx="26">
                  <c:v>153.66482180332244</c:v>
                </c:pt>
                <c:pt idx="27">
                  <c:v>160.27790884848659</c:v>
                </c:pt>
                <c:pt idx="28">
                  <c:v>166.88453269044854</c:v>
                </c:pt>
                <c:pt idx="29">
                  <c:v>173.48498574926046</c:v>
                </c:pt>
                <c:pt idx="30">
                  <c:v>180.07953633511514</c:v>
                </c:pt>
                <c:pt idx="31">
                  <c:v>161.3963988836461</c:v>
                </c:pt>
                <c:pt idx="32">
                  <c:v>168.50982140403696</c:v>
                </c:pt>
                <c:pt idx="33">
                  <c:v>175.61616597279638</c:v>
                </c:pt>
                <c:pt idx="34">
                  <c:v>182.71575986748618</c:v>
                </c:pt>
                <c:pt idx="35">
                  <c:v>189.8089028116103</c:v>
                </c:pt>
                <c:pt idx="36">
                  <c:v>196.89587026062091</c:v>
                </c:pt>
                <c:pt idx="37">
                  <c:v>203.97691618927138</c:v>
                </c:pt>
                <c:pt idx="38">
                  <c:v>211.05227547104286</c:v>
                </c:pt>
                <c:pt idx="39">
                  <c:v>218.12216592131372</c:v>
                </c:pt>
                <c:pt idx="40">
                  <c:v>225.18679006138439</c:v>
                </c:pt>
                <c:pt idx="41">
                  <c:v>185.45243509395621</c:v>
                </c:pt>
                <c:pt idx="42">
                  <c:v>192.54316466070131</c:v>
                </c:pt>
                <c:pt idx="43">
                  <c:v>199.62781910044532</c:v>
                </c:pt>
                <c:pt idx="44">
                  <c:v>206.70664475823108</c:v>
                </c:pt>
                <c:pt idx="45">
                  <c:v>213.77986970233792</c:v>
                </c:pt>
                <c:pt idx="46">
                  <c:v>220.8477056536926</c:v>
                </c:pt>
                <c:pt idx="47">
                  <c:v>227.91034965501251</c:v>
                </c:pt>
                <c:pt idx="48">
                  <c:v>234.96798552194124</c:v>
                </c:pt>
                <c:pt idx="49">
                  <c:v>242.02078511048447</c:v>
                </c:pt>
                <c:pt idx="50">
                  <c:v>249.06890942879204</c:v>
                </c:pt>
                <c:pt idx="51">
                  <c:v>210.44603337328724</c:v>
                </c:pt>
                <c:pt idx="52">
                  <c:v>218.52599874468254</c:v>
                </c:pt>
                <c:pt idx="53">
                  <c:v>226.59909976948109</c:v>
                </c:pt>
                <c:pt idx="54">
                  <c:v>234.6656157923758</c:v>
                </c:pt>
                <c:pt idx="55">
                  <c:v>242.72580536134669</c:v>
                </c:pt>
                <c:pt idx="56">
                  <c:v>250.77990843042718</c:v>
                </c:pt>
                <c:pt idx="57">
                  <c:v>258.82814826436976</c:v>
                </c:pt>
                <c:pt idx="58">
                  <c:v>266.87073309376296</c:v>
                </c:pt>
                <c:pt idx="59">
                  <c:v>274.90785755999178</c:v>
                </c:pt>
                <c:pt idx="60">
                  <c:v>282.93970398221973</c:v>
                </c:pt>
                <c:pt idx="61">
                  <c:v>243.93430319999138</c:v>
                </c:pt>
                <c:pt idx="62">
                  <c:v>251.48436037421268</c:v>
                </c:pt>
                <c:pt idx="63">
                  <c:v>259.02928096815748</c:v>
                </c:pt>
                <c:pt idx="64">
                  <c:v>266.56923588073721</c:v>
                </c:pt>
                <c:pt idx="65">
                  <c:v>274.10438554233065</c:v>
                </c:pt>
                <c:pt idx="66">
                  <c:v>281.63488083258886</c:v>
                </c:pt>
                <c:pt idx="67">
                  <c:v>289.160863894849</c:v>
                </c:pt>
                <c:pt idx="68">
                  <c:v>296.68246886125024</c:v>
                </c:pt>
                <c:pt idx="69">
                  <c:v>304.19982250040647</c:v>
                </c:pt>
                <c:pt idx="70">
                  <c:v>311.71304479765791</c:v>
                </c:pt>
                <c:pt idx="71">
                  <c:v>272.99952502719981</c:v>
                </c:pt>
                <c:pt idx="72">
                  <c:v>280.73146236841148</c:v>
                </c:pt>
                <c:pt idx="73">
                  <c:v>288.45862606345253</c:v>
                </c:pt>
                <c:pt idx="74">
                  <c:v>296.18116215846925</c:v>
                </c:pt>
                <c:pt idx="75">
                  <c:v>303.89920845414628</c:v>
                </c:pt>
                <c:pt idx="76">
                  <c:v>311.6128951734467</c:v>
                </c:pt>
                <c:pt idx="77">
                  <c:v>319.3223455597273</c:v>
                </c:pt>
                <c:pt idx="78">
                  <c:v>327.02767641403034</c:v>
                </c:pt>
                <c:pt idx="79">
                  <c:v>334.72899857905378</c:v>
                </c:pt>
                <c:pt idx="80">
                  <c:v>342.42641737622415</c:v>
                </c:pt>
                <c:pt idx="81">
                  <c:v>304.40022819227744</c:v>
                </c:pt>
                <c:pt idx="82">
                  <c:v>312.71450180432913</c:v>
                </c:pt>
                <c:pt idx="83">
                  <c:v>321.02387288556099</c:v>
                </c:pt>
                <c:pt idx="84">
                  <c:v>329.32848633594546</c:v>
                </c:pt>
                <c:pt idx="85">
                  <c:v>337.62847914518375</c:v>
                </c:pt>
                <c:pt idx="86">
                  <c:v>345.92398101265036</c:v>
                </c:pt>
                <c:pt idx="87">
                  <c:v>354.21511490472858</c:v>
                </c:pt>
                <c:pt idx="88">
                  <c:v>362.50199755720956</c:v>
                </c:pt>
                <c:pt idx="89">
                  <c:v>370.78473992932794</c:v>
                </c:pt>
                <c:pt idx="90">
                  <c:v>379.06344761508905</c:v>
                </c:pt>
                <c:pt idx="91">
                  <c:v>341.12712268545346</c:v>
                </c:pt>
                <c:pt idx="92">
                  <c:v>349.42076801278273</c:v>
                </c:pt>
                <c:pt idx="93">
                  <c:v>357.71009532310563</c:v>
                </c:pt>
                <c:pt idx="94">
                  <c:v>365.99521886354137</c:v>
                </c:pt>
                <c:pt idx="95">
                  <c:v>374.27624728301316</c:v>
                </c:pt>
                <c:pt idx="96">
                  <c:v>382.55328402706982</c:v>
                </c:pt>
                <c:pt idx="97">
                  <c:v>390.82642769673799</c:v>
                </c:pt>
                <c:pt idx="98">
                  <c:v>399.09577237538946</c:v>
                </c:pt>
                <c:pt idx="99">
                  <c:v>407.36140792709375</c:v>
                </c:pt>
                <c:pt idx="100">
                  <c:v>415.62342026948232</c:v>
                </c:pt>
                <c:pt idx="101">
                  <c:v>378.1659483420201</c:v>
                </c:pt>
                <c:pt idx="102">
                  <c:v>386.83985045971798</c:v>
                </c:pt>
                <c:pt idx="103">
                  <c:v>395.50952933718435</c:v>
                </c:pt>
                <c:pt idx="104">
                  <c:v>404.17509065511155</c:v>
                </c:pt>
                <c:pt idx="105">
                  <c:v>412.83663519043193</c:v>
                </c:pt>
                <c:pt idx="106">
                  <c:v>421.49425914421028</c:v>
                </c:pt>
                <c:pt idx="107">
                  <c:v>430.14805444118133</c:v>
                </c:pt>
                <c:pt idx="108">
                  <c:v>438.7981090039205</c:v>
                </c:pt>
                <c:pt idx="109">
                  <c:v>447.44450700426086</c:v>
                </c:pt>
                <c:pt idx="110">
                  <c:v>456.08732909426044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1.512366490360451</c:v>
                </c:pt>
                <c:pt idx="2">
                  <c:v>1.8181633703061575</c:v>
                </c:pt>
                <c:pt idx="3">
                  <c:v>2.1860294750601583</c:v>
                </c:pt>
                <c:pt idx="4">
                  <c:v>2.6286090618950531</c:v>
                </c:pt>
                <c:pt idx="5">
                  <c:v>3.1611309387529265</c:v>
                </c:pt>
                <c:pt idx="6">
                  <c:v>3.8019384319145431</c:v>
                </c:pt>
                <c:pt idx="7">
                  <c:v>4.5731283428014313</c:v>
                </c:pt>
                <c:pt idx="8">
                  <c:v>5.5013213681145139</c:v>
                </c:pt>
                <c:pt idx="9">
                  <c:v>6.6185911032323714</c:v>
                </c:pt>
                <c:pt idx="10">
                  <c:v>7.963584356995125</c:v>
                </c:pt>
                <c:pt idx="11">
                  <c:v>9.5828722764944398</c:v>
                </c:pt>
                <c:pt idx="12">
                  <c:v>11.5325799546402</c:v>
                </c:pt>
                <c:pt idx="13">
                  <c:v>13.880352062656286</c:v>
                </c:pt>
                <c:pt idx="14">
                  <c:v>16.707723966522575</c:v>
                </c:pt>
                <c:pt idx="15">
                  <c:v>20.112982176300619</c:v>
                </c:pt>
                <c:pt idx="16">
                  <c:v>24.214615354435519</c:v>
                </c:pt>
                <c:pt idx="17">
                  <c:v>29.155478094780012</c:v>
                </c:pt>
                <c:pt idx="18">
                  <c:v>35.107815028919596</c:v>
                </c:pt>
                <c:pt idx="19">
                  <c:v>42.279323427490461</c:v>
                </c:pt>
                <c:pt idx="20">
                  <c:v>50.920469437732926</c:v>
                </c:pt>
                <c:pt idx="21">
                  <c:v>68.0619415500651</c:v>
                </c:pt>
                <c:pt idx="22">
                  <c:v>85.091493816552017</c:v>
                </c:pt>
                <c:pt idx="23">
                  <c:v>102.0348626580377</c:v>
                </c:pt>
                <c:pt idx="24">
                  <c:v>118.90843869612782</c:v>
                </c:pt>
                <c:pt idx="25">
                  <c:v>135.72354646432137</c:v>
                </c:pt>
                <c:pt idx="26">
                  <c:v>152.48846139963032</c:v>
                </c:pt>
                <c:pt idx="27">
                  <c:v>169.20948440864245</c:v>
                </c:pt>
                <c:pt idx="28">
                  <c:v>185.89156631511483</c:v>
                </c:pt>
                <c:pt idx="29">
                  <c:v>202.53869517569194</c:v>
                </c:pt>
                <c:pt idx="30">
                  <c:v>219.15414904968131</c:v>
                </c:pt>
                <c:pt idx="31">
                  <c:v>197.96402019269192</c:v>
                </c:pt>
                <c:pt idx="32">
                  <c:v>216.24860488245011</c:v>
                </c:pt>
                <c:pt idx="33">
                  <c:v>234.49762876686279</c:v>
                </c:pt>
                <c:pt idx="34">
                  <c:v>252.7142486674276</c:v>
                </c:pt>
                <c:pt idx="35">
                  <c:v>270.90112885942705</c:v>
                </c:pt>
                <c:pt idx="36">
                  <c:v>289.06054654178126</c:v>
                </c:pt>
                <c:pt idx="37">
                  <c:v>307.19446937538345</c:v>
                </c:pt>
                <c:pt idx="38">
                  <c:v>325.3046137331641</c:v>
                </c:pt>
                <c:pt idx="39">
                  <c:v>343.39248928860093</c:v>
                </c:pt>
                <c:pt idx="40">
                  <c:v>361.45943371216907</c:v>
                </c:pt>
                <c:pt idx="41">
                  <c:v>282.15069246904187</c:v>
                </c:pt>
                <c:pt idx="42">
                  <c:v>289.26675358993276</c:v>
                </c:pt>
                <c:pt idx="43">
                  <c:v>296.37890206096682</c:v>
                </c:pt>
                <c:pt idx="44">
                  <c:v>303.4872451241161</c:v>
                </c:pt>
                <c:pt idx="45">
                  <c:v>310.59188458206592</c:v>
                </c:pt>
                <c:pt idx="46">
                  <c:v>317.69291719497346</c:v>
                </c:pt>
                <c:pt idx="47">
                  <c:v>324.79043503987072</c:v>
                </c:pt>
                <c:pt idx="48">
                  <c:v>331.88452583698489</c:v>
                </c:pt>
                <c:pt idx="49">
                  <c:v>338.97527324667982</c:v>
                </c:pt>
                <c:pt idx="50">
                  <c:v>346.06275714023462</c:v>
                </c:pt>
                <c:pt idx="51">
                  <c:v>285.96704456474021</c:v>
                </c:pt>
                <c:pt idx="52">
                  <c:v>312.34174557920602</c:v>
                </c:pt>
                <c:pt idx="53">
                  <c:v>338.66704830724694</c:v>
                </c:pt>
                <c:pt idx="54">
                  <c:v>364.94732928734339</c:v>
                </c:pt>
                <c:pt idx="55">
                  <c:v>391.18628345724909</c:v>
                </c:pt>
                <c:pt idx="56">
                  <c:v>417.38706985661014</c:v>
                </c:pt>
                <c:pt idx="57">
                  <c:v>443.55241880513648</c:v>
                </c:pt>
                <c:pt idx="58">
                  <c:v>469.68471245950815</c:v>
                </c:pt>
                <c:pt idx="59">
                  <c:v>495.78604650385006</c:v>
                </c:pt>
                <c:pt idx="60">
                  <c:v>521.85827817240499</c:v>
                </c:pt>
                <c:pt idx="61">
                  <c:v>449.78217139165537</c:v>
                </c:pt>
                <c:pt idx="62">
                  <c:v>463.35871396873898</c:v>
                </c:pt>
                <c:pt idx="63">
                  <c:v>476.92677357445069</c:v>
                </c:pt>
                <c:pt idx="64">
                  <c:v>490.48662549667478</c:v>
                </c:pt>
                <c:pt idx="65">
                  <c:v>504.03852856388181</c:v>
                </c:pt>
                <c:pt idx="66">
                  <c:v>517.5827265545804</c:v>
                </c:pt>
                <c:pt idx="67">
                  <c:v>531.11944945158882</c:v>
                </c:pt>
                <c:pt idx="68">
                  <c:v>544.64891456181499</c:v>
                </c:pt>
                <c:pt idx="69">
                  <c:v>558.17132751901761</c:v>
                </c:pt>
                <c:pt idx="70">
                  <c:v>571.68688318436864</c:v>
                </c:pt>
                <c:pt idx="71">
                  <c:v>515.64830400797825</c:v>
                </c:pt>
                <c:pt idx="72">
                  <c:v>527.7613989167188</c:v>
                </c:pt>
                <c:pt idx="73">
                  <c:v>539.86864147033168</c:v>
                </c:pt>
                <c:pt idx="74">
                  <c:v>551.97018138835097</c:v>
                </c:pt>
                <c:pt idx="75">
                  <c:v>564.06616129128554</c:v>
                </c:pt>
                <c:pt idx="76">
                  <c:v>576.15671718544479</c:v>
                </c:pt>
                <c:pt idx="77">
                  <c:v>588.24197890496157</c:v>
                </c:pt>
                <c:pt idx="78">
                  <c:v>600.32207051561431</c:v>
                </c:pt>
                <c:pt idx="79">
                  <c:v>612.39711068446434</c:v>
                </c:pt>
                <c:pt idx="80">
                  <c:v>624.46721301883497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1.8917258979789879</c:v>
                </c:pt>
                <c:pt idx="2">
                  <c:v>2.3074540372543173</c:v>
                </c:pt>
                <c:pt idx="3">
                  <c:v>2.8148953385457798</c:v>
                </c:pt>
                <c:pt idx="4">
                  <c:v>3.4343559758792388</c:v>
                </c:pt>
                <c:pt idx="5">
                  <c:v>4.1906533722832648</c:v>
                </c:pt>
                <c:pt idx="6">
                  <c:v>5.1141215864537903</c:v>
                </c:pt>
                <c:pt idx="7">
                  <c:v>6.2418414143326073</c:v>
                </c:pt>
                <c:pt idx="8">
                  <c:v>7.6191455660130769</c:v>
                </c:pt>
                <c:pt idx="9">
                  <c:v>9.3014605920777775</c:v>
                </c:pt>
                <c:pt idx="10">
                  <c:v>11.356561094464588</c:v>
                </c:pt>
                <c:pt idx="11">
                  <c:v>13.86732873992832</c:v>
                </c:pt>
                <c:pt idx="12">
                  <c:v>16.935129403676104</c:v>
                </c:pt>
                <c:pt idx="13">
                  <c:v>20.68394727065299</c:v>
                </c:pt>
                <c:pt idx="14">
                  <c:v>25.26544597144051</c:v>
                </c:pt>
                <c:pt idx="15">
                  <c:v>30.865165127605138</c:v>
                </c:pt>
                <c:pt idx="16">
                  <c:v>37.71010762027948</c:v>
                </c:pt>
                <c:pt idx="17">
                  <c:v>46.078030428938128</c:v>
                </c:pt>
                <c:pt idx="18">
                  <c:v>56.30882241009423</c:v>
                </c:pt>
                <c:pt idx="19">
                  <c:v>68.818438835784079</c:v>
                </c:pt>
                <c:pt idx="20">
                  <c:v>84.115968492471652</c:v>
                </c:pt>
                <c:pt idx="21">
                  <c:v>97.554514250101889</c:v>
                </c:pt>
                <c:pt idx="22">
                  <c:v>110.94698489986827</c:v>
                </c:pt>
                <c:pt idx="23">
                  <c:v>124.29973684178829</c:v>
                </c:pt>
                <c:pt idx="24">
                  <c:v>137.61764410276893</c:v>
                </c:pt>
                <c:pt idx="25">
                  <c:v>150.90455756698671</c:v>
                </c:pt>
                <c:pt idx="26">
                  <c:v>164.16359306202688</c:v>
                </c:pt>
                <c:pt idx="27">
                  <c:v>177.39732107296882</c:v>
                </c:pt>
                <c:pt idx="28">
                  <c:v>190.60789667260721</c:v>
                </c:pt>
                <c:pt idx="29">
                  <c:v>203.79715143595331</c:v>
                </c:pt>
                <c:pt idx="30">
                  <c:v>216.96666025537795</c:v>
                </c:pt>
                <c:pt idx="31">
                  <c:v>178.17503537456423</c:v>
                </c:pt>
                <c:pt idx="32">
                  <c:v>192.4194111275834</c:v>
                </c:pt>
                <c:pt idx="33">
                  <c:v>206.63925413557968</c:v>
                </c:pt>
                <c:pt idx="34">
                  <c:v>220.83649103083067</c:v>
                </c:pt>
                <c:pt idx="35">
                  <c:v>235.01278028177913</c:v>
                </c:pt>
                <c:pt idx="36">
                  <c:v>249.16956379358496</c:v>
                </c:pt>
                <c:pt idx="37">
                  <c:v>263.3081061496967</c:v>
                </c:pt>
                <c:pt idx="38">
                  <c:v>277.42952497301968</c:v>
                </c:pt>
                <c:pt idx="39">
                  <c:v>291.53481477536712</c:v>
                </c:pt>
                <c:pt idx="40">
                  <c:v>305.62486594574432</c:v>
                </c:pt>
                <c:pt idx="41">
                  <c:v>247.49746299241795</c:v>
                </c:pt>
                <c:pt idx="42">
                  <c:v>261.25268017016526</c:v>
                </c:pt>
                <c:pt idx="43">
                  <c:v>274.99154952399925</c:v>
                </c:pt>
                <c:pt idx="44">
                  <c:v>288.71500303129199</c:v>
                </c:pt>
                <c:pt idx="45">
                  <c:v>302.42387680444131</c:v>
                </c:pt>
                <c:pt idx="46">
                  <c:v>316.11892494264958</c:v>
                </c:pt>
                <c:pt idx="47">
                  <c:v>329.80083085635027</c:v>
                </c:pt>
                <c:pt idx="48">
                  <c:v>343.47021661326585</c:v>
                </c:pt>
                <c:pt idx="49">
                  <c:v>357.12765071829648</c:v>
                </c:pt>
                <c:pt idx="50">
                  <c:v>370.7736546407628</c:v>
                </c:pt>
                <c:pt idx="51">
                  <c:v>311.51274483481546</c:v>
                </c:pt>
                <c:pt idx="52">
                  <c:v>323.79259907322466</c:v>
                </c:pt>
                <c:pt idx="53">
                  <c:v>336.06216151622726</c:v>
                </c:pt>
                <c:pt idx="54">
                  <c:v>348.32186095767742</c:v>
                </c:pt>
                <c:pt idx="55">
                  <c:v>360.57209353569027</c:v>
                </c:pt>
                <c:pt idx="56">
                  <c:v>372.81322626817473</c:v>
                </c:pt>
                <c:pt idx="57">
                  <c:v>385.04560009964825</c:v>
                </c:pt>
                <c:pt idx="58">
                  <c:v>397.26953254058282</c:v>
                </c:pt>
                <c:pt idx="59">
                  <c:v>409.48531996489601</c:v>
                </c:pt>
                <c:pt idx="60">
                  <c:v>421.69323961894679</c:v>
                </c:pt>
                <c:pt idx="61">
                  <c:v>369.49879816887756</c:v>
                </c:pt>
                <c:pt idx="62">
                  <c:v>379.69499344441147</c:v>
                </c:pt>
                <c:pt idx="63">
                  <c:v>389.88523246274644</c:v>
                </c:pt>
                <c:pt idx="64">
                  <c:v>400.0696929048429</c:v>
                </c:pt>
                <c:pt idx="65">
                  <c:v>410.2485426639725</c:v>
                </c:pt>
                <c:pt idx="66">
                  <c:v>420.42194061957366</c:v>
                </c:pt>
                <c:pt idx="67">
                  <c:v>430.5900373322807</c:v>
                </c:pt>
                <c:pt idx="68">
                  <c:v>440.75297566986904</c:v>
                </c:pt>
                <c:pt idx="69">
                  <c:v>450.91089137244717</c:v>
                </c:pt>
                <c:pt idx="70">
                  <c:v>461.06391356406112</c:v>
                </c:pt>
                <c:pt idx="71">
                  <c:v>420.42194061957366</c:v>
                </c:pt>
                <c:pt idx="72">
                  <c:v>428.04850220658636</c:v>
                </c:pt>
                <c:pt idx="73">
                  <c:v>435.67214265339436</c:v>
                </c:pt>
                <c:pt idx="74">
                  <c:v>443.29292031429787</c:v>
                </c:pt>
                <c:pt idx="75">
                  <c:v>450.91089137244717</c:v>
                </c:pt>
                <c:pt idx="76">
                  <c:v>458.52610995674212</c:v>
                </c:pt>
                <c:pt idx="77">
                  <c:v>466.13862825055884</c:v>
                </c:pt>
                <c:pt idx="78">
                  <c:v>473.74849659300213</c:v>
                </c:pt>
                <c:pt idx="79">
                  <c:v>481.35576357331178</c:v>
                </c:pt>
                <c:pt idx="80">
                  <c:v>488.96047611898717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9" t="s">
        <v>291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3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3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3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3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3">
      <c r="B18" s="259" t="s">
        <v>292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3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3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3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3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3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3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3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3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3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3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3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3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3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H18" sqref="H1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0" t="s">
        <v>190</v>
      </c>
      <c r="D1" s="260"/>
      <c r="E1" s="26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5" t="s">
        <v>192</v>
      </c>
      <c r="C3" s="266"/>
      <c r="D3" s="266"/>
      <c r="E3" s="266"/>
      <c r="F3" s="267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0" t="s">
        <v>231</v>
      </c>
      <c r="B5" s="270"/>
      <c r="C5" s="24">
        <v>30.41</v>
      </c>
      <c r="D5" s="271" t="s">
        <v>229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9" t="s">
        <v>226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0.16</v>
      </c>
      <c r="D9" s="33">
        <f t="shared" ref="D9:D18" si="0">C9*$C$5</f>
        <v>4.8655999999999997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81</v>
      </c>
      <c r="C10" s="32">
        <v>0.09</v>
      </c>
      <c r="D10" s="33">
        <f t="shared" si="0"/>
        <v>2.7368999999999999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35</v>
      </c>
      <c r="C11" s="32">
        <v>0.33</v>
      </c>
      <c r="D11" s="33">
        <f t="shared" si="0"/>
        <v>10.035300000000001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</v>
      </c>
      <c r="C12" s="32">
        <v>0.02</v>
      </c>
      <c r="D12" s="33">
        <f t="shared" si="0"/>
        <v>0.60819999999999996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30</v>
      </c>
      <c r="C13" s="32">
        <v>0.01</v>
      </c>
      <c r="D13" s="33">
        <f t="shared" si="0"/>
        <v>0.30409999999999998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50</v>
      </c>
      <c r="C14" s="32">
        <v>0.04</v>
      </c>
      <c r="D14" s="33">
        <f t="shared" si="0"/>
        <v>1.2163999999999999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164</v>
      </c>
      <c r="C15" s="32">
        <v>0.24</v>
      </c>
      <c r="D15" s="33">
        <f t="shared" si="0"/>
        <v>7.2984</v>
      </c>
      <c r="E15" s="34">
        <v>110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45</v>
      </c>
      <c r="C16" s="32">
        <v>0.05</v>
      </c>
      <c r="D16" s="33">
        <f t="shared" si="0"/>
        <v>1.5205000000000002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38</v>
      </c>
      <c r="C17" s="32">
        <v>0.05</v>
      </c>
      <c r="D17" s="33">
        <f t="shared" si="0"/>
        <v>1.5205000000000002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52</v>
      </c>
      <c r="C18" s="32">
        <v>0.01</v>
      </c>
      <c r="D18" s="33">
        <f t="shared" si="0"/>
        <v>0.30409999999999998</v>
      </c>
      <c r="E18" s="34">
        <v>120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1.0000000000000002</v>
      </c>
      <c r="D19" s="38">
        <f>SUM(D9:D18)</f>
        <v>30.409999999999997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8" t="s">
        <v>232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9" t="s">
        <v>227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1" t="s">
        <v>186</v>
      </c>
      <c r="D34" s="261"/>
      <c r="E34" s="262" t="s">
        <v>187</v>
      </c>
      <c r="F34" s="263"/>
      <c r="G34" s="263"/>
      <c r="H34" s="264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15</v>
      </c>
      <c r="B36" s="257">
        <v>32</v>
      </c>
      <c r="C36" s="257"/>
      <c r="D36" s="257">
        <v>0</v>
      </c>
      <c r="E36" s="63"/>
      <c r="F36" s="63"/>
      <c r="G36" s="63"/>
      <c r="H36" s="258"/>
      <c r="I36" s="49">
        <f>IFERROR(B36/A36,"")</f>
        <v>2.1333333333333333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7">
        <v>20</v>
      </c>
      <c r="B37" s="257">
        <v>95</v>
      </c>
      <c r="C37" s="257">
        <v>1</v>
      </c>
      <c r="D37" s="257">
        <v>20</v>
      </c>
      <c r="E37" s="63"/>
      <c r="F37" s="63">
        <v>0.5</v>
      </c>
      <c r="G37" s="63">
        <v>0.5</v>
      </c>
      <c r="H37" s="258"/>
      <c r="I37" s="53">
        <f t="shared" ref="I37:I55" si="1">IF(A37&lt;&gt;0,(B37-(B36-D36))/(A37-A36),"")</f>
        <v>12.6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7">
        <v>30</v>
      </c>
      <c r="B38" s="257">
        <v>240</v>
      </c>
      <c r="C38" s="257">
        <v>2</v>
      </c>
      <c r="D38" s="257">
        <v>84</v>
      </c>
      <c r="E38" s="63">
        <v>0.1</v>
      </c>
      <c r="F38" s="63">
        <v>0.45</v>
      </c>
      <c r="G38" s="63">
        <v>0.45</v>
      </c>
      <c r="H38" s="258"/>
      <c r="I38" s="53">
        <f t="shared" si="1"/>
        <v>16.5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7">
        <v>40</v>
      </c>
      <c r="B39" s="257">
        <v>329</v>
      </c>
      <c r="C39" s="257">
        <v>3</v>
      </c>
      <c r="D39" s="257">
        <v>84</v>
      </c>
      <c r="E39" s="63"/>
      <c r="F39" s="63"/>
      <c r="G39" s="63"/>
      <c r="H39" s="258"/>
      <c r="I39" s="49">
        <f t="shared" si="1"/>
        <v>17.3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7">
        <v>50</v>
      </c>
      <c r="B40" s="257">
        <v>400</v>
      </c>
      <c r="C40" s="257">
        <v>4</v>
      </c>
      <c r="D40" s="257">
        <v>84</v>
      </c>
      <c r="E40" s="63"/>
      <c r="F40" s="63"/>
      <c r="G40" s="63"/>
      <c r="H40" s="258"/>
      <c r="I40" s="49">
        <f t="shared" si="1"/>
        <v>15.5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7">
        <v>60</v>
      </c>
      <c r="B41" s="257">
        <v>448</v>
      </c>
      <c r="C41" s="257">
        <v>5</v>
      </c>
      <c r="D41" s="257">
        <v>69</v>
      </c>
      <c r="E41" s="63"/>
      <c r="F41" s="63"/>
      <c r="G41" s="63"/>
      <c r="H41" s="258"/>
      <c r="I41" s="53">
        <f t="shared" si="1"/>
        <v>13.2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7">
        <v>70</v>
      </c>
      <c r="B42" s="257">
        <v>485</v>
      </c>
      <c r="C42" s="257">
        <v>6</v>
      </c>
      <c r="D42" s="257">
        <v>54</v>
      </c>
      <c r="E42" s="63"/>
      <c r="F42" s="63"/>
      <c r="G42" s="63"/>
      <c r="H42" s="258"/>
      <c r="I42" s="53">
        <f t="shared" si="1"/>
        <v>10.6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7">
        <v>80</v>
      </c>
      <c r="B43" s="257">
        <v>514</v>
      </c>
      <c r="C43" s="257">
        <v>7</v>
      </c>
      <c r="D43" s="257">
        <f>B43</f>
        <v>514</v>
      </c>
      <c r="E43" s="63"/>
      <c r="F43" s="63"/>
      <c r="G43" s="63"/>
      <c r="H43" s="258"/>
      <c r="I43" s="49">
        <f t="shared" si="1"/>
        <v>8.3000000000000007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hybride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1" t="s">
        <v>186</v>
      </c>
      <c r="D60" s="261"/>
      <c r="E60" s="262" t="s">
        <v>187</v>
      </c>
      <c r="F60" s="263"/>
      <c r="G60" s="263"/>
      <c r="H60" s="264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23</v>
      </c>
      <c r="C62" s="50"/>
      <c r="D62" s="60">
        <v>0</v>
      </c>
      <c r="E62" s="51"/>
      <c r="F62" s="51"/>
      <c r="G62" s="51"/>
      <c r="H62" s="51"/>
      <c r="I62" s="53">
        <f>IFERROR(B62/A62,"")</f>
        <v>2.2999999999999998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v>137</v>
      </c>
      <c r="C63" s="50">
        <v>1</v>
      </c>
      <c r="D63" s="60">
        <f>22+35</f>
        <v>57</v>
      </c>
      <c r="E63" s="63"/>
      <c r="F63" s="63">
        <v>0.5</v>
      </c>
      <c r="G63" s="63">
        <v>0.5</v>
      </c>
      <c r="H63" s="51"/>
      <c r="I63" s="49">
        <f>IF(A63&lt;&gt;0,(B63-(B62-D62))/(A63-A62),"")</f>
        <v>11.4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220</v>
      </c>
      <c r="C64" s="50">
        <v>2</v>
      </c>
      <c r="D64" s="60">
        <f>35+35</f>
        <v>70</v>
      </c>
      <c r="E64" s="63">
        <v>0.1</v>
      </c>
      <c r="F64" s="63">
        <v>0.45</v>
      </c>
      <c r="G64" s="63">
        <v>0.45</v>
      </c>
      <c r="H64" s="51"/>
      <c r="I64" s="49">
        <f>IF(A64&lt;&gt;0,(B64-(B63-D63))/(A64-A63),"")</f>
        <v>14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40</v>
      </c>
      <c r="B65" s="60">
        <v>271</v>
      </c>
      <c r="C65" s="50">
        <v>3</v>
      </c>
      <c r="D65" s="60">
        <f>35+33</f>
        <v>68</v>
      </c>
      <c r="E65" s="51"/>
      <c r="F65" s="51"/>
      <c r="G65" s="51"/>
      <c r="H65" s="51"/>
      <c r="I65" s="49">
        <f>IF(A65&lt;&gt;0,(B65-(B64-D64))/(A65-A64),"")</f>
        <v>12.1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50</v>
      </c>
      <c r="B66" s="60">
        <v>302</v>
      </c>
      <c r="C66" s="50">
        <v>4</v>
      </c>
      <c r="D66" s="60">
        <f>29+26</f>
        <v>55</v>
      </c>
      <c r="E66" s="51"/>
      <c r="F66" s="51"/>
      <c r="G66" s="51"/>
      <c r="H66" s="51"/>
      <c r="I66" s="49">
        <f t="shared" ref="I66:I81" si="2">IF(A66&lt;&gt;0,(B66-(B65-D65))/(A66-A65),"")</f>
        <v>9.9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60</v>
      </c>
      <c r="B67" s="60">
        <v>329</v>
      </c>
      <c r="C67" s="50">
        <v>5</v>
      </c>
      <c r="D67" s="60">
        <f>24+22</f>
        <v>46</v>
      </c>
      <c r="E67" s="51"/>
      <c r="F67" s="51"/>
      <c r="G67" s="51"/>
      <c r="H67" s="51"/>
      <c r="I67" s="49">
        <f t="shared" si="2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70</v>
      </c>
      <c r="B68" s="60">
        <v>354</v>
      </c>
      <c r="C68" s="50">
        <v>6</v>
      </c>
      <c r="D68" s="60">
        <f>21+21</f>
        <v>42</v>
      </c>
      <c r="E68" s="51"/>
      <c r="F68" s="51"/>
      <c r="G68" s="51"/>
      <c r="H68" s="51"/>
      <c r="I68" s="49">
        <f t="shared" si="2"/>
        <v>7.1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80</v>
      </c>
      <c r="B69" s="60">
        <v>373</v>
      </c>
      <c r="C69" s="50">
        <v>7</v>
      </c>
      <c r="D69" s="60">
        <f>B69</f>
        <v>373</v>
      </c>
      <c r="E69" s="51"/>
      <c r="F69" s="51"/>
      <c r="G69" s="51"/>
      <c r="H69" s="51"/>
      <c r="I69" s="49">
        <f t="shared" si="2"/>
        <v>6.1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1" t="s">
        <v>186</v>
      </c>
      <c r="D86" s="261"/>
      <c r="E86" s="262" t="s">
        <v>187</v>
      </c>
      <c r="F86" s="263"/>
      <c r="G86" s="263"/>
      <c r="H86" s="264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62</v>
      </c>
      <c r="C88" s="60"/>
      <c r="D88" s="60"/>
      <c r="E88" s="51"/>
      <c r="F88" s="51"/>
      <c r="G88" s="51"/>
      <c r="H88" s="87"/>
      <c r="I88" s="53">
        <f>IFERROR(B88/A88,"")</f>
        <v>3.1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164</v>
      </c>
      <c r="C89" s="60">
        <v>1</v>
      </c>
      <c r="D89" s="60">
        <v>41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10.199999999999999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233</v>
      </c>
      <c r="C90" s="60">
        <v>2</v>
      </c>
      <c r="D90" s="60">
        <v>56</v>
      </c>
      <c r="E90" s="87"/>
      <c r="F90" s="87"/>
      <c r="G90" s="87"/>
      <c r="H90" s="87"/>
      <c r="I90" s="53">
        <f t="shared" si="3"/>
        <v>11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284</v>
      </c>
      <c r="C91" s="60">
        <v>3</v>
      </c>
      <c r="D91" s="60">
        <v>56</v>
      </c>
      <c r="E91" s="87"/>
      <c r="F91" s="87"/>
      <c r="G91" s="87"/>
      <c r="H91" s="87"/>
      <c r="I91" s="53">
        <f t="shared" si="3"/>
        <v>10.7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324</v>
      </c>
      <c r="C92" s="60">
        <v>4</v>
      </c>
      <c r="D92" s="60">
        <v>49</v>
      </c>
      <c r="E92" s="87"/>
      <c r="F92" s="87"/>
      <c r="G92" s="87"/>
      <c r="H92" s="87"/>
      <c r="I92" s="53">
        <f t="shared" si="3"/>
        <v>9.6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355</v>
      </c>
      <c r="C93" s="60">
        <v>5</v>
      </c>
      <c r="D93" s="60">
        <v>38</v>
      </c>
      <c r="E93" s="87"/>
      <c r="F93" s="87"/>
      <c r="G93" s="87"/>
      <c r="H93" s="87"/>
      <c r="I93" s="53">
        <f t="shared" si="3"/>
        <v>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v>377</v>
      </c>
      <c r="C94" s="60">
        <v>6</v>
      </c>
      <c r="D94" s="60">
        <v>377</v>
      </c>
      <c r="E94" s="87"/>
      <c r="F94" s="87"/>
      <c r="G94" s="87"/>
      <c r="H94" s="87"/>
      <c r="I94" s="53">
        <f t="shared" si="3"/>
        <v>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Alisier torminal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1" t="s">
        <v>186</v>
      </c>
      <c r="D112" s="261"/>
      <c r="E112" s="262" t="s">
        <v>187</v>
      </c>
      <c r="F112" s="263"/>
      <c r="G112" s="263"/>
      <c r="H112" s="264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60">
        <v>25</v>
      </c>
      <c r="B114" s="60">
        <v>30</v>
      </c>
      <c r="C114" s="60">
        <v>0</v>
      </c>
      <c r="D114" s="60">
        <v>0</v>
      </c>
      <c r="E114" s="51"/>
      <c r="F114" s="51"/>
      <c r="G114" s="51"/>
      <c r="H114" s="51"/>
      <c r="I114" s="53">
        <f>IFERROR(B114/A114,"")</f>
        <v>1.2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60">
        <v>30</v>
      </c>
      <c r="B115" s="60">
        <v>54</v>
      </c>
      <c r="C115" s="60">
        <v>0</v>
      </c>
      <c r="D115" s="60">
        <v>0</v>
      </c>
      <c r="E115" s="51"/>
      <c r="F115" s="51"/>
      <c r="G115" s="51"/>
      <c r="H115" s="51"/>
      <c r="I115" s="53">
        <f t="shared" ref="I115:I133" si="4">IF(A115&lt;&gt;0,(B115-(B114-D114))/(A115-A114),"")</f>
        <v>4.8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60">
        <v>40</v>
      </c>
      <c r="B116" s="60">
        <v>106</v>
      </c>
      <c r="C116" s="60">
        <v>1</v>
      </c>
      <c r="D116" s="60">
        <v>27</v>
      </c>
      <c r="E116" s="51"/>
      <c r="F116" s="51"/>
      <c r="G116" s="51"/>
      <c r="H116" s="51"/>
      <c r="I116" s="53">
        <f t="shared" si="4"/>
        <v>5.2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60">
        <v>50</v>
      </c>
      <c r="B117" s="60">
        <v>135</v>
      </c>
      <c r="C117" s="60">
        <v>2</v>
      </c>
      <c r="D117" s="60">
        <v>28</v>
      </c>
      <c r="E117" s="51"/>
      <c r="F117" s="51"/>
      <c r="G117" s="51"/>
      <c r="H117" s="51"/>
      <c r="I117" s="53">
        <f t="shared" si="4"/>
        <v>5.6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60">
        <v>60</v>
      </c>
      <c r="B118" s="60">
        <v>162</v>
      </c>
      <c r="C118" s="60">
        <v>3</v>
      </c>
      <c r="D118" s="60">
        <v>28</v>
      </c>
      <c r="E118" s="51"/>
      <c r="F118" s="51"/>
      <c r="G118" s="51"/>
      <c r="H118" s="51"/>
      <c r="I118" s="53">
        <f t="shared" si="4"/>
        <v>5.5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60">
        <v>70</v>
      </c>
      <c r="B119" s="60">
        <v>186</v>
      </c>
      <c r="C119" s="60">
        <v>4</v>
      </c>
      <c r="D119" s="60">
        <v>28</v>
      </c>
      <c r="E119" s="51"/>
      <c r="F119" s="51"/>
      <c r="G119" s="51"/>
      <c r="H119" s="51"/>
      <c r="I119" s="53">
        <f t="shared" si="4"/>
        <v>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v>206</v>
      </c>
      <c r="C120" s="60">
        <v>5</v>
      </c>
      <c r="D120" s="60">
        <v>28</v>
      </c>
      <c r="E120" s="51"/>
      <c r="F120" s="51"/>
      <c r="G120" s="51"/>
      <c r="H120" s="51"/>
      <c r="I120" s="53">
        <f t="shared" si="4"/>
        <v>4.8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90</v>
      </c>
      <c r="B121" s="60">
        <v>221</v>
      </c>
      <c r="C121" s="60">
        <v>6</v>
      </c>
      <c r="D121" s="60">
        <v>28</v>
      </c>
      <c r="E121" s="51"/>
      <c r="F121" s="51"/>
      <c r="G121" s="51"/>
      <c r="H121" s="51"/>
      <c r="I121" s="53">
        <f t="shared" si="4"/>
        <v>4.3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100</v>
      </c>
      <c r="B122" s="60">
        <v>230</v>
      </c>
      <c r="C122" s="60">
        <v>7</v>
      </c>
      <c r="D122" s="60">
        <v>28</v>
      </c>
      <c r="E122" s="51"/>
      <c r="F122" s="51"/>
      <c r="G122" s="51"/>
      <c r="H122" s="51"/>
      <c r="I122" s="53">
        <f t="shared" si="4"/>
        <v>3.7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110</v>
      </c>
      <c r="B123" s="60">
        <v>233</v>
      </c>
      <c r="C123" s="60">
        <v>8</v>
      </c>
      <c r="D123" s="60">
        <v>27</v>
      </c>
      <c r="E123" s="51"/>
      <c r="F123" s="51"/>
      <c r="G123" s="51"/>
      <c r="H123" s="51"/>
      <c r="I123" s="53">
        <f t="shared" si="4"/>
        <v>3.1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120</v>
      </c>
      <c r="B124" s="60">
        <v>234</v>
      </c>
      <c r="C124" s="60">
        <v>9</v>
      </c>
      <c r="D124" s="60">
        <v>234</v>
      </c>
      <c r="E124" s="51"/>
      <c r="F124" s="51"/>
      <c r="G124" s="51"/>
      <c r="H124" s="51"/>
      <c r="I124" s="53">
        <f t="shared" si="4"/>
        <v>2.8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 t="s">
        <v>324</v>
      </c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Noyer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1" t="s">
        <v>186</v>
      </c>
      <c r="D138" s="261"/>
      <c r="E138" s="262" t="s">
        <v>187</v>
      </c>
      <c r="F138" s="263"/>
      <c r="G138" s="263"/>
      <c r="H138" s="264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60">
        <v>25</v>
      </c>
      <c r="B140" s="60">
        <v>30</v>
      </c>
      <c r="C140" s="60">
        <v>0</v>
      </c>
      <c r="D140" s="60">
        <v>0</v>
      </c>
      <c r="E140" s="51"/>
      <c r="F140" s="51"/>
      <c r="G140" s="51"/>
      <c r="H140" s="51"/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60">
        <v>30</v>
      </c>
      <c r="B141" s="60">
        <v>54</v>
      </c>
      <c r="C141" s="60">
        <v>0</v>
      </c>
      <c r="D141" s="60">
        <v>0</v>
      </c>
      <c r="E141" s="51"/>
      <c r="F141" s="51"/>
      <c r="G141" s="51"/>
      <c r="H141" s="51"/>
      <c r="I141" s="57">
        <f t="shared" ref="I141:I159" si="5">IF(A141&lt;&gt;0,(B141-(B140-D140))/(A141-A140),"")</f>
        <v>4.8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60">
        <v>40</v>
      </c>
      <c r="B142" s="60">
        <v>106</v>
      </c>
      <c r="C142" s="60">
        <v>1</v>
      </c>
      <c r="D142" s="60">
        <v>27</v>
      </c>
      <c r="E142" s="51"/>
      <c r="F142" s="51"/>
      <c r="G142" s="51"/>
      <c r="H142" s="51"/>
      <c r="I142" s="57">
        <f t="shared" si="5"/>
        <v>5.2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60">
        <v>50</v>
      </c>
      <c r="B143" s="60">
        <v>135</v>
      </c>
      <c r="C143" s="60">
        <v>2</v>
      </c>
      <c r="D143" s="60">
        <v>28</v>
      </c>
      <c r="E143" s="51"/>
      <c r="F143" s="51"/>
      <c r="G143" s="51"/>
      <c r="H143" s="51"/>
      <c r="I143" s="57">
        <f t="shared" si="5"/>
        <v>5.6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60">
        <v>60</v>
      </c>
      <c r="B144" s="60">
        <v>162</v>
      </c>
      <c r="C144" s="60">
        <v>3</v>
      </c>
      <c r="D144" s="60">
        <v>28</v>
      </c>
      <c r="E144" s="51"/>
      <c r="F144" s="51"/>
      <c r="G144" s="51"/>
      <c r="H144" s="51"/>
      <c r="I144" s="57">
        <f t="shared" si="5"/>
        <v>5.5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60">
        <v>70</v>
      </c>
      <c r="B145" s="60">
        <v>186</v>
      </c>
      <c r="C145" s="60">
        <v>4</v>
      </c>
      <c r="D145" s="60">
        <v>28</v>
      </c>
      <c r="E145" s="51"/>
      <c r="F145" s="51"/>
      <c r="G145" s="51"/>
      <c r="H145" s="51"/>
      <c r="I145" s="57">
        <f t="shared" si="5"/>
        <v>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60">
        <v>80</v>
      </c>
      <c r="B146" s="60">
        <v>206</v>
      </c>
      <c r="C146" s="60">
        <v>5</v>
      </c>
      <c r="D146" s="60">
        <v>28</v>
      </c>
      <c r="E146" s="51"/>
      <c r="F146" s="51"/>
      <c r="G146" s="51"/>
      <c r="H146" s="51"/>
      <c r="I146" s="57">
        <f t="shared" si="5"/>
        <v>4.8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60">
        <v>90</v>
      </c>
      <c r="B147" s="60">
        <v>221</v>
      </c>
      <c r="C147" s="60">
        <v>6</v>
      </c>
      <c r="D147" s="60">
        <v>28</v>
      </c>
      <c r="E147" s="51"/>
      <c r="F147" s="51"/>
      <c r="G147" s="51"/>
      <c r="H147" s="51"/>
      <c r="I147" s="57">
        <f>IF(A147&lt;&gt;0,(B147-(B146-D146))/(A147-A146),"")</f>
        <v>4.3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60">
        <v>100</v>
      </c>
      <c r="B148" s="60">
        <v>230</v>
      </c>
      <c r="C148" s="60">
        <v>7</v>
      </c>
      <c r="D148" s="60">
        <v>28</v>
      </c>
      <c r="E148" s="51"/>
      <c r="F148" s="51"/>
      <c r="G148" s="51"/>
      <c r="H148" s="51"/>
      <c r="I148" s="57">
        <f t="shared" si="5"/>
        <v>3.7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60">
        <v>110</v>
      </c>
      <c r="B149" s="60">
        <v>233</v>
      </c>
      <c r="C149" s="60">
        <v>8</v>
      </c>
      <c r="D149" s="60">
        <v>27</v>
      </c>
      <c r="E149" s="51"/>
      <c r="F149" s="51"/>
      <c r="G149" s="51"/>
      <c r="H149" s="51"/>
      <c r="I149" s="57">
        <f t="shared" si="5"/>
        <v>3.1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60">
        <v>120</v>
      </c>
      <c r="B150" s="60">
        <v>234</v>
      </c>
      <c r="C150" s="60">
        <v>9</v>
      </c>
      <c r="D150" s="60">
        <v>234</v>
      </c>
      <c r="E150" s="51"/>
      <c r="F150" s="51"/>
      <c r="G150" s="51"/>
      <c r="H150" s="51"/>
      <c r="I150" s="57">
        <f t="shared" si="5"/>
        <v>2.8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Tilleul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1" t="s">
        <v>186</v>
      </c>
      <c r="D164" s="261"/>
      <c r="E164" s="262" t="s">
        <v>187</v>
      </c>
      <c r="F164" s="263"/>
      <c r="G164" s="263"/>
      <c r="H164" s="264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5">
        <v>20</v>
      </c>
      <c r="B166" s="55">
        <v>57</v>
      </c>
      <c r="C166" s="55">
        <v>1</v>
      </c>
      <c r="D166" s="55">
        <v>21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2.85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5">
        <v>30</v>
      </c>
      <c r="B167" s="55">
        <v>135</v>
      </c>
      <c r="C167" s="55">
        <v>2</v>
      </c>
      <c r="D167" s="55">
        <v>42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9.9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5">
        <v>40</v>
      </c>
      <c r="B168" s="55">
        <v>174</v>
      </c>
      <c r="C168" s="55">
        <v>3</v>
      </c>
      <c r="D168" s="55">
        <v>42</v>
      </c>
      <c r="E168" s="51"/>
      <c r="F168" s="51"/>
      <c r="G168" s="51"/>
      <c r="H168" s="51"/>
      <c r="I168" s="49">
        <f t="shared" si="6"/>
        <v>8.1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5">
        <v>50</v>
      </c>
      <c r="B169" s="55">
        <v>192</v>
      </c>
      <c r="C169" s="55">
        <v>4</v>
      </c>
      <c r="D169" s="55">
        <v>31</v>
      </c>
      <c r="E169" s="51"/>
      <c r="F169" s="51"/>
      <c r="G169" s="51"/>
      <c r="H169" s="51"/>
      <c r="I169" s="49">
        <f t="shared" si="6"/>
        <v>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5">
        <v>60</v>
      </c>
      <c r="B170" s="55">
        <v>205</v>
      </c>
      <c r="C170" s="55">
        <v>5</v>
      </c>
      <c r="D170" s="55">
        <v>20</v>
      </c>
      <c r="E170" s="51"/>
      <c r="F170" s="51"/>
      <c r="G170" s="51"/>
      <c r="H170" s="51"/>
      <c r="I170" s="49">
        <f t="shared" si="6"/>
        <v>4.4000000000000004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5">
        <v>70</v>
      </c>
      <c r="B171" s="55">
        <v>217</v>
      </c>
      <c r="C171" s="55">
        <v>6</v>
      </c>
      <c r="D171" s="55">
        <v>16</v>
      </c>
      <c r="E171" s="51"/>
      <c r="F171" s="51"/>
      <c r="G171" s="51"/>
      <c r="H171" s="51"/>
      <c r="I171" s="49">
        <f t="shared" si="6"/>
        <v>3.2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5">
        <v>80</v>
      </c>
      <c r="B172" s="55">
        <f>213+13</f>
        <v>226</v>
      </c>
      <c r="C172" s="55">
        <v>7</v>
      </c>
      <c r="D172" s="55">
        <f>B172</f>
        <v>226</v>
      </c>
      <c r="E172" s="51"/>
      <c r="F172" s="51"/>
      <c r="G172" s="51"/>
      <c r="H172" s="51"/>
      <c r="I172" s="49">
        <f t="shared" si="6"/>
        <v>2.5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Cèdre de l'Atlas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1" t="s">
        <v>186</v>
      </c>
      <c r="D190" s="261"/>
      <c r="E190" s="262" t="s">
        <v>187</v>
      </c>
      <c r="F190" s="263"/>
      <c r="G190" s="263"/>
      <c r="H190" s="264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20</v>
      </c>
      <c r="B192" s="50">
        <v>115</v>
      </c>
      <c r="C192" s="50">
        <v>1</v>
      </c>
      <c r="D192" s="50">
        <v>6.9</v>
      </c>
      <c r="E192" s="63"/>
      <c r="F192" s="63">
        <v>0.5</v>
      </c>
      <c r="G192" s="63">
        <v>0.5</v>
      </c>
      <c r="H192" s="51"/>
      <c r="I192" s="49">
        <f>IFERROR(B192/A192,"")</f>
        <v>5.75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30</v>
      </c>
      <c r="B193" s="50">
        <f>180-D192</f>
        <v>173.1</v>
      </c>
      <c r="C193" s="50">
        <v>2</v>
      </c>
      <c r="D193" s="50">
        <v>25.4</v>
      </c>
      <c r="E193" s="63">
        <v>0.1</v>
      </c>
      <c r="F193" s="63">
        <v>0.45</v>
      </c>
      <c r="G193" s="63">
        <v>0.45</v>
      </c>
      <c r="H193" s="51"/>
      <c r="I193" s="49">
        <f t="shared" ref="I193:I211" si="7">IF(A193&lt;&gt;0,(B193-(B192-D192))/(A193-A192),"")</f>
        <v>6.5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40</v>
      </c>
      <c r="B194" s="50">
        <f>250-SUM(D192:D193)</f>
        <v>217.7</v>
      </c>
      <c r="C194" s="50">
        <v>3</v>
      </c>
      <c r="D194" s="50">
        <v>46.3</v>
      </c>
      <c r="E194" s="63"/>
      <c r="F194" s="63"/>
      <c r="G194" s="51"/>
      <c r="H194" s="51"/>
      <c r="I194" s="49">
        <f t="shared" si="7"/>
        <v>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50</v>
      </c>
      <c r="B195" s="50">
        <f>320-SUM(D192:D194)</f>
        <v>241.4</v>
      </c>
      <c r="C195" s="50">
        <v>4</v>
      </c>
      <c r="D195" s="50">
        <v>46.3</v>
      </c>
      <c r="E195" s="63"/>
      <c r="F195" s="63"/>
      <c r="G195" s="51"/>
      <c r="H195" s="51"/>
      <c r="I195" s="49">
        <f t="shared" si="7"/>
        <v>7.0000000000000027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60</v>
      </c>
      <c r="B196" s="50">
        <f>400-SUM(D192:D195)</f>
        <v>275.10000000000002</v>
      </c>
      <c r="C196" s="50">
        <v>5</v>
      </c>
      <c r="D196" s="50">
        <v>46.3</v>
      </c>
      <c r="E196" s="63"/>
      <c r="F196" s="63"/>
      <c r="G196" s="51"/>
      <c r="H196" s="51"/>
      <c r="I196" s="49">
        <f t="shared" si="7"/>
        <v>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70</v>
      </c>
      <c r="B197" s="50">
        <f>475-SUM(D192:D196)</f>
        <v>303.8</v>
      </c>
      <c r="C197" s="50">
        <v>6</v>
      </c>
      <c r="D197" s="50">
        <v>46.3</v>
      </c>
      <c r="E197" s="63"/>
      <c r="F197" s="63"/>
      <c r="G197" s="51"/>
      <c r="H197" s="51"/>
      <c r="I197" s="49">
        <f t="shared" si="7"/>
        <v>7.5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80</v>
      </c>
      <c r="B198" s="50">
        <f>552-SUM(D192:D197)</f>
        <v>334.5</v>
      </c>
      <c r="C198" s="50">
        <v>7</v>
      </c>
      <c r="D198" s="50">
        <v>46.3</v>
      </c>
      <c r="E198" s="63"/>
      <c r="F198" s="63"/>
      <c r="G198" s="63"/>
      <c r="H198" s="51"/>
      <c r="I198" s="49">
        <f t="shared" si="7"/>
        <v>7.7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90</v>
      </c>
      <c r="B199" s="50">
        <f>635-SUM(D192:D198)</f>
        <v>371.2</v>
      </c>
      <c r="C199" s="50">
        <v>8</v>
      </c>
      <c r="D199" s="50">
        <v>46.3</v>
      </c>
      <c r="E199" s="63"/>
      <c r="F199" s="63"/>
      <c r="G199" s="63"/>
      <c r="H199" s="51"/>
      <c r="I199" s="49">
        <f t="shared" si="7"/>
        <v>8.3000000000000007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100</v>
      </c>
      <c r="B200" s="50">
        <f>718-SUM(D192:D199)</f>
        <v>407.9</v>
      </c>
      <c r="C200" s="50">
        <v>9</v>
      </c>
      <c r="D200" s="50">
        <v>46.3</v>
      </c>
      <c r="E200" s="63"/>
      <c r="F200" s="63"/>
      <c r="G200" s="51"/>
      <c r="H200" s="51"/>
      <c r="I200" s="49">
        <f t="shared" si="7"/>
        <v>8.3000000000000007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110</v>
      </c>
      <c r="B201" s="50">
        <f>805-SUM(D192:D200)</f>
        <v>448.59999999999997</v>
      </c>
      <c r="C201" s="50">
        <v>10</v>
      </c>
      <c r="D201" s="50">
        <v>448.6</v>
      </c>
      <c r="E201" s="63"/>
      <c r="F201" s="63"/>
      <c r="G201" s="51"/>
      <c r="H201" s="51"/>
      <c r="I201" s="49">
        <f t="shared" si="7"/>
        <v>8.6999999999999993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Sapin de Nordmann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1" t="s">
        <v>186</v>
      </c>
      <c r="D216" s="261"/>
      <c r="E216" s="262" t="s">
        <v>187</v>
      </c>
      <c r="F216" s="263"/>
      <c r="G216" s="263"/>
      <c r="H216" s="264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20</v>
      </c>
      <c r="B218" s="55">
        <v>46</v>
      </c>
      <c r="C218" s="55"/>
      <c r="D218" s="55">
        <v>0</v>
      </c>
      <c r="E218" s="51"/>
      <c r="F218" s="51">
        <v>0.5</v>
      </c>
      <c r="G218" s="51">
        <v>0.5</v>
      </c>
      <c r="H218" s="63"/>
      <c r="I218" s="53">
        <f>IFERROR(B218/A218,"")</f>
        <v>2.2999999999999998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30</v>
      </c>
      <c r="B219" s="55">
        <v>206</v>
      </c>
      <c r="C219" s="55">
        <v>1</v>
      </c>
      <c r="D219" s="55">
        <v>38</v>
      </c>
      <c r="E219" s="51">
        <v>0.2</v>
      </c>
      <c r="F219" s="51">
        <v>0.4</v>
      </c>
      <c r="G219" s="51">
        <v>0.4</v>
      </c>
      <c r="H219" s="63"/>
      <c r="I219" s="53">
        <f t="shared" ref="I219:I237" si="8">IF(A219&lt;&gt;0,(B219-(B218-D218))/(A219-A218),"")</f>
        <v>16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40</v>
      </c>
      <c r="B220" s="55">
        <v>344</v>
      </c>
      <c r="C220" s="55">
        <v>2</v>
      </c>
      <c r="D220" s="55">
        <v>84</v>
      </c>
      <c r="E220" s="51"/>
      <c r="F220" s="51"/>
      <c r="G220" s="51"/>
      <c r="H220" s="63"/>
      <c r="I220" s="53">
        <f t="shared" si="8"/>
        <v>17.600000000000001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0">
        <v>50</v>
      </c>
      <c r="B221" s="55">
        <v>329</v>
      </c>
      <c r="C221" s="55">
        <v>3</v>
      </c>
      <c r="D221" s="55">
        <v>84</v>
      </c>
      <c r="E221" s="51"/>
      <c r="F221" s="51"/>
      <c r="G221" s="51"/>
      <c r="H221" s="63"/>
      <c r="I221" s="53">
        <f t="shared" si="8"/>
        <v>6.9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0">
        <v>60</v>
      </c>
      <c r="B222" s="55">
        <v>501</v>
      </c>
      <c r="C222" s="55">
        <v>4</v>
      </c>
      <c r="D222" s="55">
        <v>84</v>
      </c>
      <c r="E222" s="63"/>
      <c r="F222" s="63"/>
      <c r="G222" s="51"/>
      <c r="H222" s="63"/>
      <c r="I222" s="53">
        <f t="shared" si="8"/>
        <v>25.6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0">
        <v>70</v>
      </c>
      <c r="B223" s="55">
        <v>550</v>
      </c>
      <c r="C223" s="55">
        <v>5</v>
      </c>
      <c r="D223" s="55">
        <v>67</v>
      </c>
      <c r="E223" s="63"/>
      <c r="F223" s="63"/>
      <c r="G223" s="51"/>
      <c r="H223" s="63"/>
      <c r="I223" s="53">
        <f t="shared" si="8"/>
        <v>13.3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0">
        <v>80</v>
      </c>
      <c r="B224" s="55">
        <f>539+63</f>
        <v>602</v>
      </c>
      <c r="C224" s="55">
        <v>6</v>
      </c>
      <c r="D224" s="55">
        <f>B224</f>
        <v>602</v>
      </c>
      <c r="E224" s="63"/>
      <c r="F224" s="63"/>
      <c r="G224" s="51"/>
      <c r="H224" s="63"/>
      <c r="I224" s="53">
        <f t="shared" si="8"/>
        <v>11.9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Pin noir d'Autriche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1" t="s">
        <v>186</v>
      </c>
      <c r="D242" s="261"/>
      <c r="E242" s="262" t="s">
        <v>187</v>
      </c>
      <c r="F242" s="263"/>
      <c r="G242" s="263"/>
      <c r="H242" s="264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60">
        <v>20</v>
      </c>
      <c r="B244" s="60">
        <v>62</v>
      </c>
      <c r="C244" s="60"/>
      <c r="D244" s="60"/>
      <c r="E244" s="51"/>
      <c r="F244" s="51"/>
      <c r="G244" s="51"/>
      <c r="H244" s="51"/>
      <c r="I244" s="53">
        <f>IFERROR(B244/A244,"")</f>
        <v>3.1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60">
        <v>30</v>
      </c>
      <c r="B245" s="60">
        <v>164</v>
      </c>
      <c r="C245" s="60">
        <v>1</v>
      </c>
      <c r="D245" s="60">
        <v>41</v>
      </c>
      <c r="E245" s="51"/>
      <c r="F245" s="51">
        <v>0.5</v>
      </c>
      <c r="G245" s="51">
        <v>0.5</v>
      </c>
      <c r="H245" s="51"/>
      <c r="I245" s="53">
        <f>IF(A245&lt;&gt;0,(B245-(B244-D244))/(A245-A244),"")</f>
        <v>10.199999999999999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60">
        <v>40</v>
      </c>
      <c r="B246" s="60">
        <v>233</v>
      </c>
      <c r="C246" s="60">
        <v>2</v>
      </c>
      <c r="D246" s="60">
        <v>56</v>
      </c>
      <c r="E246" s="51"/>
      <c r="F246" s="51"/>
      <c r="G246" s="51"/>
      <c r="H246" s="51"/>
      <c r="I246" s="53">
        <f>IF(A246&lt;&gt;0,(B246-(B245-D245))/(A246-A245),"")</f>
        <v>11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60">
        <v>50</v>
      </c>
      <c r="B247" s="60">
        <v>284</v>
      </c>
      <c r="C247" s="60">
        <v>3</v>
      </c>
      <c r="D247" s="60">
        <v>56</v>
      </c>
      <c r="E247" s="51"/>
      <c r="F247" s="51"/>
      <c r="G247" s="51"/>
      <c r="H247" s="51"/>
      <c r="I247" s="53">
        <f t="shared" ref="I247:I263" si="9">IF(A247&lt;&gt;0,(B247-(B246-D246))/(A247-A246),"")</f>
        <v>10.7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60">
        <v>60</v>
      </c>
      <c r="B248" s="60">
        <v>324</v>
      </c>
      <c r="C248" s="60">
        <v>4</v>
      </c>
      <c r="D248" s="60">
        <v>49</v>
      </c>
      <c r="E248" s="51"/>
      <c r="F248" s="51"/>
      <c r="G248" s="51"/>
      <c r="H248" s="51"/>
      <c r="I248" s="53">
        <f t="shared" si="9"/>
        <v>9.6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60">
        <v>70</v>
      </c>
      <c r="B249" s="60">
        <v>355</v>
      </c>
      <c r="C249" s="60">
        <v>5</v>
      </c>
      <c r="D249" s="60">
        <v>38</v>
      </c>
      <c r="E249" s="51"/>
      <c r="F249" s="51"/>
      <c r="G249" s="51"/>
      <c r="H249" s="51"/>
      <c r="I249" s="53">
        <f t="shared" si="9"/>
        <v>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60">
        <v>80</v>
      </c>
      <c r="B250" s="60">
        <v>377</v>
      </c>
      <c r="C250" s="60">
        <v>6</v>
      </c>
      <c r="D250" s="60">
        <f>B250</f>
        <v>377</v>
      </c>
      <c r="E250" s="51"/>
      <c r="F250" s="51"/>
      <c r="G250" s="51"/>
      <c r="H250" s="51"/>
      <c r="I250" s="53">
        <f t="shared" si="9"/>
        <v>6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Cormier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1" t="s">
        <v>186</v>
      </c>
      <c r="D268" s="261"/>
      <c r="E268" s="262" t="s">
        <v>187</v>
      </c>
      <c r="F268" s="263"/>
      <c r="G268" s="263"/>
      <c r="H268" s="264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60">
        <v>25</v>
      </c>
      <c r="B270" s="60">
        <v>30</v>
      </c>
      <c r="C270" s="60">
        <v>0</v>
      </c>
      <c r="D270" s="60">
        <v>0</v>
      </c>
      <c r="E270" s="51"/>
      <c r="F270" s="51"/>
      <c r="G270" s="51"/>
      <c r="H270" s="51"/>
      <c r="I270" s="53">
        <f>IFERROR(B270/A270,"")</f>
        <v>1.2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60">
        <v>30</v>
      </c>
      <c r="B271" s="60">
        <v>54</v>
      </c>
      <c r="C271" s="60">
        <v>0</v>
      </c>
      <c r="D271" s="60">
        <v>0</v>
      </c>
      <c r="E271" s="51"/>
      <c r="F271" s="51"/>
      <c r="G271" s="51"/>
      <c r="H271" s="51"/>
      <c r="I271" s="53">
        <f>IF(A271&lt;&gt;0,(B271-(B270-D270))/(A271-A270),"")</f>
        <v>4.8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60">
        <v>40</v>
      </c>
      <c r="B272" s="60">
        <v>106</v>
      </c>
      <c r="C272" s="60">
        <v>1</v>
      </c>
      <c r="D272" s="60">
        <v>27</v>
      </c>
      <c r="E272" s="51"/>
      <c r="F272" s="51"/>
      <c r="G272" s="51"/>
      <c r="H272" s="51"/>
      <c r="I272" s="53">
        <f t="shared" ref="I272:I289" si="10">IF(A272&lt;&gt;0,(B272-(B271-D271))/(A272-A271),"")</f>
        <v>5.2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60">
        <v>50</v>
      </c>
      <c r="B273" s="60">
        <v>135</v>
      </c>
      <c r="C273" s="60">
        <v>2</v>
      </c>
      <c r="D273" s="60">
        <v>28</v>
      </c>
      <c r="E273" s="51"/>
      <c r="F273" s="51"/>
      <c r="G273" s="51"/>
      <c r="H273" s="51"/>
      <c r="I273" s="53">
        <f t="shared" si="10"/>
        <v>5.6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60">
        <v>60</v>
      </c>
      <c r="B274" s="60">
        <v>162</v>
      </c>
      <c r="C274" s="60">
        <v>3</v>
      </c>
      <c r="D274" s="60">
        <v>28</v>
      </c>
      <c r="E274" s="51"/>
      <c r="F274" s="51"/>
      <c r="G274" s="51"/>
      <c r="H274" s="51"/>
      <c r="I274" s="53">
        <f t="shared" si="10"/>
        <v>5.5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60">
        <v>70</v>
      </c>
      <c r="B275" s="60">
        <v>186</v>
      </c>
      <c r="C275" s="60">
        <v>4</v>
      </c>
      <c r="D275" s="60">
        <v>28</v>
      </c>
      <c r="E275" s="51"/>
      <c r="F275" s="51"/>
      <c r="G275" s="51"/>
      <c r="H275" s="51"/>
      <c r="I275" s="53">
        <f t="shared" si="10"/>
        <v>5.2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60">
        <v>80</v>
      </c>
      <c r="B276" s="60">
        <v>206</v>
      </c>
      <c r="C276" s="60">
        <v>5</v>
      </c>
      <c r="D276" s="60">
        <v>28</v>
      </c>
      <c r="E276" s="51"/>
      <c r="F276" s="51"/>
      <c r="G276" s="51"/>
      <c r="H276" s="51"/>
      <c r="I276" s="53">
        <f t="shared" si="10"/>
        <v>4.8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60">
        <v>90</v>
      </c>
      <c r="B277" s="60">
        <v>221</v>
      </c>
      <c r="C277" s="60">
        <v>6</v>
      </c>
      <c r="D277" s="60">
        <v>28</v>
      </c>
      <c r="E277" s="51"/>
      <c r="F277" s="51"/>
      <c r="G277" s="51"/>
      <c r="H277" s="51"/>
      <c r="I277" s="53">
        <f t="shared" si="10"/>
        <v>4.3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60">
        <v>100</v>
      </c>
      <c r="B278" s="60">
        <v>230</v>
      </c>
      <c r="C278" s="60">
        <v>7</v>
      </c>
      <c r="D278" s="60">
        <v>28</v>
      </c>
      <c r="E278" s="51"/>
      <c r="F278" s="51"/>
      <c r="G278" s="51"/>
      <c r="H278" s="51"/>
      <c r="I278" s="53">
        <f t="shared" si="10"/>
        <v>3.7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60">
        <v>110</v>
      </c>
      <c r="B279" s="60">
        <v>233</v>
      </c>
      <c r="C279" s="60">
        <v>8</v>
      </c>
      <c r="D279" s="60">
        <v>27</v>
      </c>
      <c r="E279" s="51"/>
      <c r="F279" s="51"/>
      <c r="G279" s="51"/>
      <c r="H279" s="51"/>
      <c r="I279" s="53">
        <f t="shared" si="10"/>
        <v>3.1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60">
        <v>120</v>
      </c>
      <c r="B280" s="60">
        <v>234</v>
      </c>
      <c r="C280" s="60">
        <v>9</v>
      </c>
      <c r="D280" s="60">
        <v>234</v>
      </c>
      <c r="E280" s="51"/>
      <c r="F280" s="51"/>
      <c r="G280" s="51"/>
      <c r="H280" s="51"/>
      <c r="I280" s="53">
        <f t="shared" si="10"/>
        <v>2.8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8" zoomScaleNormal="100" workbookViewId="0">
      <selection activeCell="G20" sqref="G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Douglas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Mélèze hybride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Pin laricio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Alisier torminal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>Noyer</v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>Tilleul</v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>Cèdre de l'Atlas</v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>Sapin de Nordmann</v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>Pin noir d'Autriche</v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>Cormier</v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235.10258076192054</v>
      </c>
      <c r="T3" s="59">
        <f>IF('Données projet'!E9&gt;30,$R$33-$H$33,LOOKUP('Données projet'!$E$9,$A$3:$A$203,R3:R203)-LOOKUP('Données projet'!$E$9,$A$3:$A$203,$H$3:$H$203))</f>
        <v>233.47316052603765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168.72306536277267</v>
      </c>
      <c r="AO3" s="59">
        <f>IF('Données projet'!E10&gt;30,$AM$33-$H$33,LOOKUP('Données projet'!$E$10,$A$3:$A$203,AM3:AM203)-LOOKUP('Données projet'!$E$10,$A$3:$A$203,$H$3:$H$203))</f>
        <v>203.35476578922339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165.39579887388538</v>
      </c>
      <c r="BJ3" s="59">
        <f>IF('Données projet'!E11&gt;30,$BH$33-$H$33,LOOKUP('Données projet'!$E$11,$A$3:$A$203,BH3:BH203)-LOOKUP('Données projet'!$E$11,$A$3:$A$203,$H$3:$H$203))</f>
        <v>155.89639262545802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156.26368818265388</v>
      </c>
      <c r="CE3" s="59">
        <f>IF('Données projet'!E12&gt;30,$CC$33-$H$33,LOOKUP('Données projet'!$E$12,$A$3:$A$203,CC3:CC203)-LOOKUP('Données projet'!$E$12,$A$3:$A$203,$H$3:$H$203))</f>
        <v>56.347130462109817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112.78807760743126</v>
      </c>
      <c r="CZ3" s="59">
        <f>IF('Données projet'!E13&gt;30,$CX$33-$H$33,LOOKUP('Données projet'!$E$13,$A$3:$A$203,CX3:CX203)-LOOKUP('Données projet'!$E$13,$A$3:$A$203,$H$3:$H$203))</f>
        <v>37.867745922003564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107.15837202366862</v>
      </c>
      <c r="DU3" s="59">
        <f>IF('Données projet'!E14&gt;30,$DS$33-$H$33,LOOKUP('Données projet'!$E$14,$A$3:$A$203,DS3:DS203)-LOOKUP('Données projet'!$E$14,$A$3:$A$203,$H$3:$H$203))</f>
        <v>139.67031833740026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123.60520571614535</v>
      </c>
      <c r="EP3" s="59">
        <f>IF('Données projet'!E15&gt;30,$EN$33-$H$33,LOOKUP('Données projet'!$E$15,$A$3:$A$203,EN3:EN203)-LOOKUP('Données projet'!$E$15,$A$3:$A$203,$H$3:$H$203))</f>
        <v>119.00926870519527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197.66963254934603</v>
      </c>
      <c r="FK3" s="59">
        <f>IF('Données projet'!E16&gt;30,$FI$33-$H$33,LOOKUP('Données projet'!$E$16,$A$3:$A$203,FI3:FI203)-LOOKUP('Données projet'!$E$16,$A$3:$A$203,$H$3:$H$203))</f>
        <v>158.08388141976138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165.39579887388538</v>
      </c>
      <c r="GF3" s="59">
        <f>IF('Données projet'!E17&gt;30,$GD$33-$H$33,LOOKUP('Données projet'!$E$17,$A$3:$A$203,GD3:GD203)-LOOKUP('Données projet'!$E$17,$A$3:$A$203,$H$3:$H$203))</f>
        <v>155.89639262545802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186.60545265015247</v>
      </c>
      <c r="HA3" s="59">
        <f>IF('Données projet'!E18&gt;30,$GY$33-$H$33,LOOKUP('Données projet'!$E$18,$A$3:$A$203,GY3:GY203)-LOOKUP('Données projet'!$E$18,$A$3:$A$203,$H$3:$H$203))</f>
        <v>69.239647548491234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2.1333333333333333</v>
      </c>
      <c r="N4" s="13">
        <f>IF('Données projet'!$A$36&gt;35,N3+M4-V3,IF(A4&lt;'Données projet'!$A$36,$K$205^A4,IF(A4='Données projet'!$A$36,'Données projet'!$B$36,N3+M4-V3)))</f>
        <v>1.2599210498948732</v>
      </c>
      <c r="O4" s="13">
        <f>N4*VLOOKUP('Données projet'!$B$9,Paramètres!$A$1:$I$89,3,0)*VLOOKUP('Données projet'!$B$9,Paramètres!$A$1:$I$89,5,0)</f>
        <v>0.70429586689123413</v>
      </c>
      <c r="P4" s="13">
        <f>EXP(-1.0587+0.8836*LN(O4)+0.284)</f>
        <v>0.33808702695309084</v>
      </c>
      <c r="Q4" s="20">
        <f t="shared" ref="Q4:Q34" si="2">(O4+P4)*0.475*44/12</f>
        <v>1.8154835401121989</v>
      </c>
      <c r="R4" s="59">
        <f t="shared" si="0"/>
        <v>295.14881687344553</v>
      </c>
      <c r="S4" s="59">
        <f ca="1">AVERAGE(OFFSET($R$3,0,0,'Données projet'!$E$9+1,1))-AVERAGE(OFFSET($H$3,0,0,'Données projet'!$E$9+1,1))</f>
        <v>235.10258076192054</v>
      </c>
      <c r="T4" s="59">
        <f>$T$3</f>
        <v>233.47316052603765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2.2999999999999998</v>
      </c>
      <c r="AI4" s="13">
        <f>IF('Données projet'!$A$62&gt;35,AI3+AH4-AQ3,IF(A4&lt;'Données projet'!$A$62,$AF$205^A4,IF(A4='Données projet'!$A$62,'Données projet'!$B$62,AI3+AH4-AQ3)))</f>
        <v>1.3682730833261529</v>
      </c>
      <c r="AJ4" s="13">
        <f>AI4*VLOOKUP('Données projet'!$B$10,Paramètres!$A$1:$I$89,3,0)*VLOOKUP('Données projet'!$B$10,Paramètres!$A$1:$I$89,5,0)</f>
        <v>0.74707710349607948</v>
      </c>
      <c r="AK4" s="13">
        <f>EXP(-1.0587+0.8836*LN(AJ4)+0.284)</f>
        <v>0.35617034384652524</v>
      </c>
      <c r="AL4" s="20">
        <f t="shared" ref="AL4:AL67" si="4">(AJ4+AK4)*0.475*44/12</f>
        <v>1.9214893041217032</v>
      </c>
      <c r="AM4" s="59">
        <f t="shared" ref="AM4:AM67" si="5">AL4+(AD4+AE4)*44/12</f>
        <v>295.25482263745499</v>
      </c>
      <c r="AN4" s="59">
        <f ca="1">AVERAGE(OFFSET($AM$3,0,0,'Données projet'!$E$10+1,1))-AVERAGE(OFFSET($H$3,0,0,'Données projet'!$E$10+1,1))</f>
        <v>168.72306536277267</v>
      </c>
      <c r="AO4" s="59">
        <f>$AO$3</f>
        <v>203.35476578922339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3.1</v>
      </c>
      <c r="BD4" s="12">
        <f>IF('Données projet'!$A$88&gt;35,BD3+BC4-BL3,IF(A4&lt;'Données projet'!$A$88,$BA$205^A4,IF(A4='Données projet'!$A$88,'Données projet'!$B$88,BD3+BC4-BL3)))</f>
        <v>1.2291916021073213</v>
      </c>
      <c r="BE4" s="13">
        <f>BD4*VLOOKUP('Données projet'!$B$11,Paramètres!$A$1:$I$89,3,0)*VLOOKUP('Données projet'!$B$11,Paramètres!$A$1:$I$89,5,0)</f>
        <v>0.7350565780601781</v>
      </c>
      <c r="BF4" s="13">
        <f>EXP(-1.0587+0.8836*LN(BE4)+0.284)</f>
        <v>0.35110183226268588</v>
      </c>
      <c r="BG4" s="20">
        <f t="shared" ref="BG4:BG67" si="7">(BE4+BF4)*0.475*44/12</f>
        <v>1.8917258979789879</v>
      </c>
      <c r="BH4" s="59">
        <f t="shared" ref="BH4:BH67" si="8">BG4+(AY4+AZ4)*44/12</f>
        <v>295.22505923131229</v>
      </c>
      <c r="BI4" s="59">
        <f ca="1">AVERAGE(OFFSET($BH$3,0,0,'Données projet'!$E$11+1,1))-AVERAGE(OFFSET($H$3,0,0,'Données projet'!$E$11+1,1))</f>
        <v>165.39579887388538</v>
      </c>
      <c r="BJ4" s="59">
        <f>$BJ$3</f>
        <v>155.89639262545802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1.2</v>
      </c>
      <c r="BY4" s="12">
        <f>IF('Données projet'!$A$114&gt;35,BY3+BX4-CG3,IF(A4&lt;'Données projet'!$A$114,$BV$205^A4,IF(A4='Données projet'!$A$114,'Données projet'!$B$114,BY3+BX4-CG3)))</f>
        <v>1.1457367676485573</v>
      </c>
      <c r="BZ4" s="13">
        <f>BY4*VLOOKUP('Données projet'!$B$12,Paramètres!$A$1:$I$89,3,0)*VLOOKUP('Données projet'!$B$12,Paramètres!$A$1:$I$89,5,0)</f>
        <v>1.1081566016696847</v>
      </c>
      <c r="CA4" s="13">
        <f>EXP(-1.0587+0.8836*LN(BZ4)+0.284)</f>
        <v>0.50461671312632472</v>
      </c>
      <c r="CB4" s="20">
        <f t="shared" ref="CB4:CB67" si="10">(BZ4+CA4)*0.475*44/12</f>
        <v>2.808913523269716</v>
      </c>
      <c r="CC4" s="59">
        <f t="shared" ref="CC4:CC67" si="11">CB4+(BT4+BU4)*44/12</f>
        <v>296.14224685660304</v>
      </c>
      <c r="CD4" s="59">
        <f ca="1">AVERAGE(OFFSET($CC$3,0,0,'Données projet'!$E$12+1,1))-AVERAGE(OFFSET($H$3,0,0,'Données projet'!$E$12+1,1))</f>
        <v>156.26368818265388</v>
      </c>
      <c r="CE4" s="59">
        <f>$CE$3</f>
        <v>56.347130462109817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1.1457367676485573</v>
      </c>
      <c r="CU4" s="17">
        <f>CT4*VLOOKUP('Données projet'!$B$13,Paramètres!$A$1:$I$89,3,0)*VLOOKUP('Données projet'!$B$13,Paramètres!$A$1:$I$89,5,0)</f>
        <v>0.92942166591650976</v>
      </c>
      <c r="CV4" s="13">
        <f>EXP(-1.0587+0.8836*LN(CU4)+0.284)</f>
        <v>0.43198124126589427</v>
      </c>
      <c r="CW4" s="20">
        <f t="shared" ref="CW4:CW67" si="13">(CU4+CV4)*0.475*44/12</f>
        <v>2.3711100633426869</v>
      </c>
      <c r="CX4" s="59">
        <f t="shared" ref="CX4:CX67" si="14">CW4+(CO4+CP4)*44/12</f>
        <v>295.70444339667603</v>
      </c>
      <c r="CY4" s="59">
        <f ca="1">AVERAGE(OFFSET($CX$3,0,0,'Données projet'!$E$13+1,1))-AVERAGE(OFFSET($H$3,0,0,'Données projet'!$E$13+1,1))</f>
        <v>112.78807760743126</v>
      </c>
      <c r="CZ4" s="59">
        <f>$CZ$3</f>
        <v>37.867745922003564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2.85</v>
      </c>
      <c r="DO4" s="12">
        <f>IF('Données projet'!$A$166&gt;35,DO3+DN4-DW3,IF(A4&lt;'Données projet'!$A$166,$DL$205^A4,IF(A4='Données projet'!$A$166,'Données projet'!$B$166,DO3+DN4-DW3)))</f>
        <v>1.2240347367580502</v>
      </c>
      <c r="DP4" s="17">
        <f>DO4*VLOOKUP('Données projet'!$B$14,Paramètres!$A$1:$I$89,3,0)*VLOOKUP('Données projet'!$B$14,Paramètres!$A$1:$I$89,5,0)</f>
        <v>0.82108250141729999</v>
      </c>
      <c r="DQ4" s="13">
        <f>EXP(-1.0587+0.8836*LN(DP4)+0.284)</f>
        <v>0.38717226436554053</v>
      </c>
      <c r="DR4" s="20">
        <f t="shared" ref="DR4:DR67" si="16">(DP4+DQ4)*0.475*44/12</f>
        <v>2.1043770504051134</v>
      </c>
      <c r="DS4" s="59">
        <f t="shared" ref="DS4:DS67" si="17">DR4+(DJ4+DK4)*44/12</f>
        <v>295.43771038373842</v>
      </c>
      <c r="DT4" s="59">
        <f ca="1">AVERAGE(OFFSET($DS$3,0,0,'Données projet'!$E$14+1,1))-AVERAGE(OFFSET($H$3,0,0,'Données projet'!$E$14+1,1))</f>
        <v>107.15837202366862</v>
      </c>
      <c r="DU4" s="59">
        <f>$DU$3</f>
        <v>139.67031833740026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5.75</v>
      </c>
      <c r="EJ4" s="12">
        <f>IF('Données projet'!$A$192&gt;35,EJ3+EI4-ER3,IF(A4&lt;'Données projet'!$A$192,$EG$205^A4,IF(A4='Données projet'!$A$192,'Données projet'!$B$192,EJ3+EI4-ER3)))</f>
        <v>1.2677537154322802</v>
      </c>
      <c r="EK4" s="17">
        <f>EJ4*VLOOKUP('Données projet'!$B$15,Paramètres!$A$1:$I$89,3,0)*VLOOKUP('Données projet'!$B$15,Paramètres!$A$1:$I$89,5,0)</f>
        <v>0.59330873882230706</v>
      </c>
      <c r="EL4" s="13">
        <f>EXP(-1.0587+0.8836*LN(EK4)+0.284)</f>
        <v>0.29055137246158741</v>
      </c>
      <c r="EM4" s="20">
        <f t="shared" ref="EM4:EM67" si="19">(EK4+EL4)*0.475*44/12</f>
        <v>1.5393896938194491</v>
      </c>
      <c r="EN4" s="59">
        <f t="shared" ref="EN4:EN67" si="20">EM4+(EE4+EF4)*44/12</f>
        <v>294.87272302715274</v>
      </c>
      <c r="EO4" s="59">
        <f ca="1">AVERAGE(OFFSET($EN$3,0,0,'Données projet'!$E$15+1,1))-AVERAGE(OFFSET($H$3,0,0,'Données projet'!$E$15+1,1))</f>
        <v>123.60520571614535</v>
      </c>
      <c r="EP4" s="59">
        <f>$EP$3</f>
        <v>119.00926870519527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2.2999999999999998</v>
      </c>
      <c r="FE4" s="12">
        <f>IF('Données projet'!$A$218&gt;35,FE3+FD4-FM3,IF(A4&lt;'Données projet'!$A$218,$FB$205^A4,IF(A4='Données projet'!$A$218,'Données projet'!$B$218,FE3+FD4-FM3)))</f>
        <v>1.2109825680874522</v>
      </c>
      <c r="FF4" s="17">
        <f>FE4*VLOOKUP('Données projet'!$B$16,Paramètres!$A$1:$I$89,3,0)*VLOOKUP('Données projet'!$B$16,Paramètres!$A$1:$I$89,5,0)</f>
        <v>0.58248261525006451</v>
      </c>
      <c r="FG4" s="13">
        <f>EXP(-1.0587+0.8836*LN(FF4)+0.284)</f>
        <v>0.28586178112914185</v>
      </c>
      <c r="FH4" s="20">
        <f t="shared" ref="FH4:FH67" si="22">(FF4+FG4)*0.475*44/12</f>
        <v>1.512366490360451</v>
      </c>
      <c r="FI4" s="59">
        <f t="shared" ref="FI4:FI67" si="23">FH4+(EZ4+FA4)*44/12</f>
        <v>294.84569982369379</v>
      </c>
      <c r="FJ4" s="59">
        <f ca="1">AVERAGE(OFFSET($FI$3,0,0,'Données projet'!$E$16+1,1))-AVERAGE(OFFSET($H$3,0,0,'Données projet'!$E$16+1,1))</f>
        <v>197.66963254934603</v>
      </c>
      <c r="FK4" s="59">
        <f>$FK$3</f>
        <v>158.08388141976138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3.1</v>
      </c>
      <c r="FZ4" s="12">
        <f>IF('Données projet'!$A$244&gt;35,FZ3+FY4-GH3,IF(A4&lt;'Données projet'!$A$244,$FW$205^A4,IF(A4='Données projet'!$A$244,'Données projet'!$B$244,FZ3+FY4-GH3)))</f>
        <v>1.2291916021073213</v>
      </c>
      <c r="GA4" s="17">
        <f>FZ4*VLOOKUP('Données projet'!$B$17,Paramètres!$A$1:$I$89,3,0)*VLOOKUP('Données projet'!$B$17,Paramètres!$A$1:$I$89,5,0)</f>
        <v>0.7350565780601781</v>
      </c>
      <c r="GB4" s="13">
        <f>EXP(-1.0587+0.8836*LN(GA4)+0.284)</f>
        <v>0.35110183226268588</v>
      </c>
      <c r="GC4" s="20">
        <f t="shared" ref="GC4:GC67" si="25">(GA4+GB4)*0.475*44/12</f>
        <v>1.8917258979789879</v>
      </c>
      <c r="GD4" s="59">
        <f t="shared" ref="GD4:GD67" si="26">GC4+(FU4+FV4)*44/12</f>
        <v>295.22505923131229</v>
      </c>
      <c r="GE4" s="59">
        <f ca="1">AVERAGE(OFFSET($GD$3,0,0,'Données projet'!$E$17+1,1))-AVERAGE(OFFSET($H$3,0,0,'Données projet'!$E$17+1,1))</f>
        <v>165.39579887388538</v>
      </c>
      <c r="GF4" s="59">
        <f>$GF$3</f>
        <v>155.89639262545802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1.2</v>
      </c>
      <c r="GU4" s="12">
        <f>IF('Données projet'!$A$270&gt;35,GU3+GT4-HC3,IF(A4&lt;'Données projet'!$A$270,$GR$205^A4,IF(A4='Données projet'!$A$270,'Données projet'!$B$270,GU3+GT4-HC3)))</f>
        <v>1.1457367676485573</v>
      </c>
      <c r="GV4" s="17">
        <f>GU4*VLOOKUP('Données projet'!$B$18,Paramètres!$A$1:$I$89,3,0)*VLOOKUP('Données projet'!$B$18,Paramètres!$A$1:$I$89,5,0)</f>
        <v>1.233271056696907</v>
      </c>
      <c r="GW4" s="13">
        <f>EXP(-1.0587+0.8836*LN(GV4)+0.284)</f>
        <v>0.55464025923604754</v>
      </c>
      <c r="GX4" s="20">
        <f t="shared" ref="GX4:GX67" si="28">(GV4+GW4)*0.475*44/12</f>
        <v>3.113945541916562</v>
      </c>
      <c r="GY4" s="59">
        <f t="shared" ref="GY4:GY67" si="29">GX4+(GP4+GQ4)*44/12</f>
        <v>296.44727887524988</v>
      </c>
      <c r="GZ4" s="59">
        <f ca="1">AVERAGE(OFFSET($GY$3,0,0,'Données projet'!$E$18+1,1))-AVERAGE(OFFSET($H$3,0,0,'Données projet'!$E$18+1,1))</f>
        <v>186.60545265015247</v>
      </c>
      <c r="HA4" s="59">
        <f>$HA$3</f>
        <v>69.239647548491234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2.1333333333333333</v>
      </c>
      <c r="N5" s="13">
        <f>IF('Données projet'!$A$36&gt;35,N4+M5-V4,IF(A5&lt;'Données projet'!$A$36,$K$205^A5,IF(A5='Données projet'!$A$36,'Données projet'!$B$36,N4+M5-V4)))</f>
        <v>1.5874010519681996</v>
      </c>
      <c r="O5" s="13">
        <f>N5*VLOOKUP('Données projet'!$B$9,Paramètres!$A$1:$I$89,3,0)*VLOOKUP('Données projet'!$B$9,Paramètres!$A$1:$I$89,5,0)</f>
        <v>0.88735718805022368</v>
      </c>
      <c r="P5" s="13">
        <f t="shared" ref="P5:P68" si="33">EXP(-1.0587+0.8836*LN(O5)+0.284)</f>
        <v>0.41465974323591226</v>
      </c>
      <c r="Q5" s="20">
        <f t="shared" si="2"/>
        <v>2.2676794886566864</v>
      </c>
      <c r="R5" s="59">
        <f t="shared" si="0"/>
        <v>295.60101282199003</v>
      </c>
      <c r="S5" s="59">
        <f ca="1">AVERAGE(OFFSET($R$3,0,0,'Données projet'!$E$9+1,1))-AVERAGE(OFFSET($H$3,0,0,'Données projet'!$E$9+1,1))</f>
        <v>235.10258076192054</v>
      </c>
      <c r="T5" s="59">
        <f t="shared" ref="T5:T68" si="34">$T$3</f>
        <v>233.47316052603765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2.2999999999999998</v>
      </c>
      <c r="AI5" s="13">
        <f>IF('Données projet'!$A$62&gt;35,AI4+AH5-AQ4,IF(A5&lt;'Données projet'!$A$62,$AF$205^A5,IF(A5='Données projet'!$A$62,'Données projet'!$B$62,AI4+AH5-AQ4)))</f>
        <v>1.8721712305548575</v>
      </c>
      <c r="AJ5" s="13">
        <f>AI5*VLOOKUP('Données projet'!$B$10,Paramètres!$A$1:$I$89,3,0)*VLOOKUP('Données projet'!$B$10,Paramètres!$A$1:$I$89,5,0)</f>
        <v>1.0222054918829522</v>
      </c>
      <c r="AK5" s="13">
        <f t="shared" ref="AK5:AK68" si="35">EXP(-1.0587+0.8836*LN(AJ5)+0.284)</f>
        <v>0.4698724990482781</v>
      </c>
      <c r="AL5" s="20">
        <f t="shared" si="4"/>
        <v>2.5987025008718923</v>
      </c>
      <c r="AM5" s="59">
        <f t="shared" si="5"/>
        <v>295.93203583420518</v>
      </c>
      <c r="AN5" s="59">
        <f ca="1">AVERAGE(OFFSET($AM$3,0,0,'Données projet'!$E$10+1,1))-AVERAGE(OFFSET($H$3,0,0,'Données projet'!$E$10+1,1))</f>
        <v>168.72306536277267</v>
      </c>
      <c r="AO5" s="59">
        <f t="shared" ref="AO5:AO68" si="36">$AO$3</f>
        <v>203.35476578922339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3.1</v>
      </c>
      <c r="BD5" s="12">
        <f>IF('Données projet'!$A$88&gt;35,BD4+BC5-BL4,IF(A5&lt;'Données projet'!$A$88,$BA$205^A5,IF(A5='Données projet'!$A$88,'Données projet'!$B$88,BD4+BC5-BL4)))</f>
        <v>1.5109119946911631</v>
      </c>
      <c r="BE5" s="13">
        <f>BD5*VLOOKUP('Données projet'!$B$11,Paramètres!$A$1:$I$89,3,0)*VLOOKUP('Données projet'!$B$11,Paramètres!$A$1:$I$89,5,0)</f>
        <v>0.90352537282531553</v>
      </c>
      <c r="BF5" s="13">
        <f t="shared" ref="BF5:BF68" si="37">EXP(-1.0587+0.8836*LN(BE5)+0.284)</f>
        <v>0.42132861985658931</v>
      </c>
      <c r="BG5" s="20">
        <f t="shared" si="7"/>
        <v>2.3074540372543173</v>
      </c>
      <c r="BH5" s="59">
        <f t="shared" si="8"/>
        <v>295.64078737058765</v>
      </c>
      <c r="BI5" s="59">
        <f ca="1">AVERAGE(OFFSET($BH$3,0,0,'Données projet'!$E$11+1,1))-AVERAGE(OFFSET($H$3,0,0,'Données projet'!$E$11+1,1))</f>
        <v>165.39579887388538</v>
      </c>
      <c r="BJ5" s="59">
        <f t="shared" ref="BJ5:BJ68" si="38">$BJ$3</f>
        <v>155.89639262545802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1.2</v>
      </c>
      <c r="BY5" s="12">
        <f>IF('Données projet'!$A$114&gt;35,BY4+BX5-CG4,IF(A5&lt;'Données projet'!$A$114,$BV$205^A5,IF(A5='Données projet'!$A$114,'Données projet'!$B$114,BY4+BX5-CG4)))</f>
        <v>1.312712740741764</v>
      </c>
      <c r="BZ5" s="13">
        <f>BY5*VLOOKUP('Données projet'!$B$12,Paramètres!$A$1:$I$89,3,0)*VLOOKUP('Données projet'!$B$12,Paramètres!$A$1:$I$89,5,0)</f>
        <v>1.2696557628454344</v>
      </c>
      <c r="CA5" s="13">
        <f t="shared" ref="CA5:CA68" si="39">EXP(-1.0587+0.8836*LN(BZ5)+0.284)</f>
        <v>0.56907434090738995</v>
      </c>
      <c r="CB5" s="20">
        <f t="shared" si="10"/>
        <v>3.2024549307028356</v>
      </c>
      <c r="CC5" s="59">
        <f t="shared" si="11"/>
        <v>296.53578826403617</v>
      </c>
      <c r="CD5" s="59">
        <f ca="1">AVERAGE(OFFSET($CC$3,0,0,'Données projet'!$E$12+1,1))-AVERAGE(OFFSET($H$3,0,0,'Données projet'!$E$12+1,1))</f>
        <v>156.26368818265388</v>
      </c>
      <c r="CE5" s="59">
        <f t="shared" ref="CE5:CE68" si="40">$CE$3</f>
        <v>56.347130462109817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1.312712740741764</v>
      </c>
      <c r="CU5" s="17">
        <f>CT5*VLOOKUP('Données projet'!$B$13,Paramètres!$A$1:$I$89,3,0)*VLOOKUP('Données projet'!$B$13,Paramètres!$A$1:$I$89,5,0)</f>
        <v>1.064872575289719</v>
      </c>
      <c r="CV5" s="13">
        <f t="shared" ref="CV5:CV68" si="41">EXP(-1.0587+0.8836*LN(CU5)+0.284)</f>
        <v>0.48716071775491204</v>
      </c>
      <c r="CW5" s="20">
        <f t="shared" si="13"/>
        <v>2.7031246520527321</v>
      </c>
      <c r="CX5" s="59">
        <f t="shared" si="14"/>
        <v>296.03645798538605</v>
      </c>
      <c r="CY5" s="59">
        <f ca="1">AVERAGE(OFFSET($CX$3,0,0,'Données projet'!$E$13+1,1))-AVERAGE(OFFSET($H$3,0,0,'Données projet'!$E$13+1,1))</f>
        <v>112.78807760743126</v>
      </c>
      <c r="CZ5" s="59">
        <f t="shared" ref="CZ5:CZ68" si="42">$CZ$3</f>
        <v>37.867745922003564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2.85</v>
      </c>
      <c r="DO5" s="12">
        <f>IF('Données projet'!$A$166&gt;35,DO4+DN5-DW4,IF(A5&lt;'Données projet'!$A$166,$DL$205^A5,IF(A5='Données projet'!$A$166,'Données projet'!$B$166,DO4+DN5-DW4)))</f>
        <v>1.4982610367903493</v>
      </c>
      <c r="DP5" s="17">
        <f>DO5*VLOOKUP('Données projet'!$B$14,Paramètres!$A$1:$I$89,3,0)*VLOOKUP('Données projet'!$B$14,Paramètres!$A$1:$I$89,5,0)</f>
        <v>1.0050335034789664</v>
      </c>
      <c r="DQ5" s="13">
        <f t="shared" ref="DQ5:DQ68" si="43">EXP(-1.0587+0.8836*LN(DP5)+0.284)</f>
        <v>0.46289105617569187</v>
      </c>
      <c r="DR5" s="20">
        <f t="shared" si="16"/>
        <v>2.556635274731863</v>
      </c>
      <c r="DS5" s="59">
        <f t="shared" si="17"/>
        <v>295.8899686080652</v>
      </c>
      <c r="DT5" s="59">
        <f ca="1">AVERAGE(OFFSET($DS$3,0,0,'Données projet'!$E$14+1,1))-AVERAGE(OFFSET($H$3,0,0,'Données projet'!$E$14+1,1))</f>
        <v>107.15837202366862</v>
      </c>
      <c r="DU5" s="59">
        <f t="shared" ref="DU5:DU68" si="44">$DU$3</f>
        <v>139.67031833740026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5.75</v>
      </c>
      <c r="EJ5" s="12">
        <f>IF('Données projet'!$A$192&gt;35,EJ4+EI5-ER4,IF(A5&lt;'Données projet'!$A$192,$EG$205^A5,IF(A5='Données projet'!$A$192,'Données projet'!$B$192,EJ4+EI5-ER4)))</f>
        <v>1.6071994829923508</v>
      </c>
      <c r="EK5" s="17">
        <f>EJ5*VLOOKUP('Données projet'!$B$15,Paramètres!$A$1:$I$89,3,0)*VLOOKUP('Données projet'!$B$15,Paramètres!$A$1:$I$89,5,0)</f>
        <v>0.75216935804042018</v>
      </c>
      <c r="EL5" s="13">
        <f t="shared" ref="EL5:EL68" si="45">EXP(-1.0587+0.8836*LN(EK5)+0.284)</f>
        <v>0.35831464735172275</v>
      </c>
      <c r="EM5" s="20">
        <f t="shared" si="19"/>
        <v>1.9340929760579824</v>
      </c>
      <c r="EN5" s="59">
        <f t="shared" si="20"/>
        <v>295.26742630939128</v>
      </c>
      <c r="EO5" s="59">
        <f ca="1">AVERAGE(OFFSET($EN$3,0,0,'Données projet'!$E$15+1,1))-AVERAGE(OFFSET($H$3,0,0,'Données projet'!$E$15+1,1))</f>
        <v>123.60520571614535</v>
      </c>
      <c r="EP5" s="59">
        <f t="shared" ref="EP5:EP68" si="46">$EP$3</f>
        <v>119.00926870519527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2.2999999999999998</v>
      </c>
      <c r="FE5" s="12">
        <f>IF('Données projet'!$A$218&gt;35,FE4+FD5-FM4,IF(A5&lt;'Données projet'!$A$218,$FB$205^A5,IF(A5='Données projet'!$A$218,'Données projet'!$B$218,FE4+FD5-FM4)))</f>
        <v>1.4664787802116808</v>
      </c>
      <c r="FF5" s="17">
        <f>FE5*VLOOKUP('Données projet'!$B$16,Paramètres!$A$1:$I$89,3,0)*VLOOKUP('Données projet'!$B$16,Paramètres!$A$1:$I$89,5,0)</f>
        <v>0.7053762932818185</v>
      </c>
      <c r="FG5" s="13">
        <f t="shared" ref="FG5:FG68" si="47">EXP(-1.0587+0.8836*LN(FF5)+0.284)</f>
        <v>0.33854525904707589</v>
      </c>
      <c r="FH5" s="20">
        <f t="shared" si="22"/>
        <v>1.8181633703061575</v>
      </c>
      <c r="FI5" s="59">
        <f t="shared" si="23"/>
        <v>295.15149670363945</v>
      </c>
      <c r="FJ5" s="59">
        <f ca="1">AVERAGE(OFFSET($FI$3,0,0,'Données projet'!$E$16+1,1))-AVERAGE(OFFSET($H$3,0,0,'Données projet'!$E$16+1,1))</f>
        <v>197.66963254934603</v>
      </c>
      <c r="FK5" s="59">
        <f t="shared" ref="FK5:FK68" si="48">$FK$3</f>
        <v>158.08388141976138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3.1</v>
      </c>
      <c r="FZ5" s="12">
        <f>IF('Données projet'!$A$244&gt;35,FZ4+FY5-GH4,IF(A5&lt;'Données projet'!$A$244,$FW$205^A5,IF(A5='Données projet'!$A$244,'Données projet'!$B$244,FZ4+FY5-GH4)))</f>
        <v>1.5109119946911631</v>
      </c>
      <c r="GA5" s="17">
        <f>FZ5*VLOOKUP('Données projet'!$B$17,Paramètres!$A$1:$I$89,3,0)*VLOOKUP('Données projet'!$B$17,Paramètres!$A$1:$I$89,5,0)</f>
        <v>0.90352537282531553</v>
      </c>
      <c r="GB5" s="13">
        <f t="shared" ref="GB5:GB68" si="49">EXP(-1.0587+0.8836*LN(GA5)+0.284)</f>
        <v>0.42132861985658931</v>
      </c>
      <c r="GC5" s="20">
        <f t="shared" si="25"/>
        <v>2.3074540372543173</v>
      </c>
      <c r="GD5" s="59">
        <f t="shared" si="26"/>
        <v>295.64078737058765</v>
      </c>
      <c r="GE5" s="59">
        <f ca="1">AVERAGE(OFFSET($GD$3,0,0,'Données projet'!$E$17+1,1))-AVERAGE(OFFSET($H$3,0,0,'Données projet'!$E$17+1,1))</f>
        <v>165.39579887388538</v>
      </c>
      <c r="GF5" s="59">
        <f t="shared" ref="GF5:GF68" si="50">$GF$3</f>
        <v>155.89639262545802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1.2</v>
      </c>
      <c r="GU5" s="12">
        <f>IF('Données projet'!$A$270&gt;35,GU4+GT5-HC4,IF(A5&lt;'Données projet'!$A$270,$GR$205^A5,IF(A5='Données projet'!$A$270,'Données projet'!$B$270,GU4+GT5-HC4)))</f>
        <v>1.312712740741764</v>
      </c>
      <c r="GV5" s="17">
        <f>GU5*VLOOKUP('Données projet'!$B$18,Paramètres!$A$1:$I$89,3,0)*VLOOKUP('Données projet'!$B$18,Paramètres!$A$1:$I$89,5,0)</f>
        <v>1.4130039941344348</v>
      </c>
      <c r="GW5" s="13">
        <f t="shared" ref="GW5:GW68" si="51">EXP(-1.0587+0.8836*LN(GV5)+0.284)</f>
        <v>0.62548768551477418</v>
      </c>
      <c r="GX5" s="20">
        <f t="shared" si="28"/>
        <v>3.5503730087223722</v>
      </c>
      <c r="GY5" s="59">
        <f t="shared" si="29"/>
        <v>296.88370634205569</v>
      </c>
      <c r="GZ5" s="59">
        <f ca="1">AVERAGE(OFFSET($GY$3,0,0,'Données projet'!$E$18+1,1))-AVERAGE(OFFSET($H$3,0,0,'Données projet'!$E$18+1,1))</f>
        <v>186.60545265015247</v>
      </c>
      <c r="HA5" s="59">
        <f t="shared" ref="HA5:HA68" si="52">$HA$3</f>
        <v>69.239647548491234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2.1333333333333333</v>
      </c>
      <c r="N6" s="13">
        <f>IF('Données projet'!$A$36&gt;35,N5+M6-V5,IF(A6&lt;'Données projet'!$A$36,$K$205^A6,IF(A6='Données projet'!$A$36,'Données projet'!$B$36,N5+M6-V5)))</f>
        <v>2</v>
      </c>
      <c r="O6" s="13">
        <f>N6*VLOOKUP('Données projet'!$B$9,Paramètres!$A$1:$I$89,3,0)*VLOOKUP('Données projet'!$B$9,Paramètres!$A$1:$I$89,5,0)</f>
        <v>1.1180000000000001</v>
      </c>
      <c r="P6" s="13">
        <f t="shared" si="33"/>
        <v>0.50857527486356202</v>
      </c>
      <c r="Q6" s="20">
        <f t="shared" si="2"/>
        <v>2.8329519370540375</v>
      </c>
      <c r="R6" s="59">
        <f t="shared" si="0"/>
        <v>296.16628527038733</v>
      </c>
      <c r="S6" s="59">
        <f ca="1">AVERAGE(OFFSET($R$3,0,0,'Données projet'!$E$9+1,1))-AVERAGE(OFFSET($H$3,0,0,'Données projet'!$E$9+1,1))</f>
        <v>235.10258076192054</v>
      </c>
      <c r="T6" s="59">
        <f t="shared" si="34"/>
        <v>233.47316052603765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2.2999999999999998</v>
      </c>
      <c r="AI6" s="13">
        <f>IF('Données projet'!$A$62&gt;35,AI5+AH6-AQ5,IF(A6&lt;'Données projet'!$A$62,$AF$205^A6,IF(A6='Données projet'!$A$62,'Données projet'!$B$62,AI5+AH6-AQ5)))</f>
        <v>2.5616415021458128</v>
      </c>
      <c r="AJ6" s="13">
        <f>AI6*VLOOKUP('Données projet'!$B$10,Paramètres!$A$1:$I$89,3,0)*VLOOKUP('Données projet'!$B$10,Paramètres!$A$1:$I$89,5,0)</f>
        <v>1.3986562601716137</v>
      </c>
      <c r="AK6" s="13">
        <f t="shared" si="35"/>
        <v>0.61987239863240495</v>
      </c>
      <c r="AL6" s="20">
        <f t="shared" si="4"/>
        <v>3.5156040807503324</v>
      </c>
      <c r="AM6" s="59">
        <f t="shared" si="5"/>
        <v>296.84893741408365</v>
      </c>
      <c r="AN6" s="59">
        <f ca="1">AVERAGE(OFFSET($AM$3,0,0,'Données projet'!$E$10+1,1))-AVERAGE(OFFSET($H$3,0,0,'Données projet'!$E$10+1,1))</f>
        <v>168.72306536277267</v>
      </c>
      <c r="AO6" s="59">
        <f t="shared" si="36"/>
        <v>203.35476578922339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3.1</v>
      </c>
      <c r="BD6" s="12">
        <f>IF('Données projet'!$A$88&gt;35,BD5+BC6-BL5,IF(A6&lt;'Données projet'!$A$88,$BA$205^A6,IF(A6='Données projet'!$A$88,'Données projet'!$B$88,BD5+BC6-BL5)))</f>
        <v>1.8572003353975992</v>
      </c>
      <c r="BE6" s="13">
        <f>BD6*VLOOKUP('Données projet'!$B$11,Paramètres!$A$1:$I$89,3,0)*VLOOKUP('Données projet'!$B$11,Paramètres!$A$1:$I$89,5,0)</f>
        <v>1.1106058005677644</v>
      </c>
      <c r="BF6" s="13">
        <f t="shared" si="37"/>
        <v>0.50560204931497998</v>
      </c>
      <c r="BG6" s="20">
        <f t="shared" si="7"/>
        <v>2.8148953385457798</v>
      </c>
      <c r="BH6" s="59">
        <f t="shared" si="8"/>
        <v>296.14822867187911</v>
      </c>
      <c r="BI6" s="59">
        <f ca="1">AVERAGE(OFFSET($BH$3,0,0,'Données projet'!$E$11+1,1))-AVERAGE(OFFSET($H$3,0,0,'Données projet'!$E$11+1,1))</f>
        <v>165.39579887388538</v>
      </c>
      <c r="BJ6" s="59">
        <f t="shared" si="38"/>
        <v>155.89639262545802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1.2</v>
      </c>
      <c r="BY6" s="12">
        <f>IF('Données projet'!$A$114&gt;35,BY5+BX6-CG5,IF(A6&lt;'Données projet'!$A$114,$BV$205^A6,IF(A6='Données projet'!$A$114,'Données projet'!$B$114,BY5+BX6-CG5)))</f>
        <v>1.5040232524285473</v>
      </c>
      <c r="BZ6" s="13">
        <f>BY6*VLOOKUP('Données projet'!$B$12,Paramètres!$A$1:$I$89,3,0)*VLOOKUP('Données projet'!$B$12,Paramètres!$A$1:$I$89,5,0)</f>
        <v>1.4546912897488911</v>
      </c>
      <c r="CA6" s="13">
        <f t="shared" si="39"/>
        <v>0.64176551639126822</v>
      </c>
      <c r="CB6" s="20">
        <f t="shared" si="10"/>
        <v>3.6513289373607773</v>
      </c>
      <c r="CC6" s="59">
        <f t="shared" si="11"/>
        <v>296.98466227069412</v>
      </c>
      <c r="CD6" s="59">
        <f ca="1">AVERAGE(OFFSET($CC$3,0,0,'Données projet'!$E$12+1,1))-AVERAGE(OFFSET($H$3,0,0,'Données projet'!$E$12+1,1))</f>
        <v>156.26368818265388</v>
      </c>
      <c r="CE6" s="59">
        <f t="shared" si="40"/>
        <v>56.347130462109817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1.5040232524285473</v>
      </c>
      <c r="CU6" s="17">
        <f>CT6*VLOOKUP('Données projet'!$B$13,Paramètres!$A$1:$I$89,3,0)*VLOOKUP('Données projet'!$B$13,Paramètres!$A$1:$I$89,5,0)</f>
        <v>1.2200636623700376</v>
      </c>
      <c r="CV6" s="13">
        <f t="shared" si="41"/>
        <v>0.54938858971749172</v>
      </c>
      <c r="CW6" s="20">
        <f t="shared" si="13"/>
        <v>3.0817960057191134</v>
      </c>
      <c r="CX6" s="59">
        <f t="shared" si="14"/>
        <v>296.41512933905244</v>
      </c>
      <c r="CY6" s="59">
        <f ca="1">AVERAGE(OFFSET($CX$3,0,0,'Données projet'!$E$13+1,1))-AVERAGE(OFFSET($H$3,0,0,'Données projet'!$E$13+1,1))</f>
        <v>112.78807760743126</v>
      </c>
      <c r="CZ6" s="59">
        <f t="shared" si="42"/>
        <v>37.867745922003564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2.85</v>
      </c>
      <c r="DO6" s="12">
        <f>IF('Données projet'!$A$166&gt;35,DO5+DN6-DW5,IF(A6&lt;'Données projet'!$A$166,$DL$205^A6,IF(A6='Données projet'!$A$166,'Données projet'!$B$166,DO5+DN6-DW5)))</f>
        <v>1.8339235537625185</v>
      </c>
      <c r="DP6" s="17">
        <f>DO6*VLOOKUP('Données projet'!$B$14,Paramètres!$A$1:$I$89,3,0)*VLOOKUP('Données projet'!$B$14,Paramètres!$A$1:$I$89,5,0)</f>
        <v>1.2301959198638974</v>
      </c>
      <c r="DQ6" s="13">
        <f t="shared" si="43"/>
        <v>0.55341807667594378</v>
      </c>
      <c r="DR6" s="20">
        <f t="shared" si="16"/>
        <v>3.1064610439735567</v>
      </c>
      <c r="DS6" s="59">
        <f t="shared" si="17"/>
        <v>296.4397943773069</v>
      </c>
      <c r="DT6" s="59">
        <f ca="1">AVERAGE(OFFSET($DS$3,0,0,'Données projet'!$E$14+1,1))-AVERAGE(OFFSET($H$3,0,0,'Données projet'!$E$14+1,1))</f>
        <v>107.15837202366862</v>
      </c>
      <c r="DU6" s="59">
        <f t="shared" si="44"/>
        <v>139.67031833740026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5.75</v>
      </c>
      <c r="EJ6" s="12">
        <f>IF('Données projet'!$A$192&gt;35,EJ5+EI6-ER5,IF(A6&lt;'Données projet'!$A$192,$EG$205^A6,IF(A6='Données projet'!$A$192,'Données projet'!$B$192,EJ5+EI6-ER5)))</f>
        <v>2.0375331160043926</v>
      </c>
      <c r="EK6" s="17">
        <f>EJ6*VLOOKUP('Données projet'!$B$15,Paramètres!$A$1:$I$89,3,0)*VLOOKUP('Données projet'!$B$15,Paramètres!$A$1:$I$89,5,0)</f>
        <v>0.95356549829005577</v>
      </c>
      <c r="EL6" s="13">
        <f t="shared" si="45"/>
        <v>0.44188187933534279</v>
      </c>
      <c r="EM6" s="20">
        <f t="shared" si="19"/>
        <v>2.4304041826975693</v>
      </c>
      <c r="EN6" s="59">
        <f t="shared" si="20"/>
        <v>295.76373751603086</v>
      </c>
      <c r="EO6" s="59">
        <f ca="1">AVERAGE(OFFSET($EN$3,0,0,'Données projet'!$E$15+1,1))-AVERAGE(OFFSET($H$3,0,0,'Données projet'!$E$15+1,1))</f>
        <v>123.60520571614535</v>
      </c>
      <c r="EP6" s="59">
        <f t="shared" si="46"/>
        <v>119.00926870519527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2.2999999999999998</v>
      </c>
      <c r="FE6" s="12">
        <f>IF('Données projet'!$A$218&gt;35,FE5+FD6-FM5,IF(A6&lt;'Données projet'!$A$218,$FB$205^A6,IF(A6='Données projet'!$A$218,'Données projet'!$B$218,FE5+FD6-FM5)))</f>
        <v>1.7758802393064956</v>
      </c>
      <c r="FF6" s="17">
        <f>FE6*VLOOKUP('Données projet'!$B$16,Paramètres!$A$1:$I$89,3,0)*VLOOKUP('Données projet'!$B$16,Paramètres!$A$1:$I$89,5,0)</f>
        <v>0.85419839510642437</v>
      </c>
      <c r="FG6" s="13">
        <f t="shared" si="47"/>
        <v>0.40093814559797286</v>
      </c>
      <c r="FH6" s="20">
        <f t="shared" si="22"/>
        <v>2.1860294750601583</v>
      </c>
      <c r="FI6" s="59">
        <f t="shared" si="23"/>
        <v>295.51936280839345</v>
      </c>
      <c r="FJ6" s="59">
        <f ca="1">AVERAGE(OFFSET($FI$3,0,0,'Données projet'!$E$16+1,1))-AVERAGE(OFFSET($H$3,0,0,'Données projet'!$E$16+1,1))</f>
        <v>197.66963254934603</v>
      </c>
      <c r="FK6" s="59">
        <f t="shared" si="48"/>
        <v>158.08388141976138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3.1</v>
      </c>
      <c r="FZ6" s="12">
        <f>IF('Données projet'!$A$244&gt;35,FZ5+FY6-GH5,IF(A6&lt;'Données projet'!$A$244,$FW$205^A6,IF(A6='Données projet'!$A$244,'Données projet'!$B$244,FZ5+FY6-GH5)))</f>
        <v>1.8572003353975992</v>
      </c>
      <c r="GA6" s="17">
        <f>FZ6*VLOOKUP('Données projet'!$B$17,Paramètres!$A$1:$I$89,3,0)*VLOOKUP('Données projet'!$B$17,Paramètres!$A$1:$I$89,5,0)</f>
        <v>1.1106058005677644</v>
      </c>
      <c r="GB6" s="13">
        <f t="shared" si="49"/>
        <v>0.50560204931497998</v>
      </c>
      <c r="GC6" s="20">
        <f t="shared" si="25"/>
        <v>2.8148953385457798</v>
      </c>
      <c r="GD6" s="59">
        <f t="shared" si="26"/>
        <v>296.14822867187911</v>
      </c>
      <c r="GE6" s="59">
        <f ca="1">AVERAGE(OFFSET($GD$3,0,0,'Données projet'!$E$17+1,1))-AVERAGE(OFFSET($H$3,0,0,'Données projet'!$E$17+1,1))</f>
        <v>165.39579887388538</v>
      </c>
      <c r="GF6" s="59">
        <f t="shared" si="50"/>
        <v>155.89639262545802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1.2</v>
      </c>
      <c r="GU6" s="12">
        <f>IF('Données projet'!$A$270&gt;35,GU5+GT6-HC5,IF(A6&lt;'Données projet'!$A$270,$GR$205^A6,IF(A6='Données projet'!$A$270,'Données projet'!$B$270,GU5+GT6-HC5)))</f>
        <v>1.5040232524285473</v>
      </c>
      <c r="GV6" s="17">
        <f>GU6*VLOOKUP('Données projet'!$B$18,Paramètres!$A$1:$I$89,3,0)*VLOOKUP('Données projet'!$B$18,Paramètres!$A$1:$I$89,5,0)</f>
        <v>1.6189306289140883</v>
      </c>
      <c r="GW6" s="13">
        <f t="shared" si="51"/>
        <v>0.70538486562354785</v>
      </c>
      <c r="GX6" s="20">
        <f t="shared" si="28"/>
        <v>4.0481828196530492</v>
      </c>
      <c r="GY6" s="59">
        <f t="shared" si="29"/>
        <v>297.38151615298636</v>
      </c>
      <c r="GZ6" s="59">
        <f ca="1">AVERAGE(OFFSET($GY$3,0,0,'Données projet'!$E$18+1,1))-AVERAGE(OFFSET($H$3,0,0,'Données projet'!$E$18+1,1))</f>
        <v>186.60545265015247</v>
      </c>
      <c r="HA6" s="59">
        <f t="shared" si="52"/>
        <v>69.239647548491234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2.1333333333333333</v>
      </c>
      <c r="N7" s="13">
        <f>IF('Données projet'!$A$36&gt;35,N6+M7-V6,IF(A7&lt;'Données projet'!$A$36,$K$205^A7,IF(A7='Données projet'!$A$36,'Données projet'!$B$36,N6+M7-V6)))</f>
        <v>2.5198420997897468</v>
      </c>
      <c r="O7" s="13">
        <f>N7*VLOOKUP('Données projet'!$B$9,Paramètres!$A$1:$I$89,3,0)*VLOOKUP('Données projet'!$B$9,Paramètres!$A$1:$I$89,5,0)</f>
        <v>1.4085917337824683</v>
      </c>
      <c r="P7" s="13">
        <f t="shared" si="33"/>
        <v>0.62376156456402043</v>
      </c>
      <c r="Q7" s="20">
        <f t="shared" si="2"/>
        <v>3.5396819946201337</v>
      </c>
      <c r="R7" s="59">
        <f t="shared" si="0"/>
        <v>296.87301532795345</v>
      </c>
      <c r="S7" s="59">
        <f ca="1">AVERAGE(OFFSET($R$3,0,0,'Données projet'!$E$9+1,1))-AVERAGE(OFFSET($H$3,0,0,'Données projet'!$E$9+1,1))</f>
        <v>235.10258076192054</v>
      </c>
      <c r="T7" s="59">
        <f t="shared" si="34"/>
        <v>233.47316052603765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2.2999999999999998</v>
      </c>
      <c r="AI7" s="13">
        <f>IF('Données projet'!$A$62&gt;35,AI6+AH7-AQ6,IF(A7&lt;'Données projet'!$A$62,$AF$205^A7,IF(A7='Données projet'!$A$62,'Données projet'!$B$62,AI6+AH7-AQ6)))</f>
        <v>3.5050251165172894</v>
      </c>
      <c r="AJ7" s="13">
        <f>AI7*VLOOKUP('Données projet'!$B$10,Paramètres!$A$1:$I$89,3,0)*VLOOKUP('Données projet'!$B$10,Paramètres!$A$1:$I$89,5,0)</f>
        <v>1.9137437136184399</v>
      </c>
      <c r="AK7" s="13">
        <f t="shared" si="35"/>
        <v>0.81775756479591588</v>
      </c>
      <c r="AL7" s="20">
        <f t="shared" si="4"/>
        <v>4.7573647265716694</v>
      </c>
      <c r="AM7" s="59">
        <f t="shared" si="5"/>
        <v>298.09069805990498</v>
      </c>
      <c r="AN7" s="59">
        <f ca="1">AVERAGE(OFFSET($AM$3,0,0,'Données projet'!$E$10+1,1))-AVERAGE(OFFSET($H$3,0,0,'Données projet'!$E$10+1,1))</f>
        <v>168.72306536277267</v>
      </c>
      <c r="AO7" s="59">
        <f t="shared" si="36"/>
        <v>203.35476578922339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3.1</v>
      </c>
      <c r="BD7" s="12">
        <f>IF('Données projet'!$A$88&gt;35,BD6+BC7-BL6,IF(A7&lt;'Données projet'!$A$88,$BA$205^A7,IF(A7='Données projet'!$A$88,'Données projet'!$B$88,BD6+BC7-BL6)))</f>
        <v>2.2828550557016292</v>
      </c>
      <c r="BE7" s="13">
        <f>BD7*VLOOKUP('Données projet'!$B$11,Paramètres!$A$1:$I$89,3,0)*VLOOKUP('Données projet'!$B$11,Paramètres!$A$1:$I$89,5,0)</f>
        <v>1.3651473233095743</v>
      </c>
      <c r="BF7" s="13">
        <f t="shared" si="37"/>
        <v>0.60673170590338565</v>
      </c>
      <c r="BG7" s="20">
        <f t="shared" si="7"/>
        <v>3.4343559758792388</v>
      </c>
      <c r="BH7" s="59">
        <f t="shared" si="8"/>
        <v>296.76768930921253</v>
      </c>
      <c r="BI7" s="59">
        <f ca="1">AVERAGE(OFFSET($BH$3,0,0,'Données projet'!$E$11+1,1))-AVERAGE(OFFSET($H$3,0,0,'Données projet'!$E$11+1,1))</f>
        <v>165.39579887388538</v>
      </c>
      <c r="BJ7" s="59">
        <f t="shared" si="38"/>
        <v>155.89639262545802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1.2</v>
      </c>
      <c r="BY7" s="12">
        <f>IF('Données projet'!$A$114&gt;35,BY6+BX7-CG6,IF(A7&lt;'Données projet'!$A$114,$BV$205^A7,IF(A7='Données projet'!$A$114,'Données projet'!$B$114,BY6+BX7-CG6)))</f>
        <v>1.7232147397057538</v>
      </c>
      <c r="BZ7" s="13">
        <f>BY7*VLOOKUP('Données projet'!$B$12,Paramètres!$A$1:$I$89,3,0)*VLOOKUP('Données projet'!$B$12,Paramètres!$A$1:$I$89,5,0)</f>
        <v>1.6666932962434051</v>
      </c>
      <c r="CA7" s="13">
        <f t="shared" si="39"/>
        <v>0.72374195851500689</v>
      </c>
      <c r="CB7" s="20">
        <f t="shared" si="10"/>
        <v>4.1633414020375676</v>
      </c>
      <c r="CC7" s="59">
        <f t="shared" si="11"/>
        <v>297.4966747353709</v>
      </c>
      <c r="CD7" s="59">
        <f ca="1">AVERAGE(OFFSET($CC$3,0,0,'Données projet'!$E$12+1,1))-AVERAGE(OFFSET($H$3,0,0,'Données projet'!$E$12+1,1))</f>
        <v>156.26368818265388</v>
      </c>
      <c r="CE7" s="59">
        <f t="shared" si="40"/>
        <v>56.347130462109817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1.7232147397057538</v>
      </c>
      <c r="CU7" s="17">
        <f>CT7*VLOOKUP('Données projet'!$B$13,Paramètres!$A$1:$I$89,3,0)*VLOOKUP('Données projet'!$B$13,Paramètres!$A$1:$I$89,5,0)</f>
        <v>1.3978717968493075</v>
      </c>
      <c r="CV7" s="13">
        <f t="shared" si="41"/>
        <v>0.61956518970321062</v>
      </c>
      <c r="CW7" s="20">
        <f t="shared" si="13"/>
        <v>3.5137027515789687</v>
      </c>
      <c r="CX7" s="59">
        <f t="shared" si="14"/>
        <v>296.8470360849123</v>
      </c>
      <c r="CY7" s="59">
        <f ca="1">AVERAGE(OFFSET($CX$3,0,0,'Données projet'!$E$13+1,1))-AVERAGE(OFFSET($H$3,0,0,'Données projet'!$E$13+1,1))</f>
        <v>112.78807760743126</v>
      </c>
      <c r="CZ7" s="59">
        <f t="shared" si="42"/>
        <v>37.867745922003564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2.85</v>
      </c>
      <c r="DO7" s="12">
        <f>IF('Données projet'!$A$166&gt;35,DO6+DN7-DW6,IF(A7&lt;'Données projet'!$A$166,$DL$205^A7,IF(A7='Données projet'!$A$166,'Données projet'!$B$166,DO6+DN7-DW6)))</f>
        <v>2.2447861343640922</v>
      </c>
      <c r="DP7" s="17">
        <f>DO7*VLOOKUP('Données projet'!$B$14,Paramètres!$A$1:$I$89,3,0)*VLOOKUP('Données projet'!$B$14,Paramètres!$A$1:$I$89,5,0)</f>
        <v>1.5058025389314331</v>
      </c>
      <c r="DQ7" s="13">
        <f t="shared" si="43"/>
        <v>0.66164935248922685</v>
      </c>
      <c r="DR7" s="20">
        <f t="shared" si="16"/>
        <v>3.7749787108909825</v>
      </c>
      <c r="DS7" s="59">
        <f t="shared" si="17"/>
        <v>297.10831204422431</v>
      </c>
      <c r="DT7" s="59">
        <f ca="1">AVERAGE(OFFSET($DS$3,0,0,'Données projet'!$E$14+1,1))-AVERAGE(OFFSET($H$3,0,0,'Données projet'!$E$14+1,1))</f>
        <v>107.15837202366862</v>
      </c>
      <c r="DU7" s="59">
        <f t="shared" si="44"/>
        <v>139.67031833740026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5.75</v>
      </c>
      <c r="EJ7" s="12">
        <f>IF('Données projet'!$A$192&gt;35,EJ6+EI7-ER6,IF(A7&lt;'Données projet'!$A$192,$EG$205^A7,IF(A7='Données projet'!$A$192,'Données projet'!$B$192,EJ6+EI7-ER6)))</f>
        <v>2.5830901781308797</v>
      </c>
      <c r="EK7" s="17">
        <f>EJ7*VLOOKUP('Données projet'!$B$15,Paramètres!$A$1:$I$89,3,0)*VLOOKUP('Données projet'!$B$15,Paramètres!$A$1:$I$89,5,0)</f>
        <v>1.2088862033652517</v>
      </c>
      <c r="EL7" s="13">
        <f t="shared" si="45"/>
        <v>0.54493891535856476</v>
      </c>
      <c r="EM7" s="20">
        <f t="shared" si="19"/>
        <v>3.0545787484439804</v>
      </c>
      <c r="EN7" s="59">
        <f t="shared" si="20"/>
        <v>296.3879120817773</v>
      </c>
      <c r="EO7" s="59">
        <f ca="1">AVERAGE(OFFSET($EN$3,0,0,'Données projet'!$E$15+1,1))-AVERAGE(OFFSET($H$3,0,0,'Données projet'!$E$15+1,1))</f>
        <v>123.60520571614535</v>
      </c>
      <c r="EP7" s="59">
        <f t="shared" si="46"/>
        <v>119.00926870519527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2.2999999999999998</v>
      </c>
      <c r="FE7" s="12">
        <f>IF('Données projet'!$A$218&gt;35,FE6+FD7-FM6,IF(A7&lt;'Données projet'!$A$218,$FB$205^A7,IF(A7='Données projet'!$A$218,'Données projet'!$B$218,FE6+FD7-FM6)))</f>
        <v>2.1505600128111393</v>
      </c>
      <c r="FF7" s="17">
        <f>FE7*VLOOKUP('Données projet'!$B$16,Paramètres!$A$1:$I$89,3,0)*VLOOKUP('Données projet'!$B$16,Paramètres!$A$1:$I$89,5,0)</f>
        <v>1.0344193661621581</v>
      </c>
      <c r="FG7" s="13">
        <f t="shared" si="47"/>
        <v>0.47482985597854221</v>
      </c>
      <c r="FH7" s="20">
        <f t="shared" si="22"/>
        <v>2.6286090618950531</v>
      </c>
      <c r="FI7" s="59">
        <f t="shared" si="23"/>
        <v>295.96194239522839</v>
      </c>
      <c r="FJ7" s="59">
        <f ca="1">AVERAGE(OFFSET($FI$3,0,0,'Données projet'!$E$16+1,1))-AVERAGE(OFFSET($H$3,0,0,'Données projet'!$E$16+1,1))</f>
        <v>197.66963254934603</v>
      </c>
      <c r="FK7" s="59">
        <f t="shared" si="48"/>
        <v>158.08388141976138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3.1</v>
      </c>
      <c r="FZ7" s="12">
        <f>IF('Données projet'!$A$244&gt;35,FZ6+FY7-GH6,IF(A7&lt;'Données projet'!$A$244,$FW$205^A7,IF(A7='Données projet'!$A$244,'Données projet'!$B$244,FZ6+FY7-GH6)))</f>
        <v>2.2828550557016292</v>
      </c>
      <c r="GA7" s="17">
        <f>FZ7*VLOOKUP('Données projet'!$B$17,Paramètres!$A$1:$I$89,3,0)*VLOOKUP('Données projet'!$B$17,Paramètres!$A$1:$I$89,5,0)</f>
        <v>1.3651473233095743</v>
      </c>
      <c r="GB7" s="13">
        <f t="shared" si="49"/>
        <v>0.60673170590338565</v>
      </c>
      <c r="GC7" s="20">
        <f t="shared" si="25"/>
        <v>3.4343559758792388</v>
      </c>
      <c r="GD7" s="59">
        <f t="shared" si="26"/>
        <v>296.76768930921253</v>
      </c>
      <c r="GE7" s="59">
        <f ca="1">AVERAGE(OFFSET($GD$3,0,0,'Données projet'!$E$17+1,1))-AVERAGE(OFFSET($H$3,0,0,'Données projet'!$E$17+1,1))</f>
        <v>165.39579887388538</v>
      </c>
      <c r="GF7" s="59">
        <f t="shared" si="50"/>
        <v>155.89639262545802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1.2</v>
      </c>
      <c r="GU7" s="12">
        <f>IF('Données projet'!$A$270&gt;35,GU6+GT7-HC6,IF(A7&lt;'Données projet'!$A$270,$GR$205^A7,IF(A7='Données projet'!$A$270,'Données projet'!$B$270,GU6+GT7-HC6)))</f>
        <v>1.7232147397057538</v>
      </c>
      <c r="GV7" s="17">
        <f>GU7*VLOOKUP('Données projet'!$B$18,Paramètres!$A$1:$I$89,3,0)*VLOOKUP('Données projet'!$B$18,Paramètres!$A$1:$I$89,5,0)</f>
        <v>1.8548683458192732</v>
      </c>
      <c r="GW7" s="13">
        <f t="shared" si="51"/>
        <v>0.79548777725536501</v>
      </c>
      <c r="GX7" s="20">
        <f t="shared" si="28"/>
        <v>4.6160369143549937</v>
      </c>
      <c r="GY7" s="59">
        <f t="shared" si="29"/>
        <v>297.94937024768831</v>
      </c>
      <c r="GZ7" s="59">
        <f ca="1">AVERAGE(OFFSET($GY$3,0,0,'Données projet'!$E$18+1,1))-AVERAGE(OFFSET($H$3,0,0,'Données projet'!$E$18+1,1))</f>
        <v>186.60545265015247</v>
      </c>
      <c r="HA7" s="59">
        <f t="shared" si="52"/>
        <v>69.239647548491234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2.1333333333333333</v>
      </c>
      <c r="N8" s="13">
        <f>IF('Données projet'!$A$36&gt;35,N7+M8-V7,IF(A8&lt;'Données projet'!$A$36,$K$205^A8,IF(A8='Données projet'!$A$36,'Données projet'!$B$36,N7+M8-V7)))</f>
        <v>3.1748021039363996</v>
      </c>
      <c r="O8" s="13">
        <f>N8*VLOOKUP('Données projet'!$B$9,Paramètres!$A$1:$I$89,3,0)*VLOOKUP('Données projet'!$B$9,Paramètres!$A$1:$I$89,5,0)</f>
        <v>1.7747143761004474</v>
      </c>
      <c r="P8" s="13">
        <f t="shared" si="33"/>
        <v>0.76503618767494097</v>
      </c>
      <c r="Q8" s="20">
        <f t="shared" si="2"/>
        <v>4.423398898575468</v>
      </c>
      <c r="R8" s="59">
        <f t="shared" si="0"/>
        <v>297.75673223190876</v>
      </c>
      <c r="S8" s="59">
        <f ca="1">AVERAGE(OFFSET($R$3,0,0,'Données projet'!$E$9+1,1))-AVERAGE(OFFSET($H$3,0,0,'Données projet'!$E$9+1,1))</f>
        <v>235.10258076192054</v>
      </c>
      <c r="T8" s="59">
        <f t="shared" si="34"/>
        <v>233.47316052603765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2.2999999999999998</v>
      </c>
      <c r="AI8" s="13">
        <f>IF('Données projet'!$A$62&gt;35,AI7+AH8-AQ7,IF(A8&lt;'Données projet'!$A$62,$AF$205^A8,IF(A8='Données projet'!$A$62,'Données projet'!$B$62,AI7+AH8-AQ7)))</f>
        <v>4.79583152331272</v>
      </c>
      <c r="AJ8" s="13">
        <f>AI8*VLOOKUP('Données projet'!$B$10,Paramètres!$A$1:$I$89,3,0)*VLOOKUP('Données projet'!$B$10,Paramètres!$A$1:$I$89,5,0)</f>
        <v>2.6185240117287449</v>
      </c>
      <c r="AK8" s="13">
        <f t="shared" si="35"/>
        <v>1.0788146661414966</v>
      </c>
      <c r="AL8" s="20">
        <f t="shared" si="4"/>
        <v>6.4395315306240031</v>
      </c>
      <c r="AM8" s="59">
        <f t="shared" si="5"/>
        <v>299.7728648639573</v>
      </c>
      <c r="AN8" s="59">
        <f ca="1">AVERAGE(OFFSET($AM$3,0,0,'Données projet'!$E$10+1,1))-AVERAGE(OFFSET($H$3,0,0,'Données projet'!$E$10+1,1))</f>
        <v>168.72306536277267</v>
      </c>
      <c r="AO8" s="59">
        <f t="shared" si="36"/>
        <v>203.35476578922339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3.1</v>
      </c>
      <c r="BD8" s="12">
        <f>IF('Données projet'!$A$88&gt;35,BD7+BC8-BL7,IF(A8&lt;'Données projet'!$A$88,$BA$205^A8,IF(A8='Données projet'!$A$88,'Données projet'!$B$88,BD7+BC8-BL7)))</f>
        <v>2.8060662632966835</v>
      </c>
      <c r="BE8" s="13">
        <f>BD8*VLOOKUP('Données projet'!$B$11,Paramètres!$A$1:$I$89,3,0)*VLOOKUP('Données projet'!$B$11,Paramètres!$A$1:$I$89,5,0)</f>
        <v>1.678027625451417</v>
      </c>
      <c r="BF8" s="13">
        <f t="shared" si="37"/>
        <v>0.72808914332366337</v>
      </c>
      <c r="BG8" s="20">
        <f t="shared" si="7"/>
        <v>4.1906533722832648</v>
      </c>
      <c r="BH8" s="59">
        <f t="shared" si="8"/>
        <v>297.52398670561661</v>
      </c>
      <c r="BI8" s="59">
        <f ca="1">AVERAGE(OFFSET($BH$3,0,0,'Données projet'!$E$11+1,1))-AVERAGE(OFFSET($H$3,0,0,'Données projet'!$E$11+1,1))</f>
        <v>165.39579887388538</v>
      </c>
      <c r="BJ8" s="59">
        <f t="shared" si="38"/>
        <v>155.89639262545802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1.2</v>
      </c>
      <c r="BY8" s="12">
        <f>IF('Données projet'!$A$114&gt;35,BY7+BX8-CG7,IF(A8&lt;'Données projet'!$A$114,$BV$205^A8,IF(A8='Données projet'!$A$114,'Données projet'!$B$114,BY7+BX8-CG7)))</f>
        <v>1.9743504858348202</v>
      </c>
      <c r="BZ8" s="13">
        <f>BY8*VLOOKUP('Données projet'!$B$12,Paramètres!$A$1:$I$89,3,0)*VLOOKUP('Données projet'!$B$12,Paramètres!$A$1:$I$89,5,0)</f>
        <v>1.9095917898994379</v>
      </c>
      <c r="CA8" s="13">
        <f t="shared" si="39"/>
        <v>0.81618972839261894</v>
      </c>
      <c r="CB8" s="20">
        <f t="shared" si="10"/>
        <v>4.7474028110253315</v>
      </c>
      <c r="CC8" s="59">
        <f t="shared" si="11"/>
        <v>298.08073614435864</v>
      </c>
      <c r="CD8" s="59">
        <f ca="1">AVERAGE(OFFSET($CC$3,0,0,'Données projet'!$E$12+1,1))-AVERAGE(OFFSET($H$3,0,0,'Données projet'!$E$12+1,1))</f>
        <v>156.26368818265388</v>
      </c>
      <c r="CE8" s="59">
        <f t="shared" si="40"/>
        <v>56.347130462109817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1.9743504858348202</v>
      </c>
      <c r="CU8" s="17">
        <f>CT8*VLOOKUP('Données projet'!$B$13,Paramètres!$A$1:$I$89,3,0)*VLOOKUP('Données projet'!$B$13,Paramètres!$A$1:$I$89,5,0)</f>
        <v>1.6015931141092061</v>
      </c>
      <c r="CV8" s="13">
        <f t="shared" si="41"/>
        <v>0.69870585497482873</v>
      </c>
      <c r="CW8" s="20">
        <f t="shared" si="13"/>
        <v>4.0063540378213611</v>
      </c>
      <c r="CX8" s="59">
        <f t="shared" si="14"/>
        <v>297.3396873711547</v>
      </c>
      <c r="CY8" s="59">
        <f ca="1">AVERAGE(OFFSET($CX$3,0,0,'Données projet'!$E$13+1,1))-AVERAGE(OFFSET($H$3,0,0,'Données projet'!$E$13+1,1))</f>
        <v>112.78807760743126</v>
      </c>
      <c r="CZ8" s="59">
        <f t="shared" si="42"/>
        <v>37.867745922003564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2.85</v>
      </c>
      <c r="DO8" s="12">
        <f>IF('Données projet'!$A$166&gt;35,DO7+DN8-DW7,IF(A8&lt;'Données projet'!$A$166,$DL$205^A8,IF(A8='Données projet'!$A$166,'Données projet'!$B$166,DO7+DN8-DW7)))</f>
        <v>2.7476962050544729</v>
      </c>
      <c r="DP8" s="17">
        <f>DO8*VLOOKUP('Données projet'!$B$14,Paramètres!$A$1:$I$89,3,0)*VLOOKUP('Données projet'!$B$14,Paramètres!$A$1:$I$89,5,0)</f>
        <v>1.8431546143505404</v>
      </c>
      <c r="DQ8" s="13">
        <f t="shared" si="43"/>
        <v>0.79104728251541545</v>
      </c>
      <c r="DR8" s="20">
        <f t="shared" si="16"/>
        <v>4.5879016370415391</v>
      </c>
      <c r="DS8" s="59">
        <f t="shared" si="17"/>
        <v>297.92123497037483</v>
      </c>
      <c r="DT8" s="59">
        <f ca="1">AVERAGE(OFFSET($DS$3,0,0,'Données projet'!$E$14+1,1))-AVERAGE(OFFSET($H$3,0,0,'Données projet'!$E$14+1,1))</f>
        <v>107.15837202366862</v>
      </c>
      <c r="DU8" s="59">
        <f t="shared" si="44"/>
        <v>139.67031833740026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5.75</v>
      </c>
      <c r="EJ8" s="12">
        <f>IF('Données projet'!$A$192&gt;35,EJ7+EI8-ER7,IF(A8&lt;'Données projet'!$A$192,$EG$205^A8,IF(A8='Données projet'!$A$192,'Données projet'!$B$192,EJ7+EI8-ER7)))</f>
        <v>3.2747221706220535</v>
      </c>
      <c r="EK8" s="17">
        <f>EJ8*VLOOKUP('Données projet'!$B$15,Paramètres!$A$1:$I$89,3,0)*VLOOKUP('Données projet'!$B$15,Paramètres!$A$1:$I$89,5,0)</f>
        <v>1.5325699758511209</v>
      </c>
      <c r="EL8" s="13">
        <f t="shared" si="45"/>
        <v>0.67203122680395833</v>
      </c>
      <c r="EM8" s="20">
        <f t="shared" si="19"/>
        <v>3.839680427957596</v>
      </c>
      <c r="EN8" s="59">
        <f t="shared" si="20"/>
        <v>297.17301376129092</v>
      </c>
      <c r="EO8" s="59">
        <f ca="1">AVERAGE(OFFSET($EN$3,0,0,'Données projet'!$E$15+1,1))-AVERAGE(OFFSET($H$3,0,0,'Données projet'!$E$15+1,1))</f>
        <v>123.60520571614535</v>
      </c>
      <c r="EP8" s="59">
        <f t="shared" si="46"/>
        <v>119.00926870519527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2.2999999999999998</v>
      </c>
      <c r="FE8" s="12">
        <f>IF('Données projet'!$A$218&gt;35,FE7+FD8-FM7,IF(A8&lt;'Données projet'!$A$218,$FB$205^A8,IF(A8='Données projet'!$A$218,'Données projet'!$B$218,FE7+FD8-FM7)))</f>
        <v>2.6042906871402174</v>
      </c>
      <c r="FF8" s="17">
        <f>FE8*VLOOKUP('Données projet'!$B$16,Paramètres!$A$1:$I$89,3,0)*VLOOKUP('Données projet'!$B$16,Paramètres!$A$1:$I$89,5,0)</f>
        <v>1.2526638205144447</v>
      </c>
      <c r="FG8" s="13">
        <f t="shared" si="47"/>
        <v>0.56233958929584826</v>
      </c>
      <c r="FH8" s="20">
        <f t="shared" si="22"/>
        <v>3.1611309387529265</v>
      </c>
      <c r="FI8" s="59">
        <f t="shared" si="23"/>
        <v>296.49446427208625</v>
      </c>
      <c r="FJ8" s="59">
        <f ca="1">AVERAGE(OFFSET($FI$3,0,0,'Données projet'!$E$16+1,1))-AVERAGE(OFFSET($H$3,0,0,'Données projet'!$E$16+1,1))</f>
        <v>197.66963254934603</v>
      </c>
      <c r="FK8" s="59">
        <f t="shared" si="48"/>
        <v>158.08388141976138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3.1</v>
      </c>
      <c r="FZ8" s="12">
        <f>IF('Données projet'!$A$244&gt;35,FZ7+FY8-GH7,IF(A8&lt;'Données projet'!$A$244,$FW$205^A8,IF(A8='Données projet'!$A$244,'Données projet'!$B$244,FZ7+FY8-GH7)))</f>
        <v>2.8060662632966835</v>
      </c>
      <c r="GA8" s="17">
        <f>FZ8*VLOOKUP('Données projet'!$B$17,Paramètres!$A$1:$I$89,3,0)*VLOOKUP('Données projet'!$B$17,Paramètres!$A$1:$I$89,5,0)</f>
        <v>1.678027625451417</v>
      </c>
      <c r="GB8" s="13">
        <f t="shared" si="49"/>
        <v>0.72808914332366337</v>
      </c>
      <c r="GC8" s="20">
        <f t="shared" si="25"/>
        <v>4.1906533722832648</v>
      </c>
      <c r="GD8" s="59">
        <f t="shared" si="26"/>
        <v>297.52398670561661</v>
      </c>
      <c r="GE8" s="59">
        <f ca="1">AVERAGE(OFFSET($GD$3,0,0,'Données projet'!$E$17+1,1))-AVERAGE(OFFSET($H$3,0,0,'Données projet'!$E$17+1,1))</f>
        <v>165.39579887388538</v>
      </c>
      <c r="GF8" s="59">
        <f t="shared" si="50"/>
        <v>155.89639262545802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1.2</v>
      </c>
      <c r="GU8" s="12">
        <f>IF('Données projet'!$A$270&gt;35,GU7+GT8-HC7,IF(A8&lt;'Données projet'!$A$270,$GR$205^A8,IF(A8='Données projet'!$A$270,'Données projet'!$B$270,GU7+GT8-HC7)))</f>
        <v>1.9743504858348202</v>
      </c>
      <c r="GV8" s="17">
        <f>GU8*VLOOKUP('Données projet'!$B$18,Paramètres!$A$1:$I$89,3,0)*VLOOKUP('Données projet'!$B$18,Paramètres!$A$1:$I$89,5,0)</f>
        <v>2.1251908629526004</v>
      </c>
      <c r="GW8" s="13">
        <f t="shared" si="51"/>
        <v>0.89710005785748825</v>
      </c>
      <c r="GX8" s="20">
        <f t="shared" si="28"/>
        <v>5.2638233537442369</v>
      </c>
      <c r="GY8" s="59">
        <f t="shared" si="29"/>
        <v>298.59715668707753</v>
      </c>
      <c r="GZ8" s="59">
        <f ca="1">AVERAGE(OFFSET($GY$3,0,0,'Données projet'!$E$18+1,1))-AVERAGE(OFFSET($H$3,0,0,'Données projet'!$E$18+1,1))</f>
        <v>186.60545265015247</v>
      </c>
      <c r="HA8" s="59">
        <f t="shared" si="52"/>
        <v>69.239647548491234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2.1333333333333333</v>
      </c>
      <c r="N9" s="13">
        <f>IF('Données projet'!$A$36&gt;35,N8+M9-V8,IF(A9&lt;'Données projet'!$A$36,$K$205^A9,IF(A9='Données projet'!$A$36,'Données projet'!$B$36,N8+M9-V8)))</f>
        <v>4.0000000000000009</v>
      </c>
      <c r="O9" s="13">
        <f>N9*VLOOKUP('Données projet'!$B$9,Paramètres!$A$1:$I$89,3,0)*VLOOKUP('Données projet'!$B$9,Paramètres!$A$1:$I$89,5,0)</f>
        <v>2.2360000000000007</v>
      </c>
      <c r="P9" s="13">
        <f t="shared" si="33"/>
        <v>0.93830784341656326</v>
      </c>
      <c r="Q9" s="20">
        <f t="shared" si="2"/>
        <v>5.5285861606171816</v>
      </c>
      <c r="R9" s="59">
        <f t="shared" si="0"/>
        <v>298.8619194939505</v>
      </c>
      <c r="S9" s="59">
        <f ca="1">AVERAGE(OFFSET($R$3,0,0,'Données projet'!$E$9+1,1))-AVERAGE(OFFSET($H$3,0,0,'Données projet'!$E$9+1,1))</f>
        <v>235.10258076192054</v>
      </c>
      <c r="T9" s="59">
        <f t="shared" si="34"/>
        <v>233.47316052603765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2.2999999999999998</v>
      </c>
      <c r="AI9" s="13">
        <f>IF('Données projet'!$A$62&gt;35,AI8+AH9-AQ8,IF(A9&lt;'Données projet'!$A$62,$AF$205^A9,IF(A9='Données projet'!$A$62,'Données projet'!$B$62,AI8+AH9-AQ8)))</f>
        <v>6.5620071855158564</v>
      </c>
      <c r="AJ9" s="13">
        <f>AI9*VLOOKUP('Données projet'!$B$10,Paramètres!$A$1:$I$89,3,0)*VLOOKUP('Données projet'!$B$10,Paramètres!$A$1:$I$89,5,0)</f>
        <v>3.5828559232916577</v>
      </c>
      <c r="AK9" s="13">
        <f t="shared" si="35"/>
        <v>1.4232104158797276</v>
      </c>
      <c r="AL9" s="20">
        <f t="shared" si="4"/>
        <v>8.7188988740568281</v>
      </c>
      <c r="AM9" s="59">
        <f t="shared" si="5"/>
        <v>302.05223220739015</v>
      </c>
      <c r="AN9" s="59">
        <f ca="1">AVERAGE(OFFSET($AM$3,0,0,'Données projet'!$E$10+1,1))-AVERAGE(OFFSET($H$3,0,0,'Données projet'!$E$10+1,1))</f>
        <v>168.72306536277267</v>
      </c>
      <c r="AO9" s="59">
        <f t="shared" si="36"/>
        <v>203.35476578922339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3.1</v>
      </c>
      <c r="BD9" s="12">
        <f>IF('Données projet'!$A$88&gt;35,BD8+BC9-BL8,IF(A9&lt;'Données projet'!$A$88,$BA$205^A9,IF(A9='Données projet'!$A$88,'Données projet'!$B$88,BD8+BC9-BL8)))</f>
        <v>3.449193085800955</v>
      </c>
      <c r="BE9" s="13">
        <f>BD9*VLOOKUP('Données projet'!$B$11,Paramètres!$A$1:$I$89,3,0)*VLOOKUP('Données projet'!$B$11,Paramètres!$A$1:$I$89,5,0)</f>
        <v>2.0626174653089713</v>
      </c>
      <c r="BF9" s="13">
        <f t="shared" si="37"/>
        <v>0.8737202876788509</v>
      </c>
      <c r="BG9" s="20">
        <f t="shared" si="7"/>
        <v>5.1141215864537903</v>
      </c>
      <c r="BH9" s="59">
        <f t="shared" si="8"/>
        <v>298.44745491978711</v>
      </c>
      <c r="BI9" s="59">
        <f ca="1">AVERAGE(OFFSET($BH$3,0,0,'Données projet'!$E$11+1,1))-AVERAGE(OFFSET($H$3,0,0,'Données projet'!$E$11+1,1))</f>
        <v>165.39579887388538</v>
      </c>
      <c r="BJ9" s="59">
        <f t="shared" si="38"/>
        <v>155.89639262545802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1.2</v>
      </c>
      <c r="BY9" s="12">
        <f>IF('Données projet'!$A$114&gt;35,BY8+BX9-CG8,IF(A9&lt;'Données projet'!$A$114,$BV$205^A9,IF(A9='Données projet'!$A$114,'Données projet'!$B$114,BY8+BX9-CG8)))</f>
        <v>2.2620859438457455</v>
      </c>
      <c r="BZ9" s="13">
        <f>BY9*VLOOKUP('Données projet'!$B$12,Paramètres!$A$1:$I$89,3,0)*VLOOKUP('Données projet'!$B$12,Paramètres!$A$1:$I$89,5,0)</f>
        <v>2.1878895248876051</v>
      </c>
      <c r="CA9" s="13">
        <f t="shared" si="39"/>
        <v>0.92044638962272363</v>
      </c>
      <c r="CB9" s="20">
        <f t="shared" si="10"/>
        <v>5.4136850511054888</v>
      </c>
      <c r="CC9" s="59">
        <f t="shared" si="11"/>
        <v>298.74701838443877</v>
      </c>
      <c r="CD9" s="59">
        <f ca="1">AVERAGE(OFFSET($CC$3,0,0,'Données projet'!$E$12+1,1))-AVERAGE(OFFSET($H$3,0,0,'Données projet'!$E$12+1,1))</f>
        <v>156.26368818265388</v>
      </c>
      <c r="CE9" s="59">
        <f t="shared" si="40"/>
        <v>56.347130462109817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2.2620859438457455</v>
      </c>
      <c r="CU9" s="17">
        <f>CT9*VLOOKUP('Données projet'!$B$13,Paramètres!$A$1:$I$89,3,0)*VLOOKUP('Données projet'!$B$13,Paramètres!$A$1:$I$89,5,0)</f>
        <v>1.8350041176476688</v>
      </c>
      <c r="CV9" s="13">
        <f t="shared" si="41"/>
        <v>0.78795561772920664</v>
      </c>
      <c r="CW9" s="20">
        <f t="shared" si="13"/>
        <v>4.5683215391147245</v>
      </c>
      <c r="CX9" s="59">
        <f t="shared" si="14"/>
        <v>297.90165487244803</v>
      </c>
      <c r="CY9" s="59">
        <f ca="1">AVERAGE(OFFSET($CX$3,0,0,'Données projet'!$E$13+1,1))-AVERAGE(OFFSET($H$3,0,0,'Données projet'!$E$13+1,1))</f>
        <v>112.78807760743126</v>
      </c>
      <c r="CZ9" s="59">
        <f t="shared" si="42"/>
        <v>37.867745922003564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2.85</v>
      </c>
      <c r="DO9" s="12">
        <f>IF('Données projet'!$A$166&gt;35,DO8+DN9-DW8,IF(A9&lt;'Données projet'!$A$166,$DL$205^A9,IF(A9='Données projet'!$A$166,'Données projet'!$B$166,DO8+DN9-DW8)))</f>
        <v>3.3632756010449452</v>
      </c>
      <c r="DP9" s="17">
        <f>DO9*VLOOKUP('Données projet'!$B$14,Paramètres!$A$1:$I$89,3,0)*VLOOKUP('Données projet'!$B$14,Paramètres!$A$1:$I$89,5,0)</f>
        <v>2.2560852731809491</v>
      </c>
      <c r="DQ9" s="13">
        <f t="shared" si="43"/>
        <v>0.94575140264376234</v>
      </c>
      <c r="DR9" s="20">
        <f t="shared" si="16"/>
        <v>5.5765322103947055</v>
      </c>
      <c r="DS9" s="59">
        <f t="shared" si="17"/>
        <v>298.90986554372802</v>
      </c>
      <c r="DT9" s="59">
        <f ca="1">AVERAGE(OFFSET($DS$3,0,0,'Données projet'!$E$14+1,1))-AVERAGE(OFFSET($H$3,0,0,'Données projet'!$E$14+1,1))</f>
        <v>107.15837202366862</v>
      </c>
      <c r="DU9" s="59">
        <f t="shared" si="44"/>
        <v>139.67031833740026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5.75</v>
      </c>
      <c r="EJ9" s="12">
        <f>IF('Données projet'!$A$192&gt;35,EJ8+EI9-ER8,IF(A9&lt;'Données projet'!$A$192,$EG$205^A9,IF(A9='Données projet'!$A$192,'Données projet'!$B$192,EJ8+EI9-ER8)))</f>
        <v>4.1515411988145692</v>
      </c>
      <c r="EK9" s="17">
        <f>EJ9*VLOOKUP('Données projet'!$B$15,Paramètres!$A$1:$I$89,3,0)*VLOOKUP('Données projet'!$B$15,Paramètres!$A$1:$I$89,5,0)</f>
        <v>1.9429212810452183</v>
      </c>
      <c r="EL9" s="13">
        <f t="shared" si="45"/>
        <v>0.82876439371643607</v>
      </c>
      <c r="EM9" s="20">
        <f t="shared" si="19"/>
        <v>4.8273525502098815</v>
      </c>
      <c r="EN9" s="59">
        <f t="shared" si="20"/>
        <v>298.16068588354318</v>
      </c>
      <c r="EO9" s="59">
        <f ca="1">AVERAGE(OFFSET($EN$3,0,0,'Données projet'!$E$15+1,1))-AVERAGE(OFFSET($H$3,0,0,'Données projet'!$E$15+1,1))</f>
        <v>123.60520571614535</v>
      </c>
      <c r="EP9" s="59">
        <f t="shared" si="46"/>
        <v>119.00926870519527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2.2999999999999998</v>
      </c>
      <c r="FE9" s="12">
        <f>IF('Données projet'!$A$218&gt;35,FE8+FD9-FM8,IF(A9&lt;'Données projet'!$A$218,$FB$205^A9,IF(A9='Données projet'!$A$218,'Données projet'!$B$218,FE8+FD9-FM8)))</f>
        <v>3.1537506243592963</v>
      </c>
      <c r="FF9" s="17">
        <f>FE9*VLOOKUP('Données projet'!$B$16,Paramètres!$A$1:$I$89,3,0)*VLOOKUP('Données projet'!$B$16,Paramètres!$A$1:$I$89,5,0)</f>
        <v>1.5169540503168215</v>
      </c>
      <c r="FG9" s="13">
        <f t="shared" si="47"/>
        <v>0.66597710676329869</v>
      </c>
      <c r="FH9" s="20">
        <f t="shared" si="22"/>
        <v>3.8019384319145431</v>
      </c>
      <c r="FI9" s="59">
        <f t="shared" si="23"/>
        <v>297.13527176524786</v>
      </c>
      <c r="FJ9" s="59">
        <f ca="1">AVERAGE(OFFSET($FI$3,0,0,'Données projet'!$E$16+1,1))-AVERAGE(OFFSET($H$3,0,0,'Données projet'!$E$16+1,1))</f>
        <v>197.66963254934603</v>
      </c>
      <c r="FK9" s="59">
        <f t="shared" si="48"/>
        <v>158.08388141976138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3.1</v>
      </c>
      <c r="FZ9" s="12">
        <f>IF('Données projet'!$A$244&gt;35,FZ8+FY9-GH8,IF(A9&lt;'Données projet'!$A$244,$FW$205^A9,IF(A9='Données projet'!$A$244,'Données projet'!$B$244,FZ8+FY9-GH8)))</f>
        <v>3.449193085800955</v>
      </c>
      <c r="GA9" s="17">
        <f>FZ9*VLOOKUP('Données projet'!$B$17,Paramètres!$A$1:$I$89,3,0)*VLOOKUP('Données projet'!$B$17,Paramètres!$A$1:$I$89,5,0)</f>
        <v>2.0626174653089713</v>
      </c>
      <c r="GB9" s="13">
        <f t="shared" si="49"/>
        <v>0.8737202876788509</v>
      </c>
      <c r="GC9" s="20">
        <f t="shared" si="25"/>
        <v>5.1141215864537903</v>
      </c>
      <c r="GD9" s="59">
        <f t="shared" si="26"/>
        <v>298.44745491978711</v>
      </c>
      <c r="GE9" s="59">
        <f ca="1">AVERAGE(OFFSET($GD$3,0,0,'Données projet'!$E$17+1,1))-AVERAGE(OFFSET($H$3,0,0,'Données projet'!$E$17+1,1))</f>
        <v>165.39579887388538</v>
      </c>
      <c r="GF9" s="59">
        <f t="shared" si="50"/>
        <v>155.89639262545802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1.2</v>
      </c>
      <c r="GU9" s="12">
        <f>IF('Données projet'!$A$270&gt;35,GU8+GT9-HC8,IF(A9&lt;'Données projet'!$A$270,$GR$205^A9,IF(A9='Données projet'!$A$270,'Données projet'!$B$270,GU8+GT9-HC8)))</f>
        <v>2.2620859438457455</v>
      </c>
      <c r="GV9" s="17">
        <f>GU9*VLOOKUP('Données projet'!$B$18,Paramètres!$A$1:$I$89,3,0)*VLOOKUP('Données projet'!$B$18,Paramètres!$A$1:$I$89,5,0)</f>
        <v>2.4349093099555601</v>
      </c>
      <c r="GW9" s="13">
        <f t="shared" si="51"/>
        <v>1.0116918660706939</v>
      </c>
      <c r="GX9" s="20">
        <f t="shared" si="28"/>
        <v>6.0028303815790593</v>
      </c>
      <c r="GY9" s="59">
        <f t="shared" si="29"/>
        <v>299.33616371491235</v>
      </c>
      <c r="GZ9" s="59">
        <f ca="1">AVERAGE(OFFSET($GY$3,0,0,'Données projet'!$E$18+1,1))-AVERAGE(OFFSET($H$3,0,0,'Données projet'!$E$18+1,1))</f>
        <v>186.60545265015247</v>
      </c>
      <c r="HA9" s="59">
        <f t="shared" si="52"/>
        <v>69.239647548491234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2.1333333333333333</v>
      </c>
      <c r="N10" s="13">
        <f>IF('Données projet'!$A$36&gt;35,N9+M10-V9,IF(A10&lt;'Données projet'!$A$36,$K$205^A10,IF(A10='Données projet'!$A$36,'Données projet'!$B$36,N9+M10-V9)))</f>
        <v>5.0396841995794937</v>
      </c>
      <c r="O10" s="13">
        <f>N10*VLOOKUP('Données projet'!$B$9,Paramètres!$A$1:$I$89,3,0)*VLOOKUP('Données projet'!$B$9,Paramètres!$A$1:$I$89,5,0)</f>
        <v>2.8171834675649365</v>
      </c>
      <c r="P10" s="13">
        <f t="shared" si="33"/>
        <v>1.1508234815568323</v>
      </c>
      <c r="Q10" s="20">
        <f t="shared" si="2"/>
        <v>6.9109454363870801</v>
      </c>
      <c r="R10" s="59">
        <f t="shared" si="0"/>
        <v>300.24427876972038</v>
      </c>
      <c r="S10" s="59">
        <f ca="1">AVERAGE(OFFSET($R$3,0,0,'Données projet'!$E$9+1,1))-AVERAGE(OFFSET($H$3,0,0,'Données projet'!$E$9+1,1))</f>
        <v>235.10258076192054</v>
      </c>
      <c r="T10" s="59">
        <f t="shared" si="34"/>
        <v>233.47316052603765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2.2999999999999998</v>
      </c>
      <c r="AI10" s="13">
        <f>IF('Données projet'!$A$62&gt;35,AI9+AH10-AQ9,IF(A10&lt;'Données projet'!$A$62,$AF$205^A10,IF(A10='Données projet'!$A$62,'Données projet'!$B$62,AI9+AH10-AQ9)))</f>
        <v>8.9786178045341511</v>
      </c>
      <c r="AJ10" s="13">
        <f>AI10*VLOOKUP('Données projet'!$B$10,Paramètres!$A$1:$I$89,3,0)*VLOOKUP('Données projet'!$B$10,Paramètres!$A$1:$I$89,5,0)</f>
        <v>4.9023253212756464</v>
      </c>
      <c r="AK10" s="13">
        <f t="shared" si="35"/>
        <v>1.8775494544517806</v>
      </c>
      <c r="AL10" s="20">
        <f t="shared" si="4"/>
        <v>11.808281901058599</v>
      </c>
      <c r="AM10" s="59">
        <f t="shared" si="5"/>
        <v>305.14161523439191</v>
      </c>
      <c r="AN10" s="59">
        <f ca="1">AVERAGE(OFFSET($AM$3,0,0,'Données projet'!$E$10+1,1))-AVERAGE(OFFSET($H$3,0,0,'Données projet'!$E$10+1,1))</f>
        <v>168.72306536277267</v>
      </c>
      <c r="AO10" s="59">
        <f t="shared" si="36"/>
        <v>203.35476578922339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3.1</v>
      </c>
      <c r="BD10" s="12">
        <f>IF('Données projet'!$A$88&gt;35,BD9+BC10-BL9,IF(A10&lt;'Données projet'!$A$88,$BA$205^A10,IF(A10='Données projet'!$A$88,'Données projet'!$B$88,BD9+BC10-BL9)))</f>
        <v>4.2397191751131711</v>
      </c>
      <c r="BE10" s="13">
        <f>BD10*VLOOKUP('Données projet'!$B$11,Paramètres!$A$1:$I$89,3,0)*VLOOKUP('Données projet'!$B$11,Paramètres!$A$1:$I$89,5,0)</f>
        <v>2.5353520667176763</v>
      </c>
      <c r="BF10" s="13">
        <f t="shared" si="37"/>
        <v>1.0484803242866916</v>
      </c>
      <c r="BG10" s="20">
        <f t="shared" si="7"/>
        <v>6.2418414143326073</v>
      </c>
      <c r="BH10" s="59">
        <f t="shared" si="8"/>
        <v>299.57517474766593</v>
      </c>
      <c r="BI10" s="59">
        <f ca="1">AVERAGE(OFFSET($BH$3,0,0,'Données projet'!$E$11+1,1))-AVERAGE(OFFSET($H$3,0,0,'Données projet'!$E$11+1,1))</f>
        <v>165.39579887388538</v>
      </c>
      <c r="BJ10" s="59">
        <f t="shared" si="38"/>
        <v>155.89639262545802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1.2</v>
      </c>
      <c r="BY10" s="12">
        <f>IF('Données projet'!$A$114&gt;35,BY9+BX10-CG9,IF(A10&lt;'Données projet'!$A$114,$BV$205^A10,IF(A10='Données projet'!$A$114,'Données projet'!$B$114,BY9+BX10-CG9)))</f>
        <v>2.5917550374450604</v>
      </c>
      <c r="BZ10" s="13">
        <f>BY10*VLOOKUP('Données projet'!$B$12,Paramètres!$A$1:$I$89,3,0)*VLOOKUP('Données projet'!$B$12,Paramètres!$A$1:$I$89,5,0)</f>
        <v>2.5067454722168625</v>
      </c>
      <c r="CA10" s="13">
        <f t="shared" si="39"/>
        <v>1.038020360582093</v>
      </c>
      <c r="CB10" s="20">
        <f t="shared" si="10"/>
        <v>6.1738004921248475</v>
      </c>
      <c r="CC10" s="59">
        <f t="shared" si="11"/>
        <v>299.50713382545814</v>
      </c>
      <c r="CD10" s="59">
        <f ca="1">AVERAGE(OFFSET($CC$3,0,0,'Données projet'!$E$12+1,1))-AVERAGE(OFFSET($H$3,0,0,'Données projet'!$E$12+1,1))</f>
        <v>156.26368818265388</v>
      </c>
      <c r="CE10" s="59">
        <f t="shared" si="40"/>
        <v>56.347130462109817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2.5917550374450604</v>
      </c>
      <c r="CU10" s="17">
        <f>CT10*VLOOKUP('Données projet'!$B$13,Paramètres!$A$1:$I$89,3,0)*VLOOKUP('Données projet'!$B$13,Paramètres!$A$1:$I$89,5,0)</f>
        <v>2.1024316863754331</v>
      </c>
      <c r="CV10" s="13">
        <f t="shared" si="41"/>
        <v>0.88860577178558631</v>
      </c>
      <c r="CW10" s="20">
        <f t="shared" si="13"/>
        <v>5.2093902396304417</v>
      </c>
      <c r="CX10" s="59">
        <f t="shared" si="14"/>
        <v>298.54272357296378</v>
      </c>
      <c r="CY10" s="59">
        <f ca="1">AVERAGE(OFFSET($CX$3,0,0,'Données projet'!$E$13+1,1))-AVERAGE(OFFSET($H$3,0,0,'Données projet'!$E$13+1,1))</f>
        <v>112.78807760743126</v>
      </c>
      <c r="CZ10" s="59">
        <f t="shared" si="42"/>
        <v>37.867745922003564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2.85</v>
      </c>
      <c r="DO10" s="12">
        <f>IF('Données projet'!$A$166&gt;35,DO9+DN10-DW9,IF(A10&lt;'Données projet'!$A$166,$DL$205^A10,IF(A10='Données projet'!$A$166,'Données projet'!$B$166,DO9+DN10-DW9)))</f>
        <v>4.116766164969822</v>
      </c>
      <c r="DP10" s="17">
        <f>DO10*VLOOKUP('Données projet'!$B$14,Paramètres!$A$1:$I$89,3,0)*VLOOKUP('Données projet'!$B$14,Paramètres!$A$1:$I$89,5,0)</f>
        <v>2.7615267434617565</v>
      </c>
      <c r="DQ10" s="13">
        <f t="shared" si="43"/>
        <v>1.1307108125805532</v>
      </c>
      <c r="DR10" s="20">
        <f t="shared" si="16"/>
        <v>6.7789804101070219</v>
      </c>
      <c r="DS10" s="59">
        <f t="shared" si="17"/>
        <v>300.11231374344032</v>
      </c>
      <c r="DT10" s="59">
        <f ca="1">AVERAGE(OFFSET($DS$3,0,0,'Données projet'!$E$14+1,1))-AVERAGE(OFFSET($H$3,0,0,'Données projet'!$E$14+1,1))</f>
        <v>107.15837202366862</v>
      </c>
      <c r="DU10" s="59">
        <f t="shared" si="44"/>
        <v>139.67031833740026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5.75</v>
      </c>
      <c r="EJ10" s="12">
        <f>IF('Données projet'!$A$192&gt;35,EJ9+EI10-ER9,IF(A10&lt;'Données projet'!$A$192,$EG$205^A10,IF(A10='Données projet'!$A$192,'Données projet'!$B$192,EJ9+EI10-ER9)))</f>
        <v>5.2631317795673525</v>
      </c>
      <c r="EK10" s="17">
        <f>EJ10*VLOOKUP('Données projet'!$B$15,Paramètres!$A$1:$I$89,3,0)*VLOOKUP('Données projet'!$B$15,Paramètres!$A$1:$I$89,5,0)</f>
        <v>2.4631456728375212</v>
      </c>
      <c r="EL10" s="13">
        <f t="shared" si="45"/>
        <v>1.0220513465701448</v>
      </c>
      <c r="EM10" s="20">
        <f t="shared" si="19"/>
        <v>6.0700514754683512</v>
      </c>
      <c r="EN10" s="59">
        <f t="shared" si="20"/>
        <v>299.40338480880166</v>
      </c>
      <c r="EO10" s="59">
        <f ca="1">AVERAGE(OFFSET($EN$3,0,0,'Données projet'!$E$15+1,1))-AVERAGE(OFFSET($H$3,0,0,'Données projet'!$E$15+1,1))</f>
        <v>123.60520571614535</v>
      </c>
      <c r="EP10" s="59">
        <f t="shared" si="46"/>
        <v>119.00926870519527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2.2999999999999998</v>
      </c>
      <c r="FE10" s="12">
        <f>IF('Données projet'!$A$218&gt;35,FE9+FD10-FM9,IF(A10&lt;'Données projet'!$A$218,$FB$205^A10,IF(A10='Données projet'!$A$218,'Données projet'!$B$218,FE9+FD10-FM9)))</f>
        <v>3.8191370301940264</v>
      </c>
      <c r="FF10" s="17">
        <f>FE10*VLOOKUP('Données projet'!$B$16,Paramètres!$A$1:$I$89,3,0)*VLOOKUP('Données projet'!$B$16,Paramètres!$A$1:$I$89,5,0)</f>
        <v>1.8370049115233269</v>
      </c>
      <c r="FG10" s="13">
        <f t="shared" si="47"/>
        <v>0.78871471113778246</v>
      </c>
      <c r="FH10" s="20">
        <f t="shared" si="22"/>
        <v>4.5731283428014313</v>
      </c>
      <c r="FI10" s="59">
        <f t="shared" si="23"/>
        <v>297.90646167613477</v>
      </c>
      <c r="FJ10" s="59">
        <f ca="1">AVERAGE(OFFSET($FI$3,0,0,'Données projet'!$E$16+1,1))-AVERAGE(OFFSET($H$3,0,0,'Données projet'!$E$16+1,1))</f>
        <v>197.66963254934603</v>
      </c>
      <c r="FK10" s="59">
        <f t="shared" si="48"/>
        <v>158.08388141976138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3.1</v>
      </c>
      <c r="FZ10" s="12">
        <f>IF('Données projet'!$A$244&gt;35,FZ9+FY10-GH9,IF(A10&lt;'Données projet'!$A$244,$FW$205^A10,IF(A10='Données projet'!$A$244,'Données projet'!$B$244,FZ9+FY10-GH9)))</f>
        <v>4.2397191751131711</v>
      </c>
      <c r="GA10" s="17">
        <f>FZ10*VLOOKUP('Données projet'!$B$17,Paramètres!$A$1:$I$89,3,0)*VLOOKUP('Données projet'!$B$17,Paramètres!$A$1:$I$89,5,0)</f>
        <v>2.5353520667176763</v>
      </c>
      <c r="GB10" s="13">
        <f t="shared" si="49"/>
        <v>1.0484803242866916</v>
      </c>
      <c r="GC10" s="20">
        <f t="shared" si="25"/>
        <v>6.2418414143326073</v>
      </c>
      <c r="GD10" s="59">
        <f t="shared" si="26"/>
        <v>299.57517474766593</v>
      </c>
      <c r="GE10" s="59">
        <f ca="1">AVERAGE(OFFSET($GD$3,0,0,'Données projet'!$E$17+1,1))-AVERAGE(OFFSET($H$3,0,0,'Données projet'!$E$17+1,1))</f>
        <v>165.39579887388538</v>
      </c>
      <c r="GF10" s="59">
        <f t="shared" si="50"/>
        <v>155.89639262545802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1.2</v>
      </c>
      <c r="GU10" s="12">
        <f>IF('Données projet'!$A$270&gt;35,GU9+GT10-HC9,IF(A10&lt;'Données projet'!$A$270,$GR$205^A10,IF(A10='Données projet'!$A$270,'Données projet'!$B$270,GU9+GT10-HC9)))</f>
        <v>2.5917550374450604</v>
      </c>
      <c r="GV10" s="17">
        <f>GU10*VLOOKUP('Données projet'!$B$18,Paramètres!$A$1:$I$89,3,0)*VLOOKUP('Données projet'!$B$18,Paramètres!$A$1:$I$89,5,0)</f>
        <v>2.7897651223058633</v>
      </c>
      <c r="GW10" s="13">
        <f t="shared" si="51"/>
        <v>1.1409211524498617</v>
      </c>
      <c r="GX10" s="20">
        <f t="shared" si="28"/>
        <v>6.8459452618662198</v>
      </c>
      <c r="GY10" s="59">
        <f t="shared" si="29"/>
        <v>300.17927859519955</v>
      </c>
      <c r="GZ10" s="59">
        <f ca="1">AVERAGE(OFFSET($GY$3,0,0,'Données projet'!$E$18+1,1))-AVERAGE(OFFSET($H$3,0,0,'Données projet'!$E$18+1,1))</f>
        <v>186.60545265015247</v>
      </c>
      <c r="HA10" s="59">
        <f t="shared" si="52"/>
        <v>69.239647548491234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2.1333333333333333</v>
      </c>
      <c r="N11" s="13">
        <f>IF('Données projet'!$A$36&gt;35,N10+M11-V10,IF(A11&lt;'Données projet'!$A$36,$K$205^A11,IF(A11='Données projet'!$A$36,'Données projet'!$B$36,N10+M11-V10)))</f>
        <v>6.3496042078728001</v>
      </c>
      <c r="O11" s="13">
        <f>N11*VLOOKUP('Données projet'!$B$9,Paramètres!$A$1:$I$89,3,0)*VLOOKUP('Données projet'!$B$9,Paramètres!$A$1:$I$89,5,0)</f>
        <v>3.5494287522008952</v>
      </c>
      <c r="P11" s="13">
        <f t="shared" si="33"/>
        <v>1.4114714003457627</v>
      </c>
      <c r="Q11" s="20">
        <f t="shared" si="2"/>
        <v>8.640234432352095</v>
      </c>
      <c r="R11" s="59">
        <f t="shared" si="0"/>
        <v>301.9735677656854</v>
      </c>
      <c r="S11" s="59">
        <f ca="1">AVERAGE(OFFSET($R$3,0,0,'Données projet'!$E$9+1,1))-AVERAGE(OFFSET($H$3,0,0,'Données projet'!$E$9+1,1))</f>
        <v>235.10258076192054</v>
      </c>
      <c r="T11" s="59">
        <f t="shared" si="34"/>
        <v>233.47316052603765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2.2999999999999998</v>
      </c>
      <c r="AI11" s="13">
        <f>IF('Données projet'!$A$62&gt;35,AI10+AH11-AQ10,IF(A11&lt;'Données projet'!$A$62,$AF$205^A11,IF(A11='Données projet'!$A$62,'Données projet'!$B$62,AI10+AH11-AQ10)))</f>
        <v>12.285201067417038</v>
      </c>
      <c r="AJ11" s="13">
        <f>AI11*VLOOKUP('Données projet'!$B$10,Paramètres!$A$1:$I$89,3,0)*VLOOKUP('Données projet'!$B$10,Paramètres!$A$1:$I$89,5,0)</f>
        <v>6.7077197828097024</v>
      </c>
      <c r="AK11" s="13">
        <f t="shared" si="35"/>
        <v>2.4769295633162978</v>
      </c>
      <c r="AL11" s="20">
        <f t="shared" si="4"/>
        <v>15.996597611169451</v>
      </c>
      <c r="AM11" s="59">
        <f t="shared" si="5"/>
        <v>309.32993094450279</v>
      </c>
      <c r="AN11" s="59">
        <f ca="1">AVERAGE(OFFSET($AM$3,0,0,'Données projet'!$E$10+1,1))-AVERAGE(OFFSET($H$3,0,0,'Données projet'!$E$10+1,1))</f>
        <v>168.72306536277267</v>
      </c>
      <c r="AO11" s="59">
        <f t="shared" si="36"/>
        <v>203.35476578922339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3.1</v>
      </c>
      <c r="BD11" s="12">
        <f>IF('Données projet'!$A$88&gt;35,BD10+BC11-BL10,IF(A11&lt;'Données projet'!$A$88,$BA$205^A11,IF(A11='Données projet'!$A$88,'Données projet'!$B$88,BD10+BC11-BL10)))</f>
        <v>5.2114272053424884</v>
      </c>
      <c r="BE11" s="13">
        <f>BD11*VLOOKUP('Données projet'!$B$11,Paramètres!$A$1:$I$89,3,0)*VLOOKUP('Données projet'!$B$11,Paramètres!$A$1:$I$89,5,0)</f>
        <v>3.1164334687948081</v>
      </c>
      <c r="BF11" s="13">
        <f t="shared" si="37"/>
        <v>1.2581955643227483</v>
      </c>
      <c r="BG11" s="20">
        <f t="shared" si="7"/>
        <v>7.6191455660130769</v>
      </c>
      <c r="BH11" s="59">
        <f t="shared" si="8"/>
        <v>300.95247889934637</v>
      </c>
      <c r="BI11" s="59">
        <f ca="1">AVERAGE(OFFSET($BH$3,0,0,'Données projet'!$E$11+1,1))-AVERAGE(OFFSET($H$3,0,0,'Données projet'!$E$11+1,1))</f>
        <v>165.39579887388538</v>
      </c>
      <c r="BJ11" s="59">
        <f t="shared" si="38"/>
        <v>155.89639262545802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1.2</v>
      </c>
      <c r="BY11" s="12">
        <f>IF('Données projet'!$A$114&gt;35,BY10+BX11-CG10,IF(A11&lt;'Données projet'!$A$114,$BV$205^A11,IF(A11='Données projet'!$A$114,'Données projet'!$B$114,BY10+BX11-CG10)))</f>
        <v>2.9694690391391689</v>
      </c>
      <c r="BZ11" s="13">
        <f>BY11*VLOOKUP('Données projet'!$B$12,Paramètres!$A$1:$I$89,3,0)*VLOOKUP('Données projet'!$B$12,Paramètres!$A$1:$I$89,5,0)</f>
        <v>2.8720704546554043</v>
      </c>
      <c r="CA11" s="13">
        <f t="shared" si="39"/>
        <v>1.1706127387002112</v>
      </c>
      <c r="CB11" s="20">
        <f t="shared" si="10"/>
        <v>7.04100656176103</v>
      </c>
      <c r="CC11" s="59">
        <f t="shared" si="11"/>
        <v>300.37433989509435</v>
      </c>
      <c r="CD11" s="59">
        <f ca="1">AVERAGE(OFFSET($CC$3,0,0,'Données projet'!$E$12+1,1))-AVERAGE(OFFSET($H$3,0,0,'Données projet'!$E$12+1,1))</f>
        <v>156.26368818265388</v>
      </c>
      <c r="CE11" s="59">
        <f t="shared" si="40"/>
        <v>56.347130462109817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2.9694690391391689</v>
      </c>
      <c r="CU11" s="17">
        <f>CT11*VLOOKUP('Données projet'!$B$13,Paramètres!$A$1:$I$89,3,0)*VLOOKUP('Données projet'!$B$13,Paramètres!$A$1:$I$89,5,0)</f>
        <v>2.408833284549694</v>
      </c>
      <c r="CV11" s="13">
        <f t="shared" si="41"/>
        <v>1.0021125554333223</v>
      </c>
      <c r="CW11" s="20">
        <f t="shared" si="13"/>
        <v>5.9407306713037533</v>
      </c>
      <c r="CX11" s="59">
        <f t="shared" si="14"/>
        <v>299.27406400463707</v>
      </c>
      <c r="CY11" s="59">
        <f ca="1">AVERAGE(OFFSET($CX$3,0,0,'Données projet'!$E$13+1,1))-AVERAGE(OFFSET($H$3,0,0,'Données projet'!$E$13+1,1))</f>
        <v>112.78807760743126</v>
      </c>
      <c r="CZ11" s="59">
        <f t="shared" si="42"/>
        <v>37.867745922003564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2.85</v>
      </c>
      <c r="DO11" s="12">
        <f>IF('Données projet'!$A$166&gt;35,DO10+DN11-DW10,IF(A11&lt;'Données projet'!$A$166,$DL$205^A11,IF(A11='Données projet'!$A$166,'Données projet'!$B$166,DO10+DN11-DW10)))</f>
        <v>5.0390647890332847</v>
      </c>
      <c r="DP11" s="17">
        <f>DO11*VLOOKUP('Données projet'!$B$14,Paramètres!$A$1:$I$89,3,0)*VLOOKUP('Données projet'!$B$14,Paramètres!$A$1:$I$89,5,0)</f>
        <v>3.3802046604835274</v>
      </c>
      <c r="DQ11" s="13">
        <f t="shared" si="43"/>
        <v>1.3518425012245552</v>
      </c>
      <c r="DR11" s="20">
        <f t="shared" si="16"/>
        <v>8.2416488066415781</v>
      </c>
      <c r="DS11" s="59">
        <f t="shared" si="17"/>
        <v>301.57498213997491</v>
      </c>
      <c r="DT11" s="59">
        <f ca="1">AVERAGE(OFFSET($DS$3,0,0,'Données projet'!$E$14+1,1))-AVERAGE(OFFSET($H$3,0,0,'Données projet'!$E$14+1,1))</f>
        <v>107.15837202366862</v>
      </c>
      <c r="DU11" s="59">
        <f t="shared" si="44"/>
        <v>139.67031833740026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5.75</v>
      </c>
      <c r="EJ11" s="12">
        <f>IF('Données projet'!$A$192&gt;35,EJ10+EI11-ER10,IF(A11&lt;'Données projet'!$A$192,$EG$205^A11,IF(A11='Données projet'!$A$192,'Données projet'!$B$192,EJ10+EI11-ER10)))</f>
        <v>6.6723548683562202</v>
      </c>
      <c r="EK11" s="17">
        <f>EJ11*VLOOKUP('Données projet'!$B$15,Paramètres!$A$1:$I$89,3,0)*VLOOKUP('Données projet'!$B$15,Paramètres!$A$1:$I$89,5,0)</f>
        <v>3.1226620783907113</v>
      </c>
      <c r="EL11" s="13">
        <f t="shared" si="45"/>
        <v>1.2604172705122936</v>
      </c>
      <c r="EM11" s="20">
        <f t="shared" si="19"/>
        <v>7.6338631993393991</v>
      </c>
      <c r="EN11" s="59">
        <f t="shared" si="20"/>
        <v>300.96719653267269</v>
      </c>
      <c r="EO11" s="59">
        <f ca="1">AVERAGE(OFFSET($EN$3,0,0,'Données projet'!$E$15+1,1))-AVERAGE(OFFSET($H$3,0,0,'Données projet'!$E$15+1,1))</f>
        <v>123.60520571614535</v>
      </c>
      <c r="EP11" s="59">
        <f t="shared" si="46"/>
        <v>119.00926870519527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2.2999999999999998</v>
      </c>
      <c r="FE11" s="12">
        <f>IF('Données projet'!$A$218&gt;35,FE10+FD11-FM10,IF(A11&lt;'Données projet'!$A$218,$FB$205^A11,IF(A11='Données projet'!$A$218,'Données projet'!$B$218,FE10+FD11-FM10)))</f>
        <v>4.6249083687022479</v>
      </c>
      <c r="FF11" s="17">
        <f>FE11*VLOOKUP('Données projet'!$B$16,Paramètres!$A$1:$I$89,3,0)*VLOOKUP('Données projet'!$B$16,Paramètres!$A$1:$I$89,5,0)</f>
        <v>2.2245809253457813</v>
      </c>
      <c r="FG11" s="13">
        <f t="shared" si="47"/>
        <v>0.93407249175346163</v>
      </c>
      <c r="FH11" s="20">
        <f t="shared" si="22"/>
        <v>5.5013213681145139</v>
      </c>
      <c r="FI11" s="59">
        <f t="shared" si="23"/>
        <v>298.83465470144785</v>
      </c>
      <c r="FJ11" s="59">
        <f ca="1">AVERAGE(OFFSET($FI$3,0,0,'Données projet'!$E$16+1,1))-AVERAGE(OFFSET($H$3,0,0,'Données projet'!$E$16+1,1))</f>
        <v>197.66963254934603</v>
      </c>
      <c r="FK11" s="59">
        <f t="shared" si="48"/>
        <v>158.08388141976138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3.1</v>
      </c>
      <c r="FZ11" s="12">
        <f>IF('Données projet'!$A$244&gt;35,FZ10+FY11-GH10,IF(A11&lt;'Données projet'!$A$244,$FW$205^A11,IF(A11='Données projet'!$A$244,'Données projet'!$B$244,FZ10+FY11-GH10)))</f>
        <v>5.2114272053424884</v>
      </c>
      <c r="GA11" s="17">
        <f>FZ11*VLOOKUP('Données projet'!$B$17,Paramètres!$A$1:$I$89,3,0)*VLOOKUP('Données projet'!$B$17,Paramètres!$A$1:$I$89,5,0)</f>
        <v>3.1164334687948081</v>
      </c>
      <c r="GB11" s="13">
        <f t="shared" si="49"/>
        <v>1.2581955643227483</v>
      </c>
      <c r="GC11" s="20">
        <f t="shared" si="25"/>
        <v>7.6191455660130769</v>
      </c>
      <c r="GD11" s="59">
        <f t="shared" si="26"/>
        <v>300.95247889934637</v>
      </c>
      <c r="GE11" s="59">
        <f ca="1">AVERAGE(OFFSET($GD$3,0,0,'Données projet'!$E$17+1,1))-AVERAGE(OFFSET($H$3,0,0,'Données projet'!$E$17+1,1))</f>
        <v>165.39579887388538</v>
      </c>
      <c r="GF11" s="59">
        <f t="shared" si="50"/>
        <v>155.89639262545802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1.2</v>
      </c>
      <c r="GU11" s="12">
        <f>IF('Données projet'!$A$270&gt;35,GU10+GT11-HC10,IF(A11&lt;'Données projet'!$A$270,$GR$205^A11,IF(A11='Données projet'!$A$270,'Données projet'!$B$270,GU10+GT11-HC10)))</f>
        <v>2.9694690391391689</v>
      </c>
      <c r="GV11" s="17">
        <f>GU11*VLOOKUP('Données projet'!$B$18,Paramètres!$A$1:$I$89,3,0)*VLOOKUP('Données projet'!$B$18,Paramètres!$A$1:$I$89,5,0)</f>
        <v>3.1963364737294016</v>
      </c>
      <c r="GW11" s="13">
        <f t="shared" si="51"/>
        <v>1.28665764721742</v>
      </c>
      <c r="GX11" s="20">
        <f t="shared" si="28"/>
        <v>7.8078814273157144</v>
      </c>
      <c r="GY11" s="59">
        <f t="shared" si="29"/>
        <v>301.14121476064901</v>
      </c>
      <c r="GZ11" s="59">
        <f ca="1">AVERAGE(OFFSET($GY$3,0,0,'Données projet'!$E$18+1,1))-AVERAGE(OFFSET($H$3,0,0,'Données projet'!$E$18+1,1))</f>
        <v>186.60545265015247</v>
      </c>
      <c r="HA11" s="59">
        <f t="shared" si="52"/>
        <v>69.239647548491234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2.1333333333333333</v>
      </c>
      <c r="N12" s="13">
        <f>IF('Données projet'!$A$36&gt;35,N11+M12-V11,IF(A12&lt;'Données projet'!$A$36,$K$205^A12,IF(A12='Données projet'!$A$36,'Données projet'!$B$36,N11+M12-V11)))</f>
        <v>8.0000000000000036</v>
      </c>
      <c r="O12" s="13">
        <f>N12*VLOOKUP('Données projet'!$B$9,Paramètres!$A$1:$I$89,3,0)*VLOOKUP('Données projet'!$B$9,Paramètres!$A$1:$I$89,5,0)</f>
        <v>4.4720000000000022</v>
      </c>
      <c r="P12" s="13">
        <f t="shared" si="33"/>
        <v>1.7311529925500939</v>
      </c>
      <c r="Q12" s="20">
        <f t="shared" si="2"/>
        <v>10.803824795358084</v>
      </c>
      <c r="R12" s="59">
        <f t="shared" si="0"/>
        <v>304.1371581286914</v>
      </c>
      <c r="S12" s="59">
        <f ca="1">AVERAGE(OFFSET($R$3,0,0,'Données projet'!$E$9+1,1))-AVERAGE(OFFSET($H$3,0,0,'Données projet'!$E$9+1,1))</f>
        <v>235.10258076192054</v>
      </c>
      <c r="T12" s="59">
        <f t="shared" si="34"/>
        <v>233.47316052603765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2.2999999999999998</v>
      </c>
      <c r="AI12" s="13">
        <f>IF('Données projet'!$A$62&gt;35,AI11+AH12-AQ11,IF(A12&lt;'Données projet'!$A$62,$AF$205^A12,IF(A12='Données projet'!$A$62,'Données projet'!$B$62,AI11+AH12-AQ11)))</f>
        <v>16.809509943796456</v>
      </c>
      <c r="AJ12" s="13">
        <f>AI12*VLOOKUP('Données projet'!$B$10,Paramètres!$A$1:$I$89,3,0)*VLOOKUP('Données projet'!$B$10,Paramètres!$A$1:$I$89,5,0)</f>
        <v>9.1779924293128641</v>
      </c>
      <c r="AK12" s="13">
        <f t="shared" si="35"/>
        <v>3.2676529755758974</v>
      </c>
      <c r="AL12" s="20">
        <f t="shared" si="4"/>
        <v>21.676165746847925</v>
      </c>
      <c r="AM12" s="59">
        <f t="shared" si="5"/>
        <v>315.00949908018123</v>
      </c>
      <c r="AN12" s="59">
        <f ca="1">AVERAGE(OFFSET($AM$3,0,0,'Données projet'!$E$10+1,1))-AVERAGE(OFFSET($H$3,0,0,'Données projet'!$E$10+1,1))</f>
        <v>168.72306536277267</v>
      </c>
      <c r="AO12" s="59">
        <f t="shared" si="36"/>
        <v>203.35476578922339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3.1</v>
      </c>
      <c r="BD12" s="12">
        <f>IF('Données projet'!$A$88&gt;35,BD11+BC12-BL11,IF(A12&lt;'Données projet'!$A$88,$BA$205^A12,IF(A12='Données projet'!$A$88,'Données projet'!$B$88,BD11+BC12-BL11)))</f>
        <v>6.4058425558006133</v>
      </c>
      <c r="BE12" s="13">
        <f>BD12*VLOOKUP('Données projet'!$B$11,Paramètres!$A$1:$I$89,3,0)*VLOOKUP('Données projet'!$B$11,Paramètres!$A$1:$I$89,5,0)</f>
        <v>3.8306938483687669</v>
      </c>
      <c r="BF12" s="13">
        <f t="shared" si="37"/>
        <v>1.5098576877524461</v>
      </c>
      <c r="BG12" s="20">
        <f t="shared" si="7"/>
        <v>9.3014605920777775</v>
      </c>
      <c r="BH12" s="59">
        <f t="shared" si="8"/>
        <v>302.63479392541109</v>
      </c>
      <c r="BI12" s="59">
        <f ca="1">AVERAGE(OFFSET($BH$3,0,0,'Données projet'!$E$11+1,1))-AVERAGE(OFFSET($H$3,0,0,'Données projet'!$E$11+1,1))</f>
        <v>165.39579887388538</v>
      </c>
      <c r="BJ12" s="59">
        <f t="shared" si="38"/>
        <v>155.89639262545802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1.2</v>
      </c>
      <c r="BY12" s="12">
        <f>IF('Données projet'!$A$114&gt;35,BY11+BX12-CG11,IF(A12&lt;'Données projet'!$A$114,$BV$205^A12,IF(A12='Données projet'!$A$114,'Données projet'!$B$114,BY11+BX12-CG11)))</f>
        <v>3.4022298585357786</v>
      </c>
      <c r="BZ12" s="13">
        <f>BY12*VLOOKUP('Données projet'!$B$12,Paramètres!$A$1:$I$89,3,0)*VLOOKUP('Données projet'!$B$12,Paramètres!$A$1:$I$89,5,0)</f>
        <v>3.2906367191758048</v>
      </c>
      <c r="CA12" s="13">
        <f t="shared" si="39"/>
        <v>1.3201419124753617</v>
      </c>
      <c r="CB12" s="20">
        <f t="shared" si="10"/>
        <v>8.0304394501257814</v>
      </c>
      <c r="CC12" s="59">
        <f t="shared" si="11"/>
        <v>301.36377278345907</v>
      </c>
      <c r="CD12" s="59">
        <f ca="1">AVERAGE(OFFSET($CC$3,0,0,'Données projet'!$E$12+1,1))-AVERAGE(OFFSET($H$3,0,0,'Données projet'!$E$12+1,1))</f>
        <v>156.26368818265388</v>
      </c>
      <c r="CE12" s="59">
        <f t="shared" si="40"/>
        <v>56.347130462109817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3.4022298585357786</v>
      </c>
      <c r="CU12" s="17">
        <f>CT12*VLOOKUP('Données projet'!$B$13,Paramètres!$A$1:$I$89,3,0)*VLOOKUP('Données projet'!$B$13,Paramètres!$A$1:$I$89,5,0)</f>
        <v>2.7598888612442236</v>
      </c>
      <c r="CV12" s="13">
        <f t="shared" si="41"/>
        <v>1.1301182207484204</v>
      </c>
      <c r="CW12" s="20">
        <f t="shared" si="13"/>
        <v>6.7750956678038543</v>
      </c>
      <c r="CX12" s="59">
        <f t="shared" si="14"/>
        <v>300.10842900113715</v>
      </c>
      <c r="CY12" s="59">
        <f ca="1">AVERAGE(OFFSET($CX$3,0,0,'Données projet'!$E$13+1,1))-AVERAGE(OFFSET($H$3,0,0,'Données projet'!$E$13+1,1))</f>
        <v>112.78807760743126</v>
      </c>
      <c r="CZ12" s="59">
        <f t="shared" si="42"/>
        <v>37.867745922003564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2.85</v>
      </c>
      <c r="DO12" s="12">
        <f>IF('Données projet'!$A$166&gt;35,DO11+DN12-DW11,IF(A12&lt;'Données projet'!$A$166,$DL$205^A12,IF(A12='Données projet'!$A$166,'Données projet'!$B$166,DO11+DN12-DW11)))</f>
        <v>6.167990342551116</v>
      </c>
      <c r="DP12" s="17">
        <f>DO12*VLOOKUP('Données projet'!$B$14,Paramètres!$A$1:$I$89,3,0)*VLOOKUP('Données projet'!$B$14,Paramètres!$A$1:$I$89,5,0)</f>
        <v>4.1374879217832889</v>
      </c>
      <c r="DQ12" s="13">
        <f t="shared" si="43"/>
        <v>1.6162206355366131</v>
      </c>
      <c r="DR12" s="20">
        <f t="shared" si="16"/>
        <v>10.021042403998829</v>
      </c>
      <c r="DS12" s="59">
        <f t="shared" si="17"/>
        <v>303.35437573733213</v>
      </c>
      <c r="DT12" s="59">
        <f ca="1">AVERAGE(OFFSET($DS$3,0,0,'Données projet'!$E$14+1,1))-AVERAGE(OFFSET($H$3,0,0,'Données projet'!$E$14+1,1))</f>
        <v>107.15837202366862</v>
      </c>
      <c r="DU12" s="59">
        <f t="shared" si="44"/>
        <v>139.67031833740026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5.75</v>
      </c>
      <c r="EJ12" s="12">
        <f>IF('Données projet'!$A$192&gt;35,EJ11+EI12-ER11,IF(A12&lt;'Données projet'!$A$192,$EG$205^A12,IF(A12='Données projet'!$A$192,'Données projet'!$B$192,EJ11+EI12-ER11)))</f>
        <v>8.4589026750412604</v>
      </c>
      <c r="EK12" s="17">
        <f>EJ12*VLOOKUP('Données projet'!$B$15,Paramètres!$A$1:$I$89,3,0)*VLOOKUP('Données projet'!$B$15,Paramètres!$A$1:$I$89,5,0)</f>
        <v>3.9587664519193098</v>
      </c>
      <c r="EL12" s="13">
        <f t="shared" si="45"/>
        <v>1.5543756203021926</v>
      </c>
      <c r="EM12" s="20">
        <f t="shared" si="19"/>
        <v>9.6020557757857823</v>
      </c>
      <c r="EN12" s="59">
        <f t="shared" si="20"/>
        <v>302.93538910911911</v>
      </c>
      <c r="EO12" s="59">
        <f ca="1">AVERAGE(OFFSET($EN$3,0,0,'Données projet'!$E$15+1,1))-AVERAGE(OFFSET($H$3,0,0,'Données projet'!$E$15+1,1))</f>
        <v>123.60520571614535</v>
      </c>
      <c r="EP12" s="59">
        <f t="shared" si="46"/>
        <v>119.00926870519527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2.2999999999999998</v>
      </c>
      <c r="FE12" s="12">
        <f>IF('Données projet'!$A$218&gt;35,FE11+FD12-FM11,IF(A12&lt;'Données projet'!$A$218,$FB$205^A12,IF(A12='Données projet'!$A$218,'Données projet'!$B$218,FE11+FD12-FM11)))</f>
        <v>5.6006834135001977</v>
      </c>
      <c r="FF12" s="17">
        <f>FE12*VLOOKUP('Données projet'!$B$16,Paramètres!$A$1:$I$89,3,0)*VLOOKUP('Données projet'!$B$16,Paramètres!$A$1:$I$89,5,0)</f>
        <v>2.6939287218935948</v>
      </c>
      <c r="FG12" s="13">
        <f t="shared" si="47"/>
        <v>1.1062192799623121</v>
      </c>
      <c r="FH12" s="20">
        <f t="shared" si="22"/>
        <v>6.6185911032323714</v>
      </c>
      <c r="FI12" s="59">
        <f t="shared" si="23"/>
        <v>299.95192443656566</v>
      </c>
      <c r="FJ12" s="59">
        <f ca="1">AVERAGE(OFFSET($FI$3,0,0,'Données projet'!$E$16+1,1))-AVERAGE(OFFSET($H$3,0,0,'Données projet'!$E$16+1,1))</f>
        <v>197.66963254934603</v>
      </c>
      <c r="FK12" s="59">
        <f t="shared" si="48"/>
        <v>158.08388141976138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3.1</v>
      </c>
      <c r="FZ12" s="12">
        <f>IF('Données projet'!$A$244&gt;35,FZ11+FY12-GH11,IF(A12&lt;'Données projet'!$A$244,$FW$205^A12,IF(A12='Données projet'!$A$244,'Données projet'!$B$244,FZ11+FY12-GH11)))</f>
        <v>6.4058425558006133</v>
      </c>
      <c r="GA12" s="17">
        <f>FZ12*VLOOKUP('Données projet'!$B$17,Paramètres!$A$1:$I$89,3,0)*VLOOKUP('Données projet'!$B$17,Paramètres!$A$1:$I$89,5,0)</f>
        <v>3.8306938483687669</v>
      </c>
      <c r="GB12" s="13">
        <f t="shared" si="49"/>
        <v>1.5098576877524461</v>
      </c>
      <c r="GC12" s="20">
        <f t="shared" si="25"/>
        <v>9.3014605920777775</v>
      </c>
      <c r="GD12" s="59">
        <f t="shared" si="26"/>
        <v>302.63479392541109</v>
      </c>
      <c r="GE12" s="59">
        <f ca="1">AVERAGE(OFFSET($GD$3,0,0,'Données projet'!$E$17+1,1))-AVERAGE(OFFSET($H$3,0,0,'Données projet'!$E$17+1,1))</f>
        <v>165.39579887388538</v>
      </c>
      <c r="GF12" s="59">
        <f t="shared" si="50"/>
        <v>155.89639262545802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1.2</v>
      </c>
      <c r="GU12" s="12">
        <f>IF('Données projet'!$A$270&gt;35,GU11+GT12-HC11,IF(A12&lt;'Données projet'!$A$270,$GR$205^A12,IF(A12='Données projet'!$A$270,'Données projet'!$B$270,GU11+GT12-HC11)))</f>
        <v>3.4022298585357786</v>
      </c>
      <c r="GV12" s="17">
        <f>GU12*VLOOKUP('Données projet'!$B$18,Paramètres!$A$1:$I$89,3,0)*VLOOKUP('Données projet'!$B$18,Paramètres!$A$1:$I$89,5,0)</f>
        <v>3.6621602197279119</v>
      </c>
      <c r="GW12" s="13">
        <f t="shared" si="51"/>
        <v>1.4510099121120625</v>
      </c>
      <c r="GX12" s="20">
        <f t="shared" si="28"/>
        <v>8.9054379796212881</v>
      </c>
      <c r="GY12" s="59">
        <f t="shared" si="29"/>
        <v>302.23877131295461</v>
      </c>
      <c r="GZ12" s="59">
        <f ca="1">AVERAGE(OFFSET($GY$3,0,0,'Données projet'!$E$18+1,1))-AVERAGE(OFFSET($H$3,0,0,'Données projet'!$E$18+1,1))</f>
        <v>186.60545265015247</v>
      </c>
      <c r="HA12" s="59">
        <f t="shared" si="52"/>
        <v>69.239647548491234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2.1333333333333333</v>
      </c>
      <c r="N13" s="13">
        <f>IF('Données projet'!$A$36&gt;35,N12+M13-V12,IF(A13&lt;'Données projet'!$A$36,$K$205^A13,IF(A13='Données projet'!$A$36,'Données projet'!$B$36,N12+M13-V12)))</f>
        <v>10.079368399158989</v>
      </c>
      <c r="O13" s="13">
        <f>N13*VLOOKUP('Données projet'!$B$9,Paramètres!$A$1:$I$89,3,0)*VLOOKUP('Données projet'!$B$9,Paramètres!$A$1:$I$89,5,0)</f>
        <v>5.6343669351298749</v>
      </c>
      <c r="P13" s="13">
        <f t="shared" si="33"/>
        <v>2.1232386875717131</v>
      </c>
      <c r="Q13" s="20">
        <f t="shared" si="2"/>
        <v>13.511163126205266</v>
      </c>
      <c r="R13" s="59">
        <f t="shared" si="0"/>
        <v>306.84449645953856</v>
      </c>
      <c r="S13" s="59">
        <f ca="1">AVERAGE(OFFSET($R$3,0,0,'Données projet'!$E$9+1,1))-AVERAGE(OFFSET($H$3,0,0,'Données projet'!$E$9+1,1))</f>
        <v>235.10258076192054</v>
      </c>
      <c r="T13" s="59">
        <f t="shared" si="34"/>
        <v>233.47316052603765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23</v>
      </c>
      <c r="AG13" s="12">
        <f>VLOOKUP(A13,'Données projet'!$A$61:$I$81,9,0)</f>
        <v>2.2999999999999998</v>
      </c>
      <c r="AH13" s="12">
        <f t="array" ref="AH13">INDEX(AG:AG,MIN(IF(ISNUMBER(AG13:AG209),ROW(AG13:AG209),"")))</f>
        <v>2.2999999999999998</v>
      </c>
      <c r="AI13" s="13">
        <f>IF('Données projet'!$A$62&gt;35,AI12+AH13-AQ12,IF(A13&lt;'Données projet'!$A$62,$AF$205^A13,IF(A13='Données projet'!$A$62,'Données projet'!$B$62,AI12+AH13-AQ12)))</f>
        <v>23</v>
      </c>
      <c r="AJ13" s="13">
        <f>AI13*VLOOKUP('Données projet'!$B$10,Paramètres!$A$1:$I$89,3,0)*VLOOKUP('Données projet'!$B$10,Paramètres!$A$1:$I$89,5,0)</f>
        <v>12.558</v>
      </c>
      <c r="AK13" s="13">
        <f t="shared" si="35"/>
        <v>4.3108032327306516</v>
      </c>
      <c r="AL13" s="20">
        <f t="shared" si="4"/>
        <v>29.379832297005887</v>
      </c>
      <c r="AM13" s="59">
        <f t="shared" si="5"/>
        <v>322.71316563033918</v>
      </c>
      <c r="AN13" s="59">
        <f ca="1">AVERAGE(OFFSET($AM$3,0,0,'Données projet'!$E$10+1,1))-AVERAGE(OFFSET($H$3,0,0,'Données projet'!$E$10+1,1))</f>
        <v>168.72306536277267</v>
      </c>
      <c r="AO13" s="59">
        <f t="shared" si="36"/>
        <v>203.35476578922339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3.1</v>
      </c>
      <c r="BD13" s="12">
        <f>IF('Données projet'!$A$88&gt;35,BD12+BC13-BL12,IF(A13&lt;'Données projet'!$A$88,$BA$205^A13,IF(A13='Données projet'!$A$88,'Données projet'!$B$88,BD12+BC13-BL12)))</f>
        <v>7.8740078740118129</v>
      </c>
      <c r="BE13" s="13">
        <f>BD13*VLOOKUP('Données projet'!$B$11,Paramètres!$A$1:$I$89,3,0)*VLOOKUP('Données projet'!$B$11,Paramètres!$A$1:$I$89,5,0)</f>
        <v>4.7086567086590643</v>
      </c>
      <c r="BF13" s="13">
        <f t="shared" si="37"/>
        <v>1.8118568384019429</v>
      </c>
      <c r="BG13" s="20">
        <f t="shared" si="7"/>
        <v>11.356561094464588</v>
      </c>
      <c r="BH13" s="59">
        <f t="shared" si="8"/>
        <v>304.68989442779792</v>
      </c>
      <c r="BI13" s="59">
        <f ca="1">AVERAGE(OFFSET($BH$3,0,0,'Données projet'!$E$11+1,1))-AVERAGE(OFFSET($H$3,0,0,'Données projet'!$E$11+1,1))</f>
        <v>165.39579887388538</v>
      </c>
      <c r="BJ13" s="59">
        <f t="shared" si="38"/>
        <v>155.89639262545802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1.2</v>
      </c>
      <c r="BY13" s="12">
        <f>IF('Données projet'!$A$114&gt;35,BY12+BX13-CG12,IF(A13&lt;'Données projet'!$A$114,$BV$205^A13,IF(A13='Données projet'!$A$114,'Données projet'!$B$114,BY12+BX13-CG12)))</f>
        <v>3.8980598409161908</v>
      </c>
      <c r="BZ13" s="13">
        <f>BY13*VLOOKUP('Données projet'!$B$12,Paramètres!$A$1:$I$89,3,0)*VLOOKUP('Données projet'!$B$12,Paramètres!$A$1:$I$89,5,0)</f>
        <v>3.7702034781341398</v>
      </c>
      <c r="CA13" s="13">
        <f t="shared" si="39"/>
        <v>1.4887713173266797</v>
      </c>
      <c r="CB13" s="20">
        <f t="shared" si="10"/>
        <v>9.1593811020942599</v>
      </c>
      <c r="CC13" s="59">
        <f t="shared" si="11"/>
        <v>302.49271443542756</v>
      </c>
      <c r="CD13" s="59">
        <f ca="1">AVERAGE(OFFSET($CC$3,0,0,'Données projet'!$E$12+1,1))-AVERAGE(OFFSET($H$3,0,0,'Données projet'!$E$12+1,1))</f>
        <v>156.26368818265388</v>
      </c>
      <c r="CE13" s="59">
        <f t="shared" si="40"/>
        <v>56.347130462109817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3.8980598409161908</v>
      </c>
      <c r="CU13" s="17">
        <f>CT13*VLOOKUP('Données projet'!$B$13,Paramètres!$A$1:$I$89,3,0)*VLOOKUP('Données projet'!$B$13,Paramètres!$A$1:$I$89,5,0)</f>
        <v>3.1621061429512145</v>
      </c>
      <c r="CV13" s="13">
        <f t="shared" si="41"/>
        <v>1.2744747942164212</v>
      </c>
      <c r="CW13" s="20">
        <f t="shared" si="13"/>
        <v>7.7270451322336315</v>
      </c>
      <c r="CX13" s="59">
        <f t="shared" si="14"/>
        <v>301.06037846556694</v>
      </c>
      <c r="CY13" s="59">
        <f ca="1">AVERAGE(OFFSET($CX$3,0,0,'Données projet'!$E$13+1,1))-AVERAGE(OFFSET($H$3,0,0,'Données projet'!$E$13+1,1))</f>
        <v>112.78807760743126</v>
      </c>
      <c r="CZ13" s="59">
        <f t="shared" si="42"/>
        <v>37.867745922003564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2.85</v>
      </c>
      <c r="DO13" s="12">
        <f>IF('Données projet'!$A$166&gt;35,DO12+DN13-DW12,IF(A13&lt;'Données projet'!$A$166,$DL$205^A13,IF(A13='Données projet'!$A$166,'Données projet'!$B$166,DO12+DN13-DW12)))</f>
        <v>7.5498344352707516</v>
      </c>
      <c r="DP13" s="17">
        <f>DO13*VLOOKUP('Données projet'!$B$14,Paramètres!$A$1:$I$89,3,0)*VLOOKUP('Données projet'!$B$14,Paramètres!$A$1:$I$89,5,0)</f>
        <v>5.0644289391796207</v>
      </c>
      <c r="DQ13" s="13">
        <f t="shared" si="43"/>
        <v>1.9323028683949215</v>
      </c>
      <c r="DR13" s="20">
        <f t="shared" si="16"/>
        <v>12.185974564858995</v>
      </c>
      <c r="DS13" s="59">
        <f t="shared" si="17"/>
        <v>305.51930789819232</v>
      </c>
      <c r="DT13" s="59">
        <f ca="1">AVERAGE(OFFSET($DS$3,0,0,'Données projet'!$E$14+1,1))-AVERAGE(OFFSET($H$3,0,0,'Données projet'!$E$14+1,1))</f>
        <v>107.15837202366862</v>
      </c>
      <c r="DU13" s="59">
        <f t="shared" si="44"/>
        <v>139.67031833740026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5.75</v>
      </c>
      <c r="EJ13" s="12">
        <f>IF('Données projet'!$A$192&gt;35,EJ12+EI13-ER12,IF(A13&lt;'Données projet'!$A$192,$EG$205^A13,IF(A13='Données projet'!$A$192,'Données projet'!$B$192,EJ12+EI13-ER12)))</f>
        <v>10.723805294763611</v>
      </c>
      <c r="EK13" s="17">
        <f>EJ13*VLOOKUP('Données projet'!$B$15,Paramètres!$A$1:$I$89,3,0)*VLOOKUP('Données projet'!$B$15,Paramètres!$A$1:$I$89,5,0)</f>
        <v>5.0187408779493703</v>
      </c>
      <c r="EL13" s="13">
        <f t="shared" si="45"/>
        <v>1.9168918305981435</v>
      </c>
      <c r="EM13" s="20">
        <f t="shared" si="19"/>
        <v>12.079560300720253</v>
      </c>
      <c r="EN13" s="59">
        <f t="shared" si="20"/>
        <v>305.41289363405355</v>
      </c>
      <c r="EO13" s="59">
        <f ca="1">AVERAGE(OFFSET($EN$3,0,0,'Données projet'!$E$15+1,1))-AVERAGE(OFFSET($H$3,0,0,'Données projet'!$E$15+1,1))</f>
        <v>123.60520571614535</v>
      </c>
      <c r="EP13" s="59">
        <f t="shared" si="46"/>
        <v>119.00926870519527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2.2999999999999998</v>
      </c>
      <c r="FE13" s="12">
        <f>IF('Données projet'!$A$218&gt;35,FE12+FD13-FM12,IF(A13&lt;'Données projet'!$A$218,$FB$205^A13,IF(A13='Données projet'!$A$218,'Données projet'!$B$218,FE12+FD13-FM12)))</f>
        <v>6.7823299831252664</v>
      </c>
      <c r="FF13" s="17">
        <f>FE13*VLOOKUP('Données projet'!$B$16,Paramètres!$A$1:$I$89,3,0)*VLOOKUP('Données projet'!$B$16,Paramètres!$A$1:$I$89,5,0)</f>
        <v>3.2623007218832534</v>
      </c>
      <c r="FG13" s="13">
        <f t="shared" si="47"/>
        <v>1.3100922103627521</v>
      </c>
      <c r="FH13" s="20">
        <f t="shared" si="22"/>
        <v>7.963584356995125</v>
      </c>
      <c r="FI13" s="59">
        <f t="shared" si="23"/>
        <v>301.29691769032843</v>
      </c>
      <c r="FJ13" s="59">
        <f ca="1">AVERAGE(OFFSET($FI$3,0,0,'Données projet'!$E$16+1,1))-AVERAGE(OFFSET($H$3,0,0,'Données projet'!$E$16+1,1))</f>
        <v>197.66963254934603</v>
      </c>
      <c r="FK13" s="59">
        <f t="shared" si="48"/>
        <v>158.08388141976138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3.1</v>
      </c>
      <c r="FZ13" s="12">
        <f>IF('Données projet'!$A$244&gt;35,FZ12+FY13-GH12,IF(A13&lt;'Données projet'!$A$244,$FW$205^A13,IF(A13='Données projet'!$A$244,'Données projet'!$B$244,FZ12+FY13-GH12)))</f>
        <v>7.8740078740118129</v>
      </c>
      <c r="GA13" s="17">
        <f>FZ13*VLOOKUP('Données projet'!$B$17,Paramètres!$A$1:$I$89,3,0)*VLOOKUP('Données projet'!$B$17,Paramètres!$A$1:$I$89,5,0)</f>
        <v>4.7086567086590643</v>
      </c>
      <c r="GB13" s="13">
        <f t="shared" si="49"/>
        <v>1.8118568384019429</v>
      </c>
      <c r="GC13" s="20">
        <f t="shared" si="25"/>
        <v>11.356561094464588</v>
      </c>
      <c r="GD13" s="59">
        <f t="shared" si="26"/>
        <v>304.68989442779792</v>
      </c>
      <c r="GE13" s="59">
        <f ca="1">AVERAGE(OFFSET($GD$3,0,0,'Données projet'!$E$17+1,1))-AVERAGE(OFFSET($H$3,0,0,'Données projet'!$E$17+1,1))</f>
        <v>165.39579887388538</v>
      </c>
      <c r="GF13" s="59">
        <f t="shared" si="50"/>
        <v>155.89639262545802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1.2</v>
      </c>
      <c r="GU13" s="12">
        <f>IF('Données projet'!$A$270&gt;35,GU12+GT13-HC12,IF(A13&lt;'Données projet'!$A$270,$GR$205^A13,IF(A13='Données projet'!$A$270,'Données projet'!$B$270,GU12+GT13-HC12)))</f>
        <v>3.8980598409161908</v>
      </c>
      <c r="GV13" s="17">
        <f>GU13*VLOOKUP('Données projet'!$B$18,Paramètres!$A$1:$I$89,3,0)*VLOOKUP('Données projet'!$B$18,Paramètres!$A$1:$I$89,5,0)</f>
        <v>4.1958716127621871</v>
      </c>
      <c r="GW13" s="13">
        <f t="shared" si="51"/>
        <v>1.63635584772744</v>
      </c>
      <c r="GX13" s="20">
        <f t="shared" si="28"/>
        <v>10.157796160352767</v>
      </c>
      <c r="GY13" s="59">
        <f t="shared" si="29"/>
        <v>303.49112949368606</v>
      </c>
      <c r="GZ13" s="59">
        <f ca="1">AVERAGE(OFFSET($GY$3,0,0,'Données projet'!$E$18+1,1))-AVERAGE(OFFSET($H$3,0,0,'Données projet'!$E$18+1,1))</f>
        <v>186.60545265015247</v>
      </c>
      <c r="HA13" s="59">
        <f t="shared" si="52"/>
        <v>69.239647548491234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2.1333333333333333</v>
      </c>
      <c r="N14" s="13">
        <f>IF('Données projet'!$A$36&gt;35,N13+M14-V13,IF(A14&lt;'Données projet'!$A$36,$K$205^A14,IF(A14='Données projet'!$A$36,'Données projet'!$B$36,N13+M14-V13)))</f>
        <v>12.6992084157456</v>
      </c>
      <c r="O14" s="13">
        <f>N14*VLOOKUP('Données projet'!$B$9,Paramètres!$A$1:$I$89,3,0)*VLOOKUP('Données projet'!$B$9,Paramètres!$A$1:$I$89,5,0)</f>
        <v>7.0988575044017903</v>
      </c>
      <c r="P14" s="13">
        <f t="shared" si="33"/>
        <v>2.6041271590678314</v>
      </c>
      <c r="Q14" s="20">
        <f t="shared" si="2"/>
        <v>16.899364955542922</v>
      </c>
      <c r="R14" s="59">
        <f t="shared" si="0"/>
        <v>310.23269828887624</v>
      </c>
      <c r="S14" s="59">
        <f ca="1">AVERAGE(OFFSET($R$3,0,0,'Données projet'!$E$9+1,1))-AVERAGE(OFFSET($H$3,0,0,'Données projet'!$E$9+1,1))</f>
        <v>235.10258076192054</v>
      </c>
      <c r="T14" s="59">
        <f t="shared" si="34"/>
        <v>233.47316052603765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11.4</v>
      </c>
      <c r="AI14" s="13">
        <f>IF('Données projet'!$A$62&gt;35,AI13+AH14-AQ13,IF(A14&lt;'Données projet'!$A$62,$AF$205^A14,IF(A14='Données projet'!$A$62,'Données projet'!$B$62,AI13+AH14-AQ13)))</f>
        <v>34.4</v>
      </c>
      <c r="AJ14" s="13">
        <f>AI14*VLOOKUP('Données projet'!$B$10,Paramètres!$A$1:$I$89,3,0)*VLOOKUP('Données projet'!$B$10,Paramètres!$A$1:$I$89,5,0)</f>
        <v>18.782399999999999</v>
      </c>
      <c r="AK14" s="13">
        <f t="shared" si="35"/>
        <v>6.1523144400889027</v>
      </c>
      <c r="AL14" s="20">
        <f t="shared" si="4"/>
        <v>43.42796098315484</v>
      </c>
      <c r="AM14" s="59">
        <f t="shared" si="5"/>
        <v>336.76129431648815</v>
      </c>
      <c r="AN14" s="59">
        <f ca="1">AVERAGE(OFFSET($AM$3,0,0,'Données projet'!$E$10+1,1))-AVERAGE(OFFSET($H$3,0,0,'Données projet'!$E$10+1,1))</f>
        <v>168.72306536277267</v>
      </c>
      <c r="AO14" s="59">
        <f t="shared" si="36"/>
        <v>203.35476578922339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3.1</v>
      </c>
      <c r="BD14" s="12">
        <f>IF('Données projet'!$A$88&gt;35,BD13+BC14-BL13,IF(A14&lt;'Données projet'!$A$88,$BA$205^A14,IF(A14='Données projet'!$A$88,'Données projet'!$B$88,BD13+BC14-BL13)))</f>
        <v>9.6786643536622421</v>
      </c>
      <c r="BE14" s="13">
        <f>BD14*VLOOKUP('Données projet'!$B$11,Paramètres!$A$1:$I$89,3,0)*VLOOKUP('Données projet'!$B$11,Paramètres!$A$1:$I$89,5,0)</f>
        <v>5.787841283490021</v>
      </c>
      <c r="BF14" s="13">
        <f t="shared" si="37"/>
        <v>2.1742613423061434</v>
      </c>
      <c r="BG14" s="20">
        <f t="shared" si="7"/>
        <v>13.86732873992832</v>
      </c>
      <c r="BH14" s="59">
        <f t="shared" si="8"/>
        <v>307.20066207326164</v>
      </c>
      <c r="BI14" s="59">
        <f ca="1">AVERAGE(OFFSET($BH$3,0,0,'Données projet'!$E$11+1,1))-AVERAGE(OFFSET($H$3,0,0,'Données projet'!$E$11+1,1))</f>
        <v>165.39579887388538</v>
      </c>
      <c r="BJ14" s="59">
        <f t="shared" si="38"/>
        <v>155.89639262545802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1.2</v>
      </c>
      <c r="BY14" s="12">
        <f>IF('Données projet'!$A$114&gt;35,BY13+BX14-CG13,IF(A14&lt;'Données projet'!$A$114,$BV$205^A14,IF(A14='Données projet'!$A$114,'Données projet'!$B$114,BY13+BX14-CG13)))</f>
        <v>4.4661504822319662</v>
      </c>
      <c r="BZ14" s="13">
        <f>BY14*VLOOKUP('Données projet'!$B$12,Paramètres!$A$1:$I$89,3,0)*VLOOKUP('Données projet'!$B$12,Paramètres!$A$1:$I$89,5,0)</f>
        <v>4.3196607464147583</v>
      </c>
      <c r="CA14" s="13">
        <f t="shared" si="39"/>
        <v>1.6789407368626241</v>
      </c>
      <c r="CB14" s="20">
        <f t="shared" si="10"/>
        <v>10.44756425004144</v>
      </c>
      <c r="CC14" s="59">
        <f t="shared" si="11"/>
        <v>303.78089758337478</v>
      </c>
      <c r="CD14" s="59">
        <f ca="1">AVERAGE(OFFSET($CC$3,0,0,'Données projet'!$E$12+1,1))-AVERAGE(OFFSET($H$3,0,0,'Données projet'!$E$12+1,1))</f>
        <v>156.26368818265388</v>
      </c>
      <c r="CE14" s="59">
        <f t="shared" si="40"/>
        <v>56.347130462109817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1.2</v>
      </c>
      <c r="CT14" s="12">
        <f>IF('Données projet'!$A$140&gt;35,CT13+CS14-DB13,IF(A14&lt;'Données projet'!$A$140,$CQ$205^A14,IF(A14='Données projet'!$A$140,'Données projet'!$B$140,CT13+CS14-DB13)))</f>
        <v>4.4661504822319662</v>
      </c>
      <c r="CU14" s="17">
        <f>CT14*VLOOKUP('Données projet'!$B$13,Paramètres!$A$1:$I$89,3,0)*VLOOKUP('Données projet'!$B$13,Paramètres!$A$1:$I$89,5,0)</f>
        <v>3.6229412711865714</v>
      </c>
      <c r="CV14" s="13">
        <f t="shared" si="41"/>
        <v>1.4372708724378467</v>
      </c>
      <c r="CW14" s="20">
        <f t="shared" si="13"/>
        <v>8.8132028168125274</v>
      </c>
      <c r="CX14" s="59">
        <f t="shared" si="14"/>
        <v>302.14653615014583</v>
      </c>
      <c r="CY14" s="59">
        <f ca="1">AVERAGE(OFFSET($CX$3,0,0,'Données projet'!$E$13+1,1))-AVERAGE(OFFSET($H$3,0,0,'Données projet'!$E$13+1,1))</f>
        <v>112.78807760743126</v>
      </c>
      <c r="CZ14" s="59">
        <f t="shared" si="42"/>
        <v>37.867745922003564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2.85</v>
      </c>
      <c r="DO14" s="12">
        <f>IF('Données projet'!$A$166&gt;35,DO13+DN14-DW13,IF(A14&lt;'Données projet'!$A$166,$DL$205^A14,IF(A14='Données projet'!$A$166,'Données projet'!$B$166,DO13+DN14-DW13)))</f>
        <v>9.2412596055434975</v>
      </c>
      <c r="DP14" s="17">
        <f>DO14*VLOOKUP('Données projet'!$B$14,Paramètres!$A$1:$I$89,3,0)*VLOOKUP('Données projet'!$B$14,Paramètres!$A$1:$I$89,5,0)</f>
        <v>6.1990369433985784</v>
      </c>
      <c r="DQ14" s="13">
        <f t="shared" si="43"/>
        <v>2.3102009051923518</v>
      </c>
      <c r="DR14" s="20">
        <f t="shared" si="16"/>
        <v>14.820255919629199</v>
      </c>
      <c r="DS14" s="59">
        <f t="shared" si="17"/>
        <v>308.15358925296249</v>
      </c>
      <c r="DT14" s="59">
        <f ca="1">AVERAGE(OFFSET($DS$3,0,0,'Données projet'!$E$14+1,1))-AVERAGE(OFFSET($H$3,0,0,'Données projet'!$E$14+1,1))</f>
        <v>107.15837202366862</v>
      </c>
      <c r="DU14" s="59">
        <f t="shared" si="44"/>
        <v>139.67031833740026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5.75</v>
      </c>
      <c r="EJ14" s="12">
        <f>IF('Données projet'!$A$192&gt;35,EJ13+EI14-ER13,IF(A14&lt;'Données projet'!$A$192,$EG$205^A14,IF(A14='Données projet'!$A$192,'Données projet'!$B$192,EJ13+EI14-ER13)))</f>
        <v>13.595144006008928</v>
      </c>
      <c r="EK14" s="17">
        <f>EJ14*VLOOKUP('Données projet'!$B$15,Paramètres!$A$1:$I$89,3,0)*VLOOKUP('Données projet'!$B$15,Paramètres!$A$1:$I$89,5,0)</f>
        <v>6.3625273948121777</v>
      </c>
      <c r="EL14" s="13">
        <f t="shared" si="45"/>
        <v>2.3639551741679612</v>
      </c>
      <c r="EM14" s="20">
        <f t="shared" si="19"/>
        <v>15.198623807640407</v>
      </c>
      <c r="EN14" s="59">
        <f t="shared" si="20"/>
        <v>308.5319571409737</v>
      </c>
      <c r="EO14" s="59">
        <f ca="1">AVERAGE(OFFSET($EN$3,0,0,'Données projet'!$E$15+1,1))-AVERAGE(OFFSET($H$3,0,0,'Données projet'!$E$15+1,1))</f>
        <v>123.60520571614535</v>
      </c>
      <c r="EP14" s="59">
        <f t="shared" si="46"/>
        <v>119.00926870519527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2.2999999999999998</v>
      </c>
      <c r="FE14" s="12">
        <f>IF('Données projet'!$A$218&gt;35,FE13+FD14-FM13,IF(A14&lt;'Données projet'!$A$218,$FB$205^A14,IF(A14='Données projet'!$A$218,'Données projet'!$B$218,FE13+FD14-FM13)))</f>
        <v>8.2132833805815615</v>
      </c>
      <c r="FF14" s="17">
        <f>FE14*VLOOKUP('Données projet'!$B$16,Paramètres!$A$1:$I$89,3,0)*VLOOKUP('Données projet'!$B$16,Paramètres!$A$1:$I$89,5,0)</f>
        <v>3.9505893060597308</v>
      </c>
      <c r="FG14" s="13">
        <f t="shared" si="47"/>
        <v>1.5515383168078898</v>
      </c>
      <c r="FH14" s="20">
        <f t="shared" si="22"/>
        <v>9.5828722764944398</v>
      </c>
      <c r="FI14" s="59">
        <f t="shared" si="23"/>
        <v>302.91620560982773</v>
      </c>
      <c r="FJ14" s="59">
        <f ca="1">AVERAGE(OFFSET($FI$3,0,0,'Données projet'!$E$16+1,1))-AVERAGE(OFFSET($H$3,0,0,'Données projet'!$E$16+1,1))</f>
        <v>197.66963254934603</v>
      </c>
      <c r="FK14" s="59">
        <f t="shared" si="48"/>
        <v>158.08388141976138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3.1</v>
      </c>
      <c r="FZ14" s="12">
        <f>IF('Données projet'!$A$244&gt;35,FZ13+FY14-GH13,IF(A14&lt;'Données projet'!$A$244,$FW$205^A14,IF(A14='Données projet'!$A$244,'Données projet'!$B$244,FZ13+FY14-GH13)))</f>
        <v>9.6786643536622421</v>
      </c>
      <c r="GA14" s="17">
        <f>FZ14*VLOOKUP('Données projet'!$B$17,Paramètres!$A$1:$I$89,3,0)*VLOOKUP('Données projet'!$B$17,Paramètres!$A$1:$I$89,5,0)</f>
        <v>5.787841283490021</v>
      </c>
      <c r="GB14" s="13">
        <f t="shared" si="49"/>
        <v>2.1742613423061434</v>
      </c>
      <c r="GC14" s="20">
        <f t="shared" si="25"/>
        <v>13.86732873992832</v>
      </c>
      <c r="GD14" s="59">
        <f t="shared" si="26"/>
        <v>307.20066207326164</v>
      </c>
      <c r="GE14" s="59">
        <f ca="1">AVERAGE(OFFSET($GD$3,0,0,'Données projet'!$E$17+1,1))-AVERAGE(OFFSET($H$3,0,0,'Données projet'!$E$17+1,1))</f>
        <v>165.39579887388538</v>
      </c>
      <c r="GF14" s="59">
        <f t="shared" si="50"/>
        <v>155.89639262545802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1.2</v>
      </c>
      <c r="GU14" s="12">
        <f>IF('Données projet'!$A$270&gt;35,GU13+GT14-HC13,IF(A14&lt;'Données projet'!$A$270,$GR$205^A14,IF(A14='Données projet'!$A$270,'Données projet'!$B$270,GU13+GT14-HC13)))</f>
        <v>4.4661504822319662</v>
      </c>
      <c r="GV14" s="17">
        <f>GU14*VLOOKUP('Données projet'!$B$18,Paramètres!$A$1:$I$89,3,0)*VLOOKUP('Données projet'!$B$18,Paramètres!$A$1:$I$89,5,0)</f>
        <v>4.8073643790744889</v>
      </c>
      <c r="GW14" s="13">
        <f t="shared" si="51"/>
        <v>1.8453770977306692</v>
      </c>
      <c r="GX14" s="20">
        <f t="shared" si="28"/>
        <v>11.586858072102316</v>
      </c>
      <c r="GY14" s="59">
        <f t="shared" si="29"/>
        <v>304.92019140543562</v>
      </c>
      <c r="GZ14" s="59">
        <f ca="1">AVERAGE(OFFSET($GY$3,0,0,'Données projet'!$E$18+1,1))-AVERAGE(OFFSET($H$3,0,0,'Données projet'!$E$18+1,1))</f>
        <v>186.60545265015247</v>
      </c>
      <c r="HA14" s="59">
        <f t="shared" si="52"/>
        <v>69.239647548491234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2.1333333333333333</v>
      </c>
      <c r="N15" s="13">
        <f>IF('Données projet'!$A$36&gt;35,N14+M15-V14,IF(A15&lt;'Données projet'!$A$36,$K$205^A15,IF(A15='Données projet'!$A$36,'Données projet'!$B$36,N14+M15-V14)))</f>
        <v>16.000000000000007</v>
      </c>
      <c r="O15" s="13">
        <f>N15*VLOOKUP('Données projet'!$B$9,Paramètres!$A$1:$I$89,3,0)*VLOOKUP('Données projet'!$B$9,Paramètres!$A$1:$I$89,5,0)</f>
        <v>8.9440000000000044</v>
      </c>
      <c r="P15" s="13">
        <f t="shared" si="33"/>
        <v>3.1939311864887299</v>
      </c>
      <c r="Q15" s="20">
        <f t="shared" si="2"/>
        <v>21.140230149801212</v>
      </c>
      <c r="R15" s="59">
        <f t="shared" si="0"/>
        <v>314.47356348313451</v>
      </c>
      <c r="S15" s="59">
        <f ca="1">AVERAGE(OFFSET($R$3,0,0,'Données projet'!$E$9+1,1))-AVERAGE(OFFSET($H$3,0,0,'Données projet'!$E$9+1,1))</f>
        <v>235.10258076192054</v>
      </c>
      <c r="T15" s="59">
        <f t="shared" si="34"/>
        <v>233.47316052603765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11.4</v>
      </c>
      <c r="AI15" s="13">
        <f>IF('Données projet'!$A$62&gt;35,AI14+AH15-AQ14,IF(A15&lt;'Données projet'!$A$62,$AF$205^A15,IF(A15='Données projet'!$A$62,'Données projet'!$B$62,AI14+AH15-AQ14)))</f>
        <v>45.8</v>
      </c>
      <c r="AJ15" s="13">
        <f>AI15*VLOOKUP('Données projet'!$B$10,Paramètres!$A$1:$I$89,3,0)*VLOOKUP('Données projet'!$B$10,Paramètres!$A$1:$I$89,5,0)</f>
        <v>25.006799999999998</v>
      </c>
      <c r="AK15" s="13">
        <f t="shared" si="35"/>
        <v>7.9227548930322165</v>
      </c>
      <c r="AL15" s="20">
        <f t="shared" si="4"/>
        <v>57.352308105364443</v>
      </c>
      <c r="AM15" s="59">
        <f t="shared" si="5"/>
        <v>350.68564143869776</v>
      </c>
      <c r="AN15" s="59">
        <f ca="1">AVERAGE(OFFSET($AM$3,0,0,'Données projet'!$E$10+1,1))-AVERAGE(OFFSET($H$3,0,0,'Données projet'!$E$10+1,1))</f>
        <v>168.72306536277267</v>
      </c>
      <c r="AO15" s="59">
        <f t="shared" si="36"/>
        <v>203.35476578922339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3.1</v>
      </c>
      <c r="BD15" s="12">
        <f>IF('Données projet'!$A$88&gt;35,BD14+BC15-BL14,IF(A15&lt;'Données projet'!$A$88,$BA$205^A15,IF(A15='Données projet'!$A$88,'Données projet'!$B$88,BD14+BC15-BL14)))</f>
        <v>11.896932943137111</v>
      </c>
      <c r="BE15" s="13">
        <f>BD15*VLOOKUP('Données projet'!$B$11,Paramètres!$A$1:$I$89,3,0)*VLOOKUP('Données projet'!$B$11,Paramètres!$A$1:$I$89,5,0)</f>
        <v>7.1143658999959936</v>
      </c>
      <c r="BF15" s="13">
        <f t="shared" si="37"/>
        <v>2.6091533748419611</v>
      </c>
      <c r="BG15" s="20">
        <f t="shared" si="7"/>
        <v>16.935129403676104</v>
      </c>
      <c r="BH15" s="59">
        <f t="shared" si="8"/>
        <v>310.26846273700943</v>
      </c>
      <c r="BI15" s="59">
        <f ca="1">AVERAGE(OFFSET($BH$3,0,0,'Données projet'!$E$11+1,1))-AVERAGE(OFFSET($H$3,0,0,'Données projet'!$E$11+1,1))</f>
        <v>165.39579887388538</v>
      </c>
      <c r="BJ15" s="59">
        <f t="shared" si="38"/>
        <v>155.89639262545802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1.2</v>
      </c>
      <c r="BY15" s="12">
        <f>IF('Données projet'!$A$114&gt;35,BY14+BX15-CG14,IF(A15&lt;'Données projet'!$A$114,$BV$205^A15,IF(A15='Données projet'!$A$114,'Données projet'!$B$114,BY14+BX15-CG14)))</f>
        <v>5.1170328173444979</v>
      </c>
      <c r="BZ15" s="13">
        <f>BY15*VLOOKUP('Données projet'!$B$12,Paramètres!$A$1:$I$89,3,0)*VLOOKUP('Données projet'!$B$12,Paramètres!$A$1:$I$89,5,0)</f>
        <v>4.9491941409355986</v>
      </c>
      <c r="CA15" s="13">
        <f t="shared" si="39"/>
        <v>1.8934016024425293</v>
      </c>
      <c r="CB15" s="20">
        <f t="shared" si="10"/>
        <v>11.917520919716907</v>
      </c>
      <c r="CC15" s="59">
        <f t="shared" si="11"/>
        <v>305.25085425305019</v>
      </c>
      <c r="CD15" s="59">
        <f ca="1">AVERAGE(OFFSET($CC$3,0,0,'Données projet'!$E$12+1,1))-AVERAGE(OFFSET($H$3,0,0,'Données projet'!$E$12+1,1))</f>
        <v>156.26368818265388</v>
      </c>
      <c r="CE15" s="59">
        <f t="shared" si="40"/>
        <v>56.347130462109817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1.2</v>
      </c>
      <c r="CT15" s="12">
        <f>IF('Données projet'!$A$140&gt;35,CT14+CS15-DB14,IF(A15&lt;'Données projet'!$A$140,$CQ$205^A15,IF(A15='Données projet'!$A$140,'Données projet'!$B$140,CT14+CS15-DB14)))</f>
        <v>5.1170328173444979</v>
      </c>
      <c r="CU15" s="17">
        <f>CT15*VLOOKUP('Données projet'!$B$13,Paramètres!$A$1:$I$89,3,0)*VLOOKUP('Données projet'!$B$13,Paramètres!$A$1:$I$89,5,0)</f>
        <v>4.1509370214298569</v>
      </c>
      <c r="CV15" s="13">
        <f t="shared" si="41"/>
        <v>1.6208618406049542</v>
      </c>
      <c r="CW15" s="20">
        <f t="shared" si="13"/>
        <v>10.052549684710629</v>
      </c>
      <c r="CX15" s="59">
        <f t="shared" si="14"/>
        <v>303.38588301804396</v>
      </c>
      <c r="CY15" s="59">
        <f ca="1">AVERAGE(OFFSET($CX$3,0,0,'Données projet'!$E$13+1,1))-AVERAGE(OFFSET($H$3,0,0,'Données projet'!$E$13+1,1))</f>
        <v>112.78807760743126</v>
      </c>
      <c r="CZ15" s="59">
        <f t="shared" si="42"/>
        <v>37.867745922003564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2.85</v>
      </c>
      <c r="DO15" s="12">
        <f>IF('Données projet'!$A$166&gt;35,DO14+DN15-DW14,IF(A15&lt;'Données projet'!$A$166,$DL$205^A15,IF(A15='Données projet'!$A$166,'Données projet'!$B$166,DO14+DN15-DW14)))</f>
        <v>11.311622768584238</v>
      </c>
      <c r="DP15" s="17">
        <f>DO15*VLOOKUP('Données projet'!$B$14,Paramètres!$A$1:$I$89,3,0)*VLOOKUP('Données projet'!$B$14,Paramètres!$A$1:$I$89,5,0)</f>
        <v>7.5878365531663068</v>
      </c>
      <c r="DQ15" s="13">
        <f t="shared" si="43"/>
        <v>2.762003984802234</v>
      </c>
      <c r="DR15" s="20">
        <f t="shared" si="16"/>
        <v>18.02597227029521</v>
      </c>
      <c r="DS15" s="59">
        <f t="shared" si="17"/>
        <v>311.35930560362851</v>
      </c>
      <c r="DT15" s="59">
        <f ca="1">AVERAGE(OFFSET($DS$3,0,0,'Données projet'!$E$14+1,1))-AVERAGE(OFFSET($H$3,0,0,'Données projet'!$E$14+1,1))</f>
        <v>107.15837202366862</v>
      </c>
      <c r="DU15" s="59">
        <f t="shared" si="44"/>
        <v>139.67031833740026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5.75</v>
      </c>
      <c r="EJ15" s="12">
        <f>IF('Données projet'!$A$192&gt;35,EJ14+EI15-ER14,IF(A15&lt;'Données projet'!$A$192,$EG$205^A15,IF(A15='Données projet'!$A$192,'Données projet'!$B$192,EJ14+EI15-ER14)))</f>
        <v>17.23529432545471</v>
      </c>
      <c r="EK15" s="17">
        <f>EJ15*VLOOKUP('Données projet'!$B$15,Paramètres!$A$1:$I$89,3,0)*VLOOKUP('Données projet'!$B$15,Paramètres!$A$1:$I$89,5,0)</f>
        <v>8.0661177443128054</v>
      </c>
      <c r="EL15" s="13">
        <f t="shared" si="45"/>
        <v>2.915283990610841</v>
      </c>
      <c r="EM15" s="20">
        <f t="shared" si="19"/>
        <v>19.125941354992019</v>
      </c>
      <c r="EN15" s="59">
        <f t="shared" si="20"/>
        <v>312.45927468832531</v>
      </c>
      <c r="EO15" s="59">
        <f ca="1">AVERAGE(OFFSET($EN$3,0,0,'Données projet'!$E$15+1,1))-AVERAGE(OFFSET($H$3,0,0,'Données projet'!$E$15+1,1))</f>
        <v>123.60520571614535</v>
      </c>
      <c r="EP15" s="59">
        <f t="shared" si="46"/>
        <v>119.00926870519527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2.2999999999999998</v>
      </c>
      <c r="FE15" s="12">
        <f>IF('Données projet'!$A$218&gt;35,FE14+FD15-FM14,IF(A15&lt;'Données projet'!$A$218,$FB$205^A15,IF(A15='Données projet'!$A$218,'Données projet'!$B$218,FE14+FD15-FM14)))</f>
        <v>9.9461430006466518</v>
      </c>
      <c r="FF15" s="17">
        <f>FE15*VLOOKUP('Données projet'!$B$16,Paramètres!$A$1:$I$89,3,0)*VLOOKUP('Données projet'!$B$16,Paramètres!$A$1:$I$89,5,0)</f>
        <v>4.7840947833110397</v>
      </c>
      <c r="FG15" s="13">
        <f t="shared" si="47"/>
        <v>1.8374822241378796</v>
      </c>
      <c r="FH15" s="20">
        <f t="shared" si="22"/>
        <v>11.5325799546402</v>
      </c>
      <c r="FI15" s="59">
        <f t="shared" si="23"/>
        <v>304.86591328797351</v>
      </c>
      <c r="FJ15" s="59">
        <f ca="1">AVERAGE(OFFSET($FI$3,0,0,'Données projet'!$E$16+1,1))-AVERAGE(OFFSET($H$3,0,0,'Données projet'!$E$16+1,1))</f>
        <v>197.66963254934603</v>
      </c>
      <c r="FK15" s="59">
        <f t="shared" si="48"/>
        <v>158.08388141976138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3.1</v>
      </c>
      <c r="FZ15" s="12">
        <f>IF('Données projet'!$A$244&gt;35,FZ14+FY15-GH14,IF(A15&lt;'Données projet'!$A$244,$FW$205^A15,IF(A15='Données projet'!$A$244,'Données projet'!$B$244,FZ14+FY15-GH14)))</f>
        <v>11.896932943137111</v>
      </c>
      <c r="GA15" s="17">
        <f>FZ15*VLOOKUP('Données projet'!$B$17,Paramètres!$A$1:$I$89,3,0)*VLOOKUP('Données projet'!$B$17,Paramètres!$A$1:$I$89,5,0)</f>
        <v>7.1143658999959936</v>
      </c>
      <c r="GB15" s="13">
        <f t="shared" si="49"/>
        <v>2.6091533748419611</v>
      </c>
      <c r="GC15" s="20">
        <f t="shared" si="25"/>
        <v>16.935129403676104</v>
      </c>
      <c r="GD15" s="59">
        <f t="shared" si="26"/>
        <v>310.26846273700943</v>
      </c>
      <c r="GE15" s="59">
        <f ca="1">AVERAGE(OFFSET($GD$3,0,0,'Données projet'!$E$17+1,1))-AVERAGE(OFFSET($H$3,0,0,'Données projet'!$E$17+1,1))</f>
        <v>165.39579887388538</v>
      </c>
      <c r="GF15" s="59">
        <f t="shared" si="50"/>
        <v>155.89639262545802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1.2</v>
      </c>
      <c r="GU15" s="12">
        <f>IF('Données projet'!$A$270&gt;35,GU14+GT15-HC14,IF(A15&lt;'Données projet'!$A$270,$GR$205^A15,IF(A15='Données projet'!$A$270,'Données projet'!$B$270,GU14+GT15-HC14)))</f>
        <v>5.1170328173444979</v>
      </c>
      <c r="GV15" s="17">
        <f>GU15*VLOOKUP('Données projet'!$B$18,Paramètres!$A$1:$I$89,3,0)*VLOOKUP('Données projet'!$B$18,Paramètres!$A$1:$I$89,5,0)</f>
        <v>5.5079741245896177</v>
      </c>
      <c r="GW15" s="13">
        <f t="shared" si="51"/>
        <v>2.0810978477317659</v>
      </c>
      <c r="GX15" s="20">
        <f t="shared" si="28"/>
        <v>13.217633685126408</v>
      </c>
      <c r="GY15" s="59">
        <f t="shared" si="29"/>
        <v>306.55096701845974</v>
      </c>
      <c r="GZ15" s="59">
        <f ca="1">AVERAGE(OFFSET($GY$3,0,0,'Données projet'!$E$18+1,1))-AVERAGE(OFFSET($H$3,0,0,'Données projet'!$E$18+1,1))</f>
        <v>186.60545265015247</v>
      </c>
      <c r="HA15" s="59">
        <f t="shared" si="52"/>
        <v>69.239647548491234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2.1333333333333333</v>
      </c>
      <c r="N16" s="13">
        <f>IF('Données projet'!$A$36&gt;35,N15+M16-V15,IF(A16&lt;'Données projet'!$A$36,$K$205^A16,IF(A16='Données projet'!$A$36,'Données projet'!$B$36,N15+M16-V15)))</f>
        <v>20.158736798317982</v>
      </c>
      <c r="O16" s="13">
        <f>N16*VLOOKUP('Données projet'!$B$9,Paramètres!$A$1:$I$89,3,0)*VLOOKUP('Données projet'!$B$9,Paramètres!$A$1:$I$89,5,0)</f>
        <v>11.268733870259751</v>
      </c>
      <c r="P16" s="13">
        <f t="shared" si="33"/>
        <v>3.9173188561486798</v>
      </c>
      <c r="Q16" s="20">
        <f t="shared" si="2"/>
        <v>26.449041831828016</v>
      </c>
      <c r="R16" s="59">
        <f t="shared" si="0"/>
        <v>319.78237516516134</v>
      </c>
      <c r="S16" s="59">
        <f ca="1">AVERAGE(OFFSET($R$3,0,0,'Données projet'!$E$9+1,1))-AVERAGE(OFFSET($H$3,0,0,'Données projet'!$E$9+1,1))</f>
        <v>235.10258076192054</v>
      </c>
      <c r="T16" s="59">
        <f t="shared" si="34"/>
        <v>233.47316052603765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11.4</v>
      </c>
      <c r="AI16" s="13">
        <f>IF('Données projet'!$A$62&gt;35,AI15+AH16-AQ15,IF(A16&lt;'Données projet'!$A$62,$AF$205^A16,IF(A16='Données projet'!$A$62,'Données projet'!$B$62,AI15+AH16-AQ15)))</f>
        <v>57.199999999999996</v>
      </c>
      <c r="AJ16" s="13">
        <f>AI16*VLOOKUP('Données projet'!$B$10,Paramètres!$A$1:$I$89,3,0)*VLOOKUP('Données projet'!$B$10,Paramètres!$A$1:$I$89,5,0)</f>
        <v>31.231199999999998</v>
      </c>
      <c r="AK16" s="13">
        <f t="shared" si="35"/>
        <v>9.6420774360788197</v>
      </c>
      <c r="AL16" s="20">
        <f t="shared" si="4"/>
        <v>71.187624867837272</v>
      </c>
      <c r="AM16" s="59">
        <f t="shared" si="5"/>
        <v>364.52095820117057</v>
      </c>
      <c r="AN16" s="59">
        <f ca="1">AVERAGE(OFFSET($AM$3,0,0,'Données projet'!$E$10+1,1))-AVERAGE(OFFSET($H$3,0,0,'Données projet'!$E$10+1,1))</f>
        <v>168.72306536277267</v>
      </c>
      <c r="AO16" s="59">
        <f t="shared" si="36"/>
        <v>203.35476578922339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3.1</v>
      </c>
      <c r="BD16" s="12">
        <f>IF('Données projet'!$A$88&gt;35,BD15+BC16-BL15,IF(A16&lt;'Données projet'!$A$88,$BA$205^A16,IF(A16='Données projet'!$A$88,'Données projet'!$B$88,BD15+BC16-BL15)))</f>
        <v>14.623610064538074</v>
      </c>
      <c r="BE16" s="13">
        <f>BD16*VLOOKUP('Données projet'!$B$11,Paramètres!$A$1:$I$89,3,0)*VLOOKUP('Données projet'!$B$11,Paramètres!$A$1:$I$89,5,0)</f>
        <v>8.744918818593769</v>
      </c>
      <c r="BF16" s="13">
        <f t="shared" si="37"/>
        <v>3.1310317674270851</v>
      </c>
      <c r="BG16" s="20">
        <f t="shared" si="7"/>
        <v>20.68394727065299</v>
      </c>
      <c r="BH16" s="59">
        <f t="shared" si="8"/>
        <v>314.01728060398631</v>
      </c>
      <c r="BI16" s="59">
        <f ca="1">AVERAGE(OFFSET($BH$3,0,0,'Données projet'!$E$11+1,1))-AVERAGE(OFFSET($H$3,0,0,'Données projet'!$E$11+1,1))</f>
        <v>165.39579887388538</v>
      </c>
      <c r="BJ16" s="59">
        <f t="shared" si="38"/>
        <v>155.89639262545802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1.2</v>
      </c>
      <c r="BY16" s="12">
        <f>IF('Données projet'!$A$114&gt;35,BY15+BX16-CG15,IF(A16&lt;'Données projet'!$A$114,$BV$205^A16,IF(A16='Données projet'!$A$114,'Données projet'!$B$114,BY15+BX16-CG15)))</f>
        <v>5.8627726400958746</v>
      </c>
      <c r="BZ16" s="13">
        <f>BY16*VLOOKUP('Données projet'!$B$12,Paramètres!$A$1:$I$89,3,0)*VLOOKUP('Données projet'!$B$12,Paramètres!$A$1:$I$89,5,0)</f>
        <v>5.6704736975007304</v>
      </c>
      <c r="CA16" s="13">
        <f t="shared" si="39"/>
        <v>2.1352568017564701</v>
      </c>
      <c r="CB16" s="20">
        <f t="shared" si="10"/>
        <v>13.594980619539625</v>
      </c>
      <c r="CC16" s="59">
        <f t="shared" si="11"/>
        <v>306.92831395287294</v>
      </c>
      <c r="CD16" s="59">
        <f ca="1">AVERAGE(OFFSET($CC$3,0,0,'Données projet'!$E$12+1,1))-AVERAGE(OFFSET($H$3,0,0,'Données projet'!$E$12+1,1))</f>
        <v>156.26368818265388</v>
      </c>
      <c r="CE16" s="59">
        <f t="shared" si="40"/>
        <v>56.347130462109817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1.2</v>
      </c>
      <c r="CT16" s="12">
        <f>IF('Données projet'!$A$140&gt;35,CT15+CS16-DB15,IF(A16&lt;'Données projet'!$A$140,$CQ$205^A16,IF(A16='Données projet'!$A$140,'Données projet'!$B$140,CT15+CS16-DB15)))</f>
        <v>5.8627726400958746</v>
      </c>
      <c r="CU16" s="17">
        <f>CT16*VLOOKUP('Données projet'!$B$13,Paramètres!$A$1:$I$89,3,0)*VLOOKUP('Données projet'!$B$13,Paramètres!$A$1:$I$89,5,0)</f>
        <v>4.7558811656457731</v>
      </c>
      <c r="CV16" s="13">
        <f t="shared" si="41"/>
        <v>1.8279039509602881</v>
      </c>
      <c r="CW16" s="20">
        <f t="shared" si="13"/>
        <v>11.46675907808889</v>
      </c>
      <c r="CX16" s="59">
        <f t="shared" si="14"/>
        <v>304.80009241142221</v>
      </c>
      <c r="CY16" s="59">
        <f ca="1">AVERAGE(OFFSET($CX$3,0,0,'Données projet'!$E$13+1,1))-AVERAGE(OFFSET($H$3,0,0,'Données projet'!$E$13+1,1))</f>
        <v>112.78807760743126</v>
      </c>
      <c r="CZ16" s="59">
        <f t="shared" si="42"/>
        <v>37.867745922003564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2.85</v>
      </c>
      <c r="DO16" s="12">
        <f>IF('Données projet'!$A$166&gt;35,DO15+DN16-DW15,IF(A16&lt;'Données projet'!$A$166,$DL$205^A16,IF(A16='Données projet'!$A$166,'Données projet'!$B$166,DO15+DN16-DW15)))</f>
        <v>13.845819197850375</v>
      </c>
      <c r="DP16" s="17">
        <f>DO16*VLOOKUP('Données projet'!$B$14,Paramètres!$A$1:$I$89,3,0)*VLOOKUP('Données projet'!$B$14,Paramètres!$A$1:$I$89,5,0)</f>
        <v>9.2877755179180319</v>
      </c>
      <c r="DQ16" s="13">
        <f t="shared" si="43"/>
        <v>3.3021656233089578</v>
      </c>
      <c r="DR16" s="20">
        <f t="shared" si="16"/>
        <v>21.927480820970342</v>
      </c>
      <c r="DS16" s="59">
        <f t="shared" si="17"/>
        <v>315.26081415430366</v>
      </c>
      <c r="DT16" s="59">
        <f ca="1">AVERAGE(OFFSET($DS$3,0,0,'Données projet'!$E$14+1,1))-AVERAGE(OFFSET($H$3,0,0,'Données projet'!$E$14+1,1))</f>
        <v>107.15837202366862</v>
      </c>
      <c r="DU16" s="59">
        <f t="shared" si="44"/>
        <v>139.67031833740026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5.75</v>
      </c>
      <c r="EJ16" s="12">
        <f>IF('Données projet'!$A$192&gt;35,EJ15+EI16-ER15,IF(A16&lt;'Données projet'!$A$192,$EG$205^A16,IF(A16='Données projet'!$A$192,'Données projet'!$B$192,EJ15+EI16-ER15)))</f>
        <v>21.850108417664106</v>
      </c>
      <c r="EK16" s="17">
        <f>EJ16*VLOOKUP('Données projet'!$B$15,Paramètres!$A$1:$I$89,3,0)*VLOOKUP('Données projet'!$B$15,Paramètres!$A$1:$I$89,5,0)</f>
        <v>10.225850739466802</v>
      </c>
      <c r="EL16" s="13">
        <f t="shared" si="45"/>
        <v>3.5951953906669201</v>
      </c>
      <c r="EM16" s="20">
        <f t="shared" si="19"/>
        <v>24.071655343316234</v>
      </c>
      <c r="EN16" s="59">
        <f t="shared" si="20"/>
        <v>317.40498867664957</v>
      </c>
      <c r="EO16" s="59">
        <f ca="1">AVERAGE(OFFSET($EN$3,0,0,'Données projet'!$E$15+1,1))-AVERAGE(OFFSET($H$3,0,0,'Données projet'!$E$15+1,1))</f>
        <v>123.60520571614535</v>
      </c>
      <c r="EP16" s="59">
        <f t="shared" si="46"/>
        <v>119.00926870519527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2.2999999999999998</v>
      </c>
      <c r="FE16" s="12">
        <f>IF('Données projet'!$A$218&gt;35,FE15+FD16-FM15,IF(A16&lt;'Données projet'!$A$218,$FB$205^A16,IF(A16='Données projet'!$A$218,'Données projet'!$B$218,FE15+FD16-FM15)))</f>
        <v>12.044605793488119</v>
      </c>
      <c r="FF16" s="17">
        <f>FE16*VLOOKUP('Données projet'!$B$16,Paramètres!$A$1:$I$89,3,0)*VLOOKUP('Données projet'!$B$16,Paramètres!$A$1:$I$89,5,0)</f>
        <v>5.7934553866677856</v>
      </c>
      <c r="FG16" s="13">
        <f t="shared" si="47"/>
        <v>2.1761247450008954</v>
      </c>
      <c r="FH16" s="20">
        <f t="shared" si="22"/>
        <v>13.880352062656286</v>
      </c>
      <c r="FI16" s="59">
        <f t="shared" si="23"/>
        <v>307.21368539598961</v>
      </c>
      <c r="FJ16" s="59">
        <f ca="1">AVERAGE(OFFSET($FI$3,0,0,'Données projet'!$E$16+1,1))-AVERAGE(OFFSET($H$3,0,0,'Données projet'!$E$16+1,1))</f>
        <v>197.66963254934603</v>
      </c>
      <c r="FK16" s="59">
        <f t="shared" si="48"/>
        <v>158.08388141976138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3.1</v>
      </c>
      <c r="FZ16" s="12">
        <f>IF('Données projet'!$A$244&gt;35,FZ15+FY16-GH15,IF(A16&lt;'Données projet'!$A$244,$FW$205^A16,IF(A16='Données projet'!$A$244,'Données projet'!$B$244,FZ15+FY16-GH15)))</f>
        <v>14.623610064538074</v>
      </c>
      <c r="GA16" s="17">
        <f>FZ16*VLOOKUP('Données projet'!$B$17,Paramètres!$A$1:$I$89,3,0)*VLOOKUP('Données projet'!$B$17,Paramètres!$A$1:$I$89,5,0)</f>
        <v>8.744918818593769</v>
      </c>
      <c r="GB16" s="13">
        <f t="shared" si="49"/>
        <v>3.1310317674270851</v>
      </c>
      <c r="GC16" s="20">
        <f t="shared" si="25"/>
        <v>20.68394727065299</v>
      </c>
      <c r="GD16" s="59">
        <f t="shared" si="26"/>
        <v>314.01728060398631</v>
      </c>
      <c r="GE16" s="59">
        <f ca="1">AVERAGE(OFFSET($GD$3,0,0,'Données projet'!$E$17+1,1))-AVERAGE(OFFSET($H$3,0,0,'Données projet'!$E$17+1,1))</f>
        <v>165.39579887388538</v>
      </c>
      <c r="GF16" s="59">
        <f t="shared" si="50"/>
        <v>155.89639262545802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1.2</v>
      </c>
      <c r="GU16" s="12">
        <f>IF('Données projet'!$A$270&gt;35,GU15+GT16-HC15,IF(A16&lt;'Données projet'!$A$270,$GR$205^A16,IF(A16='Données projet'!$A$270,'Données projet'!$B$270,GU15+GT16-HC15)))</f>
        <v>5.8627726400958746</v>
      </c>
      <c r="GV16" s="17">
        <f>GU16*VLOOKUP('Données projet'!$B$18,Paramètres!$A$1:$I$89,3,0)*VLOOKUP('Données projet'!$B$18,Paramètres!$A$1:$I$89,5,0)</f>
        <v>6.3106884697991985</v>
      </c>
      <c r="GW16" s="13">
        <f t="shared" si="51"/>
        <v>2.346928580158357</v>
      </c>
      <c r="GX16" s="20">
        <f t="shared" si="28"/>
        <v>15.078683028676075</v>
      </c>
      <c r="GY16" s="59">
        <f t="shared" si="29"/>
        <v>308.41201636200941</v>
      </c>
      <c r="GZ16" s="59">
        <f ca="1">AVERAGE(OFFSET($GY$3,0,0,'Données projet'!$E$18+1,1))-AVERAGE(OFFSET($H$3,0,0,'Données projet'!$E$18+1,1))</f>
        <v>186.60545265015247</v>
      </c>
      <c r="HA16" s="59">
        <f t="shared" si="52"/>
        <v>69.239647548491234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2.1333333333333333</v>
      </c>
      <c r="N17" s="13">
        <f>IF('Données projet'!$A$36&gt;35,N16+M17-V16,IF(A17&lt;'Données projet'!$A$36,$K$205^A17,IF(A17='Données projet'!$A$36,'Données projet'!$B$36,N16+M17-V16)))</f>
        <v>25.398416831491208</v>
      </c>
      <c r="O17" s="13">
        <f>N17*VLOOKUP('Données projet'!$B$9,Paramètres!$A$1:$I$89,3,0)*VLOOKUP('Données projet'!$B$9,Paramètres!$A$1:$I$89,5,0)</f>
        <v>14.197715008803586</v>
      </c>
      <c r="P17" s="13">
        <f t="shared" si="33"/>
        <v>4.804545284398583</v>
      </c>
      <c r="Q17" s="20">
        <f t="shared" si="2"/>
        <v>33.09560334399378</v>
      </c>
      <c r="R17" s="59">
        <f t="shared" si="0"/>
        <v>326.4289366773271</v>
      </c>
      <c r="S17" s="59">
        <f ca="1">AVERAGE(OFFSET($R$3,0,0,'Données projet'!$E$9+1,1))-AVERAGE(OFFSET($H$3,0,0,'Données projet'!$E$9+1,1))</f>
        <v>235.10258076192054</v>
      </c>
      <c r="T17" s="59">
        <f t="shared" si="34"/>
        <v>233.47316052603765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11.4</v>
      </c>
      <c r="AI17" s="13">
        <f>IF('Données projet'!$A$62&gt;35,AI16+AH17-AQ16,IF(A17&lt;'Données projet'!$A$62,$AF$205^A17,IF(A17='Données projet'!$A$62,'Données projet'!$B$62,AI16+AH17-AQ16)))</f>
        <v>68.599999999999994</v>
      </c>
      <c r="AJ17" s="13">
        <f>AI17*VLOOKUP('Données projet'!$B$10,Paramètres!$A$1:$I$89,3,0)*VLOOKUP('Données projet'!$B$10,Paramètres!$A$1:$I$89,5,0)</f>
        <v>37.455599999999997</v>
      </c>
      <c r="AK17" s="13">
        <f t="shared" si="35"/>
        <v>11.321695561560951</v>
      </c>
      <c r="AL17" s="20">
        <f t="shared" si="4"/>
        <v>84.953789769718654</v>
      </c>
      <c r="AM17" s="59">
        <f t="shared" si="5"/>
        <v>378.28712310305195</v>
      </c>
      <c r="AN17" s="59">
        <f ca="1">AVERAGE(OFFSET($AM$3,0,0,'Données projet'!$E$10+1,1))-AVERAGE(OFFSET($H$3,0,0,'Données projet'!$E$10+1,1))</f>
        <v>168.72306536277267</v>
      </c>
      <c r="AO17" s="59">
        <f t="shared" si="36"/>
        <v>203.35476578922339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3.1</v>
      </c>
      <c r="BD17" s="12">
        <f>IF('Données projet'!$A$88&gt;35,BD16+BC17-BL16,IF(A17&lt;'Données projet'!$A$88,$BA$205^A17,IF(A17='Données projet'!$A$88,'Données projet'!$B$88,BD16+BC17-BL16)))</f>
        <v>17.975218683822305</v>
      </c>
      <c r="BE17" s="13">
        <f>BD17*VLOOKUP('Données projet'!$B$11,Paramètres!$A$1:$I$89,3,0)*VLOOKUP('Données projet'!$B$11,Paramètres!$A$1:$I$89,5,0)</f>
        <v>10.74918077292574</v>
      </c>
      <c r="BF17" s="13">
        <f t="shared" si="37"/>
        <v>3.7572953829252698</v>
      </c>
      <c r="BG17" s="20">
        <f t="shared" si="7"/>
        <v>25.26544597144051</v>
      </c>
      <c r="BH17" s="59">
        <f t="shared" si="8"/>
        <v>318.59877930477381</v>
      </c>
      <c r="BI17" s="59">
        <f ca="1">AVERAGE(OFFSET($BH$3,0,0,'Données projet'!$E$11+1,1))-AVERAGE(OFFSET($H$3,0,0,'Données projet'!$E$11+1,1))</f>
        <v>165.39579887388538</v>
      </c>
      <c r="BJ17" s="59">
        <f t="shared" si="38"/>
        <v>155.89639262545802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1.2</v>
      </c>
      <c r="BY17" s="12">
        <f>IF('Données projet'!$A$114&gt;35,BY16+BX17-CG16,IF(A17&lt;'Données projet'!$A$114,$BV$205^A17,IF(A17='Données projet'!$A$114,'Données projet'!$B$114,BY16+BX17-CG16)))</f>
        <v>6.7171941741218459</v>
      </c>
      <c r="BZ17" s="13">
        <f>BY17*VLOOKUP('Données projet'!$B$12,Paramètres!$A$1:$I$89,3,0)*VLOOKUP('Données projet'!$B$12,Paramètres!$A$1:$I$89,5,0)</f>
        <v>6.4968702052106497</v>
      </c>
      <c r="CA17" s="13">
        <f t="shared" si="39"/>
        <v>2.4080055723865681</v>
      </c>
      <c r="CB17" s="20">
        <f t="shared" si="10"/>
        <v>15.509325312648487</v>
      </c>
      <c r="CC17" s="59">
        <f t="shared" si="11"/>
        <v>308.84265864598183</v>
      </c>
      <c r="CD17" s="59">
        <f ca="1">AVERAGE(OFFSET($CC$3,0,0,'Données projet'!$E$12+1,1))-AVERAGE(OFFSET($H$3,0,0,'Données projet'!$E$12+1,1))</f>
        <v>156.26368818265388</v>
      </c>
      <c r="CE17" s="59">
        <f t="shared" si="40"/>
        <v>56.347130462109817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1.2</v>
      </c>
      <c r="CT17" s="12">
        <f>IF('Données projet'!$A$140&gt;35,CT16+CS17-DB16,IF(A17&lt;'Données projet'!$A$140,$CQ$205^A17,IF(A17='Données projet'!$A$140,'Données projet'!$B$140,CT16+CS17-DB16)))</f>
        <v>6.7171941741218459</v>
      </c>
      <c r="CU17" s="17">
        <f>CT17*VLOOKUP('Données projet'!$B$13,Paramètres!$A$1:$I$89,3,0)*VLOOKUP('Données projet'!$B$13,Paramètres!$A$1:$I$89,5,0)</f>
        <v>5.4489879140476418</v>
      </c>
      <c r="CV17" s="13">
        <f t="shared" si="41"/>
        <v>2.0613927542949519</v>
      </c>
      <c r="CW17" s="20">
        <f t="shared" si="13"/>
        <v>13.080579664030017</v>
      </c>
      <c r="CX17" s="59">
        <f t="shared" si="14"/>
        <v>306.41391299736335</v>
      </c>
      <c r="CY17" s="59">
        <f ca="1">AVERAGE(OFFSET($CX$3,0,0,'Données projet'!$E$13+1,1))-AVERAGE(OFFSET($H$3,0,0,'Données projet'!$E$13+1,1))</f>
        <v>112.78807760743126</v>
      </c>
      <c r="CZ17" s="59">
        <f t="shared" si="42"/>
        <v>37.867745922003564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2.85</v>
      </c>
      <c r="DO17" s="12">
        <f>IF('Données projet'!$A$166&gt;35,DO16+DN17-DW16,IF(A17&lt;'Données projet'!$A$166,$DL$205^A17,IF(A17='Données projet'!$A$166,'Données projet'!$B$166,DO16+DN17-DW16)))</f>
        <v>16.94776365704034</v>
      </c>
      <c r="DP17" s="17">
        <f>DO17*VLOOKUP('Données projet'!$B$14,Paramètres!$A$1:$I$89,3,0)*VLOOKUP('Données projet'!$B$14,Paramètres!$A$1:$I$89,5,0)</f>
        <v>11.368559861142661</v>
      </c>
      <c r="DQ17" s="13">
        <f t="shared" si="43"/>
        <v>3.9479659927225663</v>
      </c>
      <c r="DR17" s="20">
        <f t="shared" si="16"/>
        <v>26.676282528815268</v>
      </c>
      <c r="DS17" s="59">
        <f t="shared" si="17"/>
        <v>320.00961586214856</v>
      </c>
      <c r="DT17" s="59">
        <f ca="1">AVERAGE(OFFSET($DS$3,0,0,'Données projet'!$E$14+1,1))-AVERAGE(OFFSET($H$3,0,0,'Données projet'!$E$14+1,1))</f>
        <v>107.15837202366862</v>
      </c>
      <c r="DU17" s="59">
        <f t="shared" si="44"/>
        <v>139.67031833740026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5.75</v>
      </c>
      <c r="EJ17" s="12">
        <f>IF('Données projet'!$A$192&gt;35,EJ16+EI17-ER16,IF(A17&lt;'Données projet'!$A$192,$EG$205^A17,IF(A17='Données projet'!$A$192,'Données projet'!$B$192,EJ16+EI17-ER16)))</f>
        <v>27.700556129091808</v>
      </c>
      <c r="EK17" s="17">
        <f>EJ17*VLOOKUP('Données projet'!$B$15,Paramètres!$A$1:$I$89,3,0)*VLOOKUP('Données projet'!$B$15,Paramètres!$A$1:$I$89,5,0)</f>
        <v>12.963860268414967</v>
      </c>
      <c r="EL17" s="13">
        <f t="shared" si="45"/>
        <v>4.4336777956113931</v>
      </c>
      <c r="EM17" s="20">
        <f t="shared" si="19"/>
        <v>30.300712128179242</v>
      </c>
      <c r="EN17" s="59">
        <f t="shared" si="20"/>
        <v>323.63404546151253</v>
      </c>
      <c r="EO17" s="59">
        <f ca="1">AVERAGE(OFFSET($EN$3,0,0,'Données projet'!$E$15+1,1))-AVERAGE(OFFSET($H$3,0,0,'Données projet'!$E$15+1,1))</f>
        <v>123.60520571614535</v>
      </c>
      <c r="EP17" s="59">
        <f t="shared" si="46"/>
        <v>119.00926870519527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2.2999999999999998</v>
      </c>
      <c r="FE17" s="12">
        <f>IF('Données projet'!$A$218&gt;35,FE16+FD17-FM16,IF(A17&lt;'Données projet'!$A$218,$FB$205^A17,IF(A17='Données projet'!$A$218,'Données projet'!$B$218,FE16+FD17-FM16)))</f>
        <v>14.585807655399249</v>
      </c>
      <c r="FF17" s="17">
        <f>FE17*VLOOKUP('Données projet'!$B$16,Paramètres!$A$1:$I$89,3,0)*VLOOKUP('Données projet'!$B$16,Paramètres!$A$1:$I$89,5,0)</f>
        <v>7.015773482247039</v>
      </c>
      <c r="FG17" s="13">
        <f t="shared" si="47"/>
        <v>2.5771780774788446</v>
      </c>
      <c r="FH17" s="20">
        <f t="shared" si="22"/>
        <v>16.707723966522575</v>
      </c>
      <c r="FI17" s="59">
        <f t="shared" si="23"/>
        <v>310.04105729985588</v>
      </c>
      <c r="FJ17" s="59">
        <f ca="1">AVERAGE(OFFSET($FI$3,0,0,'Données projet'!$E$16+1,1))-AVERAGE(OFFSET($H$3,0,0,'Données projet'!$E$16+1,1))</f>
        <v>197.66963254934603</v>
      </c>
      <c r="FK17" s="59">
        <f t="shared" si="48"/>
        <v>158.08388141976138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3.1</v>
      </c>
      <c r="FZ17" s="12">
        <f>IF('Données projet'!$A$244&gt;35,FZ16+FY17-GH16,IF(A17&lt;'Données projet'!$A$244,$FW$205^A17,IF(A17='Données projet'!$A$244,'Données projet'!$B$244,FZ16+FY17-GH16)))</f>
        <v>17.975218683822305</v>
      </c>
      <c r="GA17" s="17">
        <f>FZ17*VLOOKUP('Données projet'!$B$17,Paramètres!$A$1:$I$89,3,0)*VLOOKUP('Données projet'!$B$17,Paramètres!$A$1:$I$89,5,0)</f>
        <v>10.74918077292574</v>
      </c>
      <c r="GB17" s="13">
        <f t="shared" si="49"/>
        <v>3.7572953829252698</v>
      </c>
      <c r="GC17" s="20">
        <f t="shared" si="25"/>
        <v>25.26544597144051</v>
      </c>
      <c r="GD17" s="59">
        <f t="shared" si="26"/>
        <v>318.59877930477381</v>
      </c>
      <c r="GE17" s="59">
        <f ca="1">AVERAGE(OFFSET($GD$3,0,0,'Données projet'!$E$17+1,1))-AVERAGE(OFFSET($H$3,0,0,'Données projet'!$E$17+1,1))</f>
        <v>165.39579887388538</v>
      </c>
      <c r="GF17" s="59">
        <f t="shared" si="50"/>
        <v>155.89639262545802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1.2</v>
      </c>
      <c r="GU17" s="12">
        <f>IF('Données projet'!$A$270&gt;35,GU16+GT17-HC16,IF(A17&lt;'Données projet'!$A$270,$GR$205^A17,IF(A17='Données projet'!$A$270,'Données projet'!$B$270,GU16+GT17-HC16)))</f>
        <v>6.7171941741218459</v>
      </c>
      <c r="GV17" s="17">
        <f>GU17*VLOOKUP('Données projet'!$B$18,Paramètres!$A$1:$I$89,3,0)*VLOOKUP('Données projet'!$B$18,Paramètres!$A$1:$I$89,5,0)</f>
        <v>7.2303878090247551</v>
      </c>
      <c r="GW17" s="13">
        <f t="shared" si="51"/>
        <v>2.6467154181950132</v>
      </c>
      <c r="GX17" s="20">
        <f t="shared" si="28"/>
        <v>17.202621454074428</v>
      </c>
      <c r="GY17" s="59">
        <f t="shared" si="29"/>
        <v>310.53595478740772</v>
      </c>
      <c r="GZ17" s="59">
        <f ca="1">AVERAGE(OFFSET($GY$3,0,0,'Données projet'!$E$18+1,1))-AVERAGE(OFFSET($H$3,0,0,'Données projet'!$E$18+1,1))</f>
        <v>186.60545265015247</v>
      </c>
      <c r="HA17" s="59">
        <f t="shared" si="52"/>
        <v>69.239647548491234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32</v>
      </c>
      <c r="L18" s="12">
        <f>VLOOKUP(A18,'Données projet'!$A$35:$I$55,9,0)</f>
        <v>2.1333333333333333</v>
      </c>
      <c r="M18" s="12">
        <f t="array" ref="M18">INDEX(L:L,MIN(IF(ISNUMBER(L18:L214),ROW(L18:L214),"")))</f>
        <v>2.1333333333333333</v>
      </c>
      <c r="N18" s="13">
        <f>IF('Données projet'!$A$36&gt;35,N17+M18-V17,IF(A18&lt;'Données projet'!$A$36,$K$205^A18,IF(A18='Données projet'!$A$36,'Données projet'!$B$36,N17+M18-V17)))</f>
        <v>32</v>
      </c>
      <c r="O18" s="13">
        <f>N18*VLOOKUP('Données projet'!$B$9,Paramètres!$A$1:$I$89,3,0)*VLOOKUP('Données projet'!$B$9,Paramètres!$A$1:$I$89,5,0)</f>
        <v>17.888000000000002</v>
      </c>
      <c r="P18" s="13">
        <f t="shared" si="33"/>
        <v>5.8927180139048936</v>
      </c>
      <c r="Q18" s="20">
        <f t="shared" si="2"/>
        <v>41.418083874217693</v>
      </c>
      <c r="R18" s="59">
        <f t="shared" si="0"/>
        <v>334.75141720755101</v>
      </c>
      <c r="S18" s="59">
        <f ca="1">AVERAGE(OFFSET($R$3,0,0,'Données projet'!$E$9+1,1))-AVERAGE(OFFSET($H$3,0,0,'Données projet'!$E$9+1,1))</f>
        <v>235.10258076192054</v>
      </c>
      <c r="T18" s="59">
        <f t="shared" si="34"/>
        <v>233.47316052603765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11.4</v>
      </c>
      <c r="AI18" s="13">
        <f>IF('Données projet'!$A$62&gt;35,AI17+AH18-AQ17,IF(A18&lt;'Données projet'!$A$62,$AF$205^A18,IF(A18='Données projet'!$A$62,'Données projet'!$B$62,AI17+AH18-AQ17)))</f>
        <v>80</v>
      </c>
      <c r="AJ18" s="13">
        <f>AI18*VLOOKUP('Données projet'!$B$10,Paramètres!$A$1:$I$89,3,0)*VLOOKUP('Données projet'!$B$10,Paramètres!$A$1:$I$89,5,0)</f>
        <v>43.680000000000007</v>
      </c>
      <c r="AK18" s="13">
        <f t="shared" si="35"/>
        <v>12.968979282088577</v>
      </c>
      <c r="AL18" s="20">
        <f t="shared" si="4"/>
        <v>98.663638916304294</v>
      </c>
      <c r="AM18" s="59">
        <f t="shared" si="5"/>
        <v>391.99697224963762</v>
      </c>
      <c r="AN18" s="59">
        <f ca="1">AVERAGE(OFFSET($AM$3,0,0,'Données projet'!$E$10+1,1))-AVERAGE(OFFSET($H$3,0,0,'Données projet'!$E$10+1,1))</f>
        <v>168.72306536277267</v>
      </c>
      <c r="AO18" s="59">
        <f t="shared" si="36"/>
        <v>203.35476578922339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3.1</v>
      </c>
      <c r="BD18" s="12">
        <f>IF('Données projet'!$A$88&gt;35,BD17+BC18-BL17,IF(A18&lt;'Données projet'!$A$88,$BA$205^A18,IF(A18='Données projet'!$A$88,'Données projet'!$B$88,BD17+BC18-BL17)))</f>
        <v>22.094987852196994</v>
      </c>
      <c r="BE18" s="13">
        <f>BD18*VLOOKUP('Données projet'!$B$11,Paramètres!$A$1:$I$89,3,0)*VLOOKUP('Données projet'!$B$11,Paramètres!$A$1:$I$89,5,0)</f>
        <v>13.212802735613803</v>
      </c>
      <c r="BF18" s="13">
        <f t="shared" si="37"/>
        <v>4.5088231749728802</v>
      </c>
      <c r="BG18" s="20">
        <f t="shared" si="7"/>
        <v>30.865165127605138</v>
      </c>
      <c r="BH18" s="59">
        <f t="shared" si="8"/>
        <v>324.19849846093848</v>
      </c>
      <c r="BI18" s="59">
        <f ca="1">AVERAGE(OFFSET($BH$3,0,0,'Données projet'!$E$11+1,1))-AVERAGE(OFFSET($H$3,0,0,'Données projet'!$E$11+1,1))</f>
        <v>165.39579887388538</v>
      </c>
      <c r="BJ18" s="59">
        <f t="shared" si="38"/>
        <v>155.89639262545802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1.2</v>
      </c>
      <c r="BY18" s="12">
        <f>IF('Données projet'!$A$114&gt;35,BY17+BX18-CG17,IF(A18&lt;'Données projet'!$A$114,$BV$205^A18,IF(A18='Données projet'!$A$114,'Données projet'!$B$114,BY17+BX18-CG17)))</f>
        <v>7.6961363407260848</v>
      </c>
      <c r="BZ18" s="13">
        <f>BY18*VLOOKUP('Données projet'!$B$12,Paramètres!$A$1:$I$89,3,0)*VLOOKUP('Données projet'!$B$12,Paramètres!$A$1:$I$89,5,0)</f>
        <v>7.4437030687502697</v>
      </c>
      <c r="CA18" s="13">
        <f t="shared" si="39"/>
        <v>2.7155941298840056</v>
      </c>
      <c r="CB18" s="20">
        <f t="shared" si="10"/>
        <v>17.694109287621362</v>
      </c>
      <c r="CC18" s="59">
        <f t="shared" si="11"/>
        <v>311.02744262095467</v>
      </c>
      <c r="CD18" s="59">
        <f ca="1">AVERAGE(OFFSET($CC$3,0,0,'Données projet'!$E$12+1,1))-AVERAGE(OFFSET($H$3,0,0,'Données projet'!$E$12+1,1))</f>
        <v>156.26368818265388</v>
      </c>
      <c r="CE18" s="59">
        <f t="shared" si="40"/>
        <v>56.347130462109817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1.2</v>
      </c>
      <c r="CT18" s="12">
        <f>IF('Données projet'!$A$140&gt;35,CT17+CS18-DB17,IF(A18&lt;'Données projet'!$A$140,$CQ$205^A18,IF(A18='Données projet'!$A$140,'Données projet'!$B$140,CT17+CS18-DB17)))</f>
        <v>7.6961363407260848</v>
      </c>
      <c r="CU18" s="17">
        <f>CT18*VLOOKUP('Données projet'!$B$13,Paramètres!$A$1:$I$89,3,0)*VLOOKUP('Données projet'!$B$13,Paramètres!$A$1:$I$89,5,0)</f>
        <v>6.243105799597001</v>
      </c>
      <c r="CV18" s="13">
        <f t="shared" si="41"/>
        <v>2.3247064405256852</v>
      </c>
      <c r="CW18" s="20">
        <f t="shared" si="13"/>
        <v>14.922272984880344</v>
      </c>
      <c r="CX18" s="59">
        <f t="shared" si="14"/>
        <v>308.25560631821367</v>
      </c>
      <c r="CY18" s="59">
        <f ca="1">AVERAGE(OFFSET($CX$3,0,0,'Données projet'!$E$13+1,1))-AVERAGE(OFFSET($H$3,0,0,'Données projet'!$E$13+1,1))</f>
        <v>112.78807760743126</v>
      </c>
      <c r="CZ18" s="59">
        <f t="shared" si="42"/>
        <v>37.867745922003564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2.85</v>
      </c>
      <c r="DO18" s="12">
        <f>IF('Données projet'!$A$166&gt;35,DO17+DN18-DW17,IF(A18&lt;'Données projet'!$A$166,$DL$205^A18,IF(A18='Données projet'!$A$166,'Données projet'!$B$166,DO17+DN18-DW17)))</f>
        <v>20.744651426583019</v>
      </c>
      <c r="DP18" s="17">
        <f>DO18*VLOOKUP('Données projet'!$B$14,Paramètres!$A$1:$I$89,3,0)*VLOOKUP('Données projet'!$B$14,Paramètres!$A$1:$I$89,5,0)</f>
        <v>13.915512176951887</v>
      </c>
      <c r="DQ18" s="13">
        <f t="shared" si="43"/>
        <v>4.7200647265158606</v>
      </c>
      <c r="DR18" s="20">
        <f t="shared" si="16"/>
        <v>32.456963106872998</v>
      </c>
      <c r="DS18" s="59">
        <f t="shared" si="17"/>
        <v>325.7902964402063</v>
      </c>
      <c r="DT18" s="59">
        <f ca="1">AVERAGE(OFFSET($DS$3,0,0,'Données projet'!$E$14+1,1))-AVERAGE(OFFSET($H$3,0,0,'Données projet'!$E$14+1,1))</f>
        <v>107.15837202366862</v>
      </c>
      <c r="DU18" s="59">
        <f t="shared" si="44"/>
        <v>139.67031833740026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5.75</v>
      </c>
      <c r="EJ18" s="12">
        <f>IF('Données projet'!$A$192&gt;35,EJ17+EI18-ER17,IF(A18&lt;'Données projet'!$A$192,$EG$205^A18,IF(A18='Données projet'!$A$192,'Données projet'!$B$192,EJ17+EI18-ER17)))</f>
        <v>35.117482952196561</v>
      </c>
      <c r="EK18" s="17">
        <f>EJ18*VLOOKUP('Données projet'!$B$15,Paramètres!$A$1:$I$89,3,0)*VLOOKUP('Données projet'!$B$15,Paramètres!$A$1:$I$89,5,0)</f>
        <v>16.434982021627992</v>
      </c>
      <c r="EL18" s="13">
        <f t="shared" si="45"/>
        <v>5.4677136175486121</v>
      </c>
      <c r="EM18" s="20">
        <f t="shared" si="19"/>
        <v>38.147194904899251</v>
      </c>
      <c r="EN18" s="59">
        <f t="shared" si="20"/>
        <v>331.48052823823258</v>
      </c>
      <c r="EO18" s="59">
        <f ca="1">AVERAGE(OFFSET($EN$3,0,0,'Données projet'!$E$15+1,1))-AVERAGE(OFFSET($H$3,0,0,'Données projet'!$E$15+1,1))</f>
        <v>123.60520571614535</v>
      </c>
      <c r="EP18" s="59">
        <f t="shared" si="46"/>
        <v>119.00926870519527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2.2999999999999998</v>
      </c>
      <c r="FE18" s="12">
        <f>IF('Données projet'!$A$218&gt;35,FE17+FD18-FM17,IF(A18&lt;'Données projet'!$A$218,$FB$205^A18,IF(A18='Données projet'!$A$218,'Données projet'!$B$218,FE17+FD18-FM17)))</f>
        <v>17.663158812165001</v>
      </c>
      <c r="FF18" s="17">
        <f>FE18*VLOOKUP('Données projet'!$B$16,Paramètres!$A$1:$I$89,3,0)*VLOOKUP('Données projet'!$B$16,Paramètres!$A$1:$I$89,5,0)</f>
        <v>8.4959793886513655</v>
      </c>
      <c r="FG18" s="13">
        <f t="shared" si="47"/>
        <v>3.0521443489375066</v>
      </c>
      <c r="FH18" s="20">
        <f t="shared" si="22"/>
        <v>20.112982176300619</v>
      </c>
      <c r="FI18" s="59">
        <f t="shared" si="23"/>
        <v>313.44631550963391</v>
      </c>
      <c r="FJ18" s="59">
        <f ca="1">AVERAGE(OFFSET($FI$3,0,0,'Données projet'!$E$16+1,1))-AVERAGE(OFFSET($H$3,0,0,'Données projet'!$E$16+1,1))</f>
        <v>197.66963254934603</v>
      </c>
      <c r="FK18" s="59">
        <f t="shared" si="48"/>
        <v>158.08388141976138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3.1</v>
      </c>
      <c r="FZ18" s="12">
        <f>IF('Données projet'!$A$244&gt;35,FZ17+FY18-GH17,IF(A18&lt;'Données projet'!$A$244,$FW$205^A18,IF(A18='Données projet'!$A$244,'Données projet'!$B$244,FZ17+FY18-GH17)))</f>
        <v>22.094987852196994</v>
      </c>
      <c r="GA18" s="17">
        <f>FZ18*VLOOKUP('Données projet'!$B$17,Paramètres!$A$1:$I$89,3,0)*VLOOKUP('Données projet'!$B$17,Paramètres!$A$1:$I$89,5,0)</f>
        <v>13.212802735613803</v>
      </c>
      <c r="GB18" s="13">
        <f t="shared" si="49"/>
        <v>4.5088231749728802</v>
      </c>
      <c r="GC18" s="20">
        <f t="shared" si="25"/>
        <v>30.865165127605138</v>
      </c>
      <c r="GD18" s="59">
        <f t="shared" si="26"/>
        <v>324.19849846093848</v>
      </c>
      <c r="GE18" s="59">
        <f ca="1">AVERAGE(OFFSET($GD$3,0,0,'Données projet'!$E$17+1,1))-AVERAGE(OFFSET($H$3,0,0,'Données projet'!$E$17+1,1))</f>
        <v>165.39579887388538</v>
      </c>
      <c r="GF18" s="59">
        <f t="shared" si="50"/>
        <v>155.89639262545802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1.2</v>
      </c>
      <c r="GU18" s="12">
        <f>IF('Données projet'!$A$270&gt;35,GU17+GT18-HC17,IF(A18&lt;'Données projet'!$A$270,$GR$205^A18,IF(A18='Données projet'!$A$270,'Données projet'!$B$270,GU17+GT18-HC17)))</f>
        <v>7.6961363407260848</v>
      </c>
      <c r="GV18" s="17">
        <f>GU18*VLOOKUP('Données projet'!$B$18,Paramètres!$A$1:$I$89,3,0)*VLOOKUP('Données projet'!$B$18,Paramètres!$A$1:$I$89,5,0)</f>
        <v>8.284121157157557</v>
      </c>
      <c r="GW18" s="13">
        <f t="shared" si="51"/>
        <v>2.9847957727109624</v>
      </c>
      <c r="GX18" s="20">
        <f t="shared" si="28"/>
        <v>19.626696986187671</v>
      </c>
      <c r="GY18" s="59">
        <f t="shared" si="29"/>
        <v>312.96003031952097</v>
      </c>
      <c r="GZ18" s="59">
        <f ca="1">AVERAGE(OFFSET($GY$3,0,0,'Données projet'!$E$18+1,1))-AVERAGE(OFFSET($H$3,0,0,'Données projet'!$E$18+1,1))</f>
        <v>186.60545265015247</v>
      </c>
      <c r="HA18" s="59">
        <f t="shared" si="52"/>
        <v>69.239647548491234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12.6</v>
      </c>
      <c r="N19" s="13">
        <f>IF('Données projet'!$A$36&gt;35,N18+M19-V18,IF(A19&lt;'Données projet'!$A$36,$K$205^A19,IF(A19='Données projet'!$A$36,'Données projet'!$B$36,N18+M19-V18)))</f>
        <v>44.6</v>
      </c>
      <c r="O19" s="13">
        <f>N19*VLOOKUP('Données projet'!$B$9,Paramètres!$A$1:$I$89,3,0)*VLOOKUP('Données projet'!$B$9,Paramètres!$A$1:$I$89,5,0)</f>
        <v>24.931400000000004</v>
      </c>
      <c r="P19" s="13">
        <f t="shared" si="33"/>
        <v>7.9016432787212629</v>
      </c>
      <c r="Q19" s="20">
        <f t="shared" si="2"/>
        <v>57.184217043772861</v>
      </c>
      <c r="R19" s="59">
        <f t="shared" si="0"/>
        <v>350.5175503771062</v>
      </c>
      <c r="S19" s="59">
        <f ca="1">AVERAGE(OFFSET($R$3,0,0,'Données projet'!$E$9+1,1))-AVERAGE(OFFSET($H$3,0,0,'Données projet'!$E$9+1,1))</f>
        <v>235.10258076192054</v>
      </c>
      <c r="T19" s="59">
        <f t="shared" si="34"/>
        <v>233.47316052603765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11.4</v>
      </c>
      <c r="AI19" s="13">
        <f>IF('Données projet'!$A$62&gt;35,AI18+AH19-AQ18,IF(A19&lt;'Données projet'!$A$62,$AF$205^A19,IF(A19='Données projet'!$A$62,'Données projet'!$B$62,AI18+AH19-AQ18)))</f>
        <v>91.4</v>
      </c>
      <c r="AJ19" s="13">
        <f>AI19*VLOOKUP('Données projet'!$B$10,Paramètres!$A$1:$I$89,3,0)*VLOOKUP('Données projet'!$B$10,Paramètres!$A$1:$I$89,5,0)</f>
        <v>49.904400000000003</v>
      </c>
      <c r="AK19" s="13">
        <f t="shared" si="35"/>
        <v>14.589067797241727</v>
      </c>
      <c r="AL19" s="20">
        <f t="shared" si="4"/>
        <v>112.32612308019601</v>
      </c>
      <c r="AM19" s="59">
        <f t="shared" si="5"/>
        <v>405.65945641352931</v>
      </c>
      <c r="AN19" s="59">
        <f ca="1">AVERAGE(OFFSET($AM$3,0,0,'Données projet'!$E$10+1,1))-AVERAGE(OFFSET($H$3,0,0,'Données projet'!$E$10+1,1))</f>
        <v>168.72306536277267</v>
      </c>
      <c r="AO19" s="59">
        <f t="shared" si="36"/>
        <v>203.35476578922339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3.1</v>
      </c>
      <c r="BD19" s="12">
        <f>IF('Données projet'!$A$88&gt;35,BD18+BC19-BL18,IF(A19&lt;'Données projet'!$A$88,$BA$205^A19,IF(A19='Données projet'!$A$88,'Données projet'!$B$88,BD18+BC19-BL18)))</f>
        <v>27.158973516583817</v>
      </c>
      <c r="BE19" s="13">
        <f>BD19*VLOOKUP('Données projet'!$B$11,Paramètres!$A$1:$I$89,3,0)*VLOOKUP('Données projet'!$B$11,Paramètres!$A$1:$I$89,5,0)</f>
        <v>16.241066162917125</v>
      </c>
      <c r="BF19" s="13">
        <f t="shared" si="37"/>
        <v>5.4106702697792288</v>
      </c>
      <c r="BG19" s="20">
        <f t="shared" si="7"/>
        <v>37.71010762027948</v>
      </c>
      <c r="BH19" s="59">
        <f t="shared" si="8"/>
        <v>331.04344095361279</v>
      </c>
      <c r="BI19" s="59">
        <f ca="1">AVERAGE(OFFSET($BH$3,0,0,'Données projet'!$E$11+1,1))-AVERAGE(OFFSET($H$3,0,0,'Données projet'!$E$11+1,1))</f>
        <v>165.39579887388538</v>
      </c>
      <c r="BJ19" s="59">
        <f t="shared" si="38"/>
        <v>155.89639262545802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1.2</v>
      </c>
      <c r="BY19" s="12">
        <f>IF('Données projet'!$A$114&gt;35,BY18+BX19-CG18,IF(A19&lt;'Données projet'!$A$114,$BV$205^A19,IF(A19='Données projet'!$A$114,'Données projet'!$B$114,BY18+BX19-CG18)))</f>
        <v>8.8177463744060987</v>
      </c>
      <c r="BZ19" s="13">
        <f>BY19*VLOOKUP('Données projet'!$B$12,Paramètres!$A$1:$I$89,3,0)*VLOOKUP('Données projet'!$B$12,Paramètres!$A$1:$I$89,5,0)</f>
        <v>8.528524293325578</v>
      </c>
      <c r="CA19" s="13">
        <f t="shared" si="39"/>
        <v>3.0624727628647754</v>
      </c>
      <c r="CB19" s="20">
        <f t="shared" si="10"/>
        <v>20.187653206198199</v>
      </c>
      <c r="CC19" s="59">
        <f t="shared" si="11"/>
        <v>313.52098653953152</v>
      </c>
      <c r="CD19" s="59">
        <f ca="1">AVERAGE(OFFSET($CC$3,0,0,'Données projet'!$E$12+1,1))-AVERAGE(OFFSET($H$3,0,0,'Données projet'!$E$12+1,1))</f>
        <v>156.26368818265388</v>
      </c>
      <c r="CE19" s="59">
        <f t="shared" si="40"/>
        <v>56.347130462109817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1.2</v>
      </c>
      <c r="CT19" s="12">
        <f>IF('Données projet'!$A$140&gt;35,CT18+CS19-DB18,IF(A19&lt;'Données projet'!$A$140,$CQ$205^A19,IF(A19='Données projet'!$A$140,'Données projet'!$B$140,CT18+CS19-DB18)))</f>
        <v>8.8177463744060987</v>
      </c>
      <c r="CU19" s="17">
        <f>CT19*VLOOKUP('Données projet'!$B$13,Paramètres!$A$1:$I$89,3,0)*VLOOKUP('Données projet'!$B$13,Paramètres!$A$1:$I$89,5,0)</f>
        <v>7.1529558589182267</v>
      </c>
      <c r="CV19" s="13">
        <f t="shared" si="41"/>
        <v>2.6216547154159326</v>
      </c>
      <c r="CW19" s="20">
        <f t="shared" si="13"/>
        <v>17.024113416965328</v>
      </c>
      <c r="CX19" s="59">
        <f t="shared" si="14"/>
        <v>310.35744675029866</v>
      </c>
      <c r="CY19" s="59">
        <f ca="1">AVERAGE(OFFSET($CX$3,0,0,'Données projet'!$E$13+1,1))-AVERAGE(OFFSET($H$3,0,0,'Données projet'!$E$13+1,1))</f>
        <v>112.78807760743126</v>
      </c>
      <c r="CZ19" s="59">
        <f t="shared" si="42"/>
        <v>37.867745922003564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2.85</v>
      </c>
      <c r="DO19" s="12">
        <f>IF('Données projet'!$A$166&gt;35,DO18+DN19-DW18,IF(A19&lt;'Données projet'!$A$166,$DL$205^A19,IF(A19='Données projet'!$A$166,'Données projet'!$B$166,DO18+DN19-DW18)))</f>
        <v>25.392173948075062</v>
      </c>
      <c r="DP19" s="17">
        <f>DO19*VLOOKUP('Données projet'!$B$14,Paramètres!$A$1:$I$89,3,0)*VLOOKUP('Données projet'!$B$14,Paramètres!$A$1:$I$89,5,0)</f>
        <v>17.033070284368751</v>
      </c>
      <c r="DQ19" s="13">
        <f t="shared" si="43"/>
        <v>5.6431618366437304</v>
      </c>
      <c r="DR19" s="20">
        <f t="shared" si="16"/>
        <v>39.494437610763406</v>
      </c>
      <c r="DS19" s="59">
        <f t="shared" si="17"/>
        <v>332.8277709440967</v>
      </c>
      <c r="DT19" s="59">
        <f ca="1">AVERAGE(OFFSET($DS$3,0,0,'Données projet'!$E$14+1,1))-AVERAGE(OFFSET($H$3,0,0,'Données projet'!$E$14+1,1))</f>
        <v>107.15837202366862</v>
      </c>
      <c r="DU19" s="59">
        <f t="shared" si="44"/>
        <v>139.67031833740026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5.75</v>
      </c>
      <c r="EJ19" s="12">
        <f>IF('Données projet'!$A$192&gt;35,EJ18+EI19-ER18,IF(A19&lt;'Données projet'!$A$192,$EG$205^A19,IF(A19='Données projet'!$A$192,'Données projet'!$B$192,EJ18+EI19-ER18)))</f>
        <v>44.52031948927695</v>
      </c>
      <c r="EK19" s="17">
        <f>EJ19*VLOOKUP('Données projet'!$B$15,Paramètres!$A$1:$I$89,3,0)*VLOOKUP('Données projet'!$B$15,Paramètres!$A$1:$I$89,5,0)</f>
        <v>20.835509520981613</v>
      </c>
      <c r="EL19" s="13">
        <f t="shared" si="45"/>
        <v>6.7429104192276883</v>
      </c>
      <c r="EM19" s="20">
        <f t="shared" si="19"/>
        <v>48.03241472919786</v>
      </c>
      <c r="EN19" s="59">
        <f t="shared" si="20"/>
        <v>341.36574806253117</v>
      </c>
      <c r="EO19" s="59">
        <f ca="1">AVERAGE(OFFSET($EN$3,0,0,'Données projet'!$E$15+1,1))-AVERAGE(OFFSET($H$3,0,0,'Données projet'!$E$15+1,1))</f>
        <v>123.60520571614535</v>
      </c>
      <c r="EP19" s="59">
        <f t="shared" si="46"/>
        <v>119.00926870519527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2.2999999999999998</v>
      </c>
      <c r="FE19" s="12">
        <f>IF('Données projet'!$A$218&gt;35,FE18+FD19-FM18,IF(A19&lt;'Données projet'!$A$218,$FB$205^A19,IF(A19='Données projet'!$A$218,'Données projet'!$B$218,FE18+FD19-FM18)))</f>
        <v>21.389777418892088</v>
      </c>
      <c r="FF19" s="17">
        <f>FE19*VLOOKUP('Données projet'!$B$16,Paramètres!$A$1:$I$89,3,0)*VLOOKUP('Données projet'!$B$16,Paramètres!$A$1:$I$89,5,0)</f>
        <v>10.288482938487094</v>
      </c>
      <c r="FG19" s="13">
        <f t="shared" si="47"/>
        <v>3.6146454946816244</v>
      </c>
      <c r="FH19" s="20">
        <f t="shared" si="22"/>
        <v>24.214615354435519</v>
      </c>
      <c r="FI19" s="59">
        <f t="shared" si="23"/>
        <v>317.54794868776884</v>
      </c>
      <c r="FJ19" s="59">
        <f ca="1">AVERAGE(OFFSET($FI$3,0,0,'Données projet'!$E$16+1,1))-AVERAGE(OFFSET($H$3,0,0,'Données projet'!$E$16+1,1))</f>
        <v>197.66963254934603</v>
      </c>
      <c r="FK19" s="59">
        <f t="shared" si="48"/>
        <v>158.08388141976138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3.1</v>
      </c>
      <c r="FZ19" s="12">
        <f>IF('Données projet'!$A$244&gt;35,FZ18+FY19-GH18,IF(A19&lt;'Données projet'!$A$244,$FW$205^A19,IF(A19='Données projet'!$A$244,'Données projet'!$B$244,FZ18+FY19-GH18)))</f>
        <v>27.158973516583817</v>
      </c>
      <c r="GA19" s="17">
        <f>FZ19*VLOOKUP('Données projet'!$B$17,Paramètres!$A$1:$I$89,3,0)*VLOOKUP('Données projet'!$B$17,Paramètres!$A$1:$I$89,5,0)</f>
        <v>16.241066162917125</v>
      </c>
      <c r="GB19" s="13">
        <f t="shared" si="49"/>
        <v>5.4106702697792288</v>
      </c>
      <c r="GC19" s="20">
        <f t="shared" si="25"/>
        <v>37.71010762027948</v>
      </c>
      <c r="GD19" s="59">
        <f t="shared" si="26"/>
        <v>331.04344095361279</v>
      </c>
      <c r="GE19" s="59">
        <f ca="1">AVERAGE(OFFSET($GD$3,0,0,'Données projet'!$E$17+1,1))-AVERAGE(OFFSET($H$3,0,0,'Données projet'!$E$17+1,1))</f>
        <v>165.39579887388538</v>
      </c>
      <c r="GF19" s="59">
        <f t="shared" si="50"/>
        <v>155.89639262545802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1.2</v>
      </c>
      <c r="GU19" s="12">
        <f>IF('Données projet'!$A$270&gt;35,GU18+GT19-HC18,IF(A19&lt;'Données projet'!$A$270,$GR$205^A19,IF(A19='Données projet'!$A$270,'Données projet'!$B$270,GU18+GT19-HC18)))</f>
        <v>8.8177463744060987</v>
      </c>
      <c r="GV19" s="17">
        <f>GU19*VLOOKUP('Données projet'!$B$18,Paramètres!$A$1:$I$89,3,0)*VLOOKUP('Données projet'!$B$18,Paramètres!$A$1:$I$89,5,0)</f>
        <v>9.4914221974107242</v>
      </c>
      <c r="GW19" s="13">
        <f t="shared" si="51"/>
        <v>3.3660610972935361</v>
      </c>
      <c r="GX19" s="20">
        <f t="shared" si="28"/>
        <v>22.393450071609919</v>
      </c>
      <c r="GY19" s="59">
        <f t="shared" si="29"/>
        <v>315.72678340494326</v>
      </c>
      <c r="GZ19" s="59">
        <f ca="1">AVERAGE(OFFSET($GY$3,0,0,'Données projet'!$E$18+1,1))-AVERAGE(OFFSET($H$3,0,0,'Données projet'!$E$18+1,1))</f>
        <v>186.60545265015247</v>
      </c>
      <c r="HA19" s="59">
        <f t="shared" si="52"/>
        <v>69.239647548491234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12.6</v>
      </c>
      <c r="N20" s="13">
        <f>IF('Données projet'!$A$36&gt;35,N19+M20-V19,IF(A20&lt;'Données projet'!$A$36,$K$205^A20,IF(A20='Données projet'!$A$36,'Données projet'!$B$36,N19+M20-V19)))</f>
        <v>57.2</v>
      </c>
      <c r="O20" s="13">
        <f>N20*VLOOKUP('Données projet'!$B$9,Paramètres!$A$1:$I$89,3,0)*VLOOKUP('Données projet'!$B$9,Paramètres!$A$1:$I$89,5,0)</f>
        <v>31.974800000000002</v>
      </c>
      <c r="P20" s="13">
        <f t="shared" si="33"/>
        <v>9.8446497456819966</v>
      </c>
      <c r="Q20" s="20">
        <f t="shared" si="2"/>
        <v>72.835541640396144</v>
      </c>
      <c r="R20" s="59">
        <f t="shared" si="0"/>
        <v>366.16887497372943</v>
      </c>
      <c r="S20" s="59">
        <f ca="1">AVERAGE(OFFSET($R$3,0,0,'Données projet'!$E$9+1,1))-AVERAGE(OFFSET($H$3,0,0,'Données projet'!$E$9+1,1))</f>
        <v>235.10258076192054</v>
      </c>
      <c r="T20" s="59">
        <f t="shared" si="34"/>
        <v>233.47316052603765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11.4</v>
      </c>
      <c r="AI20" s="13">
        <f>IF('Données projet'!$A$62&gt;35,AI19+AH20-AQ19,IF(A20&lt;'Données projet'!$A$62,$AF$205^A20,IF(A20='Données projet'!$A$62,'Données projet'!$B$62,AI19+AH20-AQ19)))</f>
        <v>102.80000000000001</v>
      </c>
      <c r="AJ20" s="13">
        <f>AI20*VLOOKUP('Données projet'!$B$10,Paramètres!$A$1:$I$89,3,0)*VLOOKUP('Données projet'!$B$10,Paramètres!$A$1:$I$89,5,0)</f>
        <v>56.128800000000005</v>
      </c>
      <c r="AK20" s="13">
        <f t="shared" si="35"/>
        <v>16.185741500564642</v>
      </c>
      <c r="AL20" s="20">
        <f t="shared" si="4"/>
        <v>125.94782644681675</v>
      </c>
      <c r="AM20" s="59">
        <f t="shared" si="5"/>
        <v>419.28115978015006</v>
      </c>
      <c r="AN20" s="59">
        <f ca="1">AVERAGE(OFFSET($AM$3,0,0,'Données projet'!$E$10+1,1))-AVERAGE(OFFSET($H$3,0,0,'Données projet'!$E$10+1,1))</f>
        <v>168.72306536277267</v>
      </c>
      <c r="AO20" s="59">
        <f t="shared" si="36"/>
        <v>203.35476578922339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3.1</v>
      </c>
      <c r="BD20" s="12">
        <f>IF('Données projet'!$A$88&gt;35,BD19+BC20-BL19,IF(A20&lt;'Données projet'!$A$88,$BA$205^A20,IF(A20='Données projet'!$A$88,'Données projet'!$B$88,BD19+BC20-BL19)))</f>
        <v>33.383582168439972</v>
      </c>
      <c r="BE20" s="13">
        <f>BD20*VLOOKUP('Données projet'!$B$11,Paramètres!$A$1:$I$89,3,0)*VLOOKUP('Données projet'!$B$11,Paramètres!$A$1:$I$89,5,0)</f>
        <v>19.963382136727105</v>
      </c>
      <c r="BF20" s="13">
        <f t="shared" si="37"/>
        <v>6.492903277017275</v>
      </c>
      <c r="BG20" s="20">
        <f t="shared" si="7"/>
        <v>46.078030428938128</v>
      </c>
      <c r="BH20" s="59">
        <f t="shared" si="8"/>
        <v>339.41136376227144</v>
      </c>
      <c r="BI20" s="59">
        <f ca="1">AVERAGE(OFFSET($BH$3,0,0,'Données projet'!$E$11+1,1))-AVERAGE(OFFSET($H$3,0,0,'Données projet'!$E$11+1,1))</f>
        <v>165.39579887388538</v>
      </c>
      <c r="BJ20" s="59">
        <f t="shared" si="38"/>
        <v>155.89639262545802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1.2</v>
      </c>
      <c r="BY20" s="12">
        <f>IF('Données projet'!$A$114&gt;35,BY19+BX20-CG19,IF(A20&lt;'Données projet'!$A$114,$BV$205^A20,IF(A20='Données projet'!$A$114,'Données projet'!$B$114,BY19+BX20-CG19)))</f>
        <v>10.102816228956828</v>
      </c>
      <c r="BZ20" s="13">
        <f>BY20*VLOOKUP('Données projet'!$B$12,Paramètres!$A$1:$I$89,3,0)*VLOOKUP('Données projet'!$B$12,Paramètres!$A$1:$I$89,5,0)</f>
        <v>9.7714438566470445</v>
      </c>
      <c r="CA20" s="13">
        <f t="shared" si="39"/>
        <v>3.4536602211941068</v>
      </c>
      <c r="CB20" s="20">
        <f t="shared" si="10"/>
        <v>23.033722935573341</v>
      </c>
      <c r="CC20" s="59">
        <f t="shared" si="11"/>
        <v>316.36705626890665</v>
      </c>
      <c r="CD20" s="59">
        <f ca="1">AVERAGE(OFFSET($CC$3,0,0,'Données projet'!$E$12+1,1))-AVERAGE(OFFSET($H$3,0,0,'Données projet'!$E$12+1,1))</f>
        <v>156.26368818265388</v>
      </c>
      <c r="CE20" s="59">
        <f t="shared" si="40"/>
        <v>56.347130462109817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1.2</v>
      </c>
      <c r="CT20" s="12">
        <f>IF('Données projet'!$A$140&gt;35,CT19+CS20-DB19,IF(A20&lt;'Données projet'!$A$140,$CQ$205^A20,IF(A20='Données projet'!$A$140,'Données projet'!$B$140,CT19+CS20-DB19)))</f>
        <v>10.102816228956828</v>
      </c>
      <c r="CU20" s="17">
        <f>CT20*VLOOKUP('Données projet'!$B$13,Paramètres!$A$1:$I$89,3,0)*VLOOKUP('Données projet'!$B$13,Paramètres!$A$1:$I$89,5,0)</f>
        <v>8.1954045249297796</v>
      </c>
      <c r="CV20" s="13">
        <f t="shared" si="41"/>
        <v>2.9565339206047851</v>
      </c>
      <c r="CW20" s="20">
        <f t="shared" si="13"/>
        <v>19.422959459306036</v>
      </c>
      <c r="CX20" s="59">
        <f t="shared" si="14"/>
        <v>312.75629279263933</v>
      </c>
      <c r="CY20" s="59">
        <f ca="1">AVERAGE(OFFSET($CX$3,0,0,'Données projet'!$E$13+1,1))-AVERAGE(OFFSET($H$3,0,0,'Données projet'!$E$13+1,1))</f>
        <v>112.78807760743126</v>
      </c>
      <c r="CZ20" s="59">
        <f t="shared" si="42"/>
        <v>37.867745922003564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2.85</v>
      </c>
      <c r="DO20" s="12">
        <f>IF('Données projet'!$A$166&gt;35,DO19+DN20-DW19,IF(A20&lt;'Données projet'!$A$166,$DL$205^A20,IF(A20='Données projet'!$A$166,'Données projet'!$B$166,DO19+DN20-DW19)))</f>
        <v>31.080902954246678</v>
      </c>
      <c r="DP20" s="17">
        <f>DO20*VLOOKUP('Données projet'!$B$14,Paramètres!$A$1:$I$89,3,0)*VLOOKUP('Données projet'!$B$14,Paramètres!$A$1:$I$89,5,0)</f>
        <v>20.849069701708672</v>
      </c>
      <c r="DQ20" s="13">
        <f t="shared" si="43"/>
        <v>6.7467878852710115</v>
      </c>
      <c r="DR20" s="20">
        <f t="shared" si="16"/>
        <v>48.062785297322939</v>
      </c>
      <c r="DS20" s="59">
        <f t="shared" si="17"/>
        <v>341.39611863065625</v>
      </c>
      <c r="DT20" s="59">
        <f ca="1">AVERAGE(OFFSET($DS$3,0,0,'Données projet'!$E$14+1,1))-AVERAGE(OFFSET($H$3,0,0,'Données projet'!$E$14+1,1))</f>
        <v>107.15837202366862</v>
      </c>
      <c r="DU20" s="59">
        <f t="shared" si="44"/>
        <v>139.67031833740026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5.75</v>
      </c>
      <c r="EJ20" s="12">
        <f>IF('Données projet'!$A$192&gt;35,EJ19+EI20-ER19,IF(A20&lt;'Données projet'!$A$192,$EG$205^A20,IF(A20='Données projet'!$A$192,'Données projet'!$B$192,EJ19+EI20-ER19)))</f>
        <v>56.440800444763006</v>
      </c>
      <c r="EK20" s="17">
        <f>EJ20*VLOOKUP('Données projet'!$B$15,Paramètres!$A$1:$I$89,3,0)*VLOOKUP('Données projet'!$B$15,Paramètres!$A$1:$I$89,5,0)</f>
        <v>26.414294608149088</v>
      </c>
      <c r="EL20" s="13">
        <f t="shared" si="45"/>
        <v>8.3155124979120405</v>
      </c>
      <c r="EM20" s="20">
        <f t="shared" si="19"/>
        <v>60.487747376389791</v>
      </c>
      <c r="EN20" s="59">
        <f t="shared" si="20"/>
        <v>353.82108070972311</v>
      </c>
      <c r="EO20" s="59">
        <f ca="1">AVERAGE(OFFSET($EN$3,0,0,'Données projet'!$E$15+1,1))-AVERAGE(OFFSET($H$3,0,0,'Données projet'!$E$15+1,1))</f>
        <v>123.60520571614535</v>
      </c>
      <c r="EP20" s="59">
        <f t="shared" si="46"/>
        <v>119.00926870519527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2.2999999999999998</v>
      </c>
      <c r="FE20" s="12">
        <f>IF('Données projet'!$A$218&gt;35,FE19+FD20-FM19,IF(A20&lt;'Données projet'!$A$218,$FB$205^A20,IF(A20='Données projet'!$A$218,'Données projet'!$B$218,FE19+FD20-FM19)))</f>
        <v>25.902647589548934</v>
      </c>
      <c r="FF20" s="17">
        <f>FE20*VLOOKUP('Données projet'!$B$16,Paramètres!$A$1:$I$89,3,0)*VLOOKUP('Données projet'!$B$16,Paramètres!$A$1:$I$89,5,0)</f>
        <v>12.459173490573038</v>
      </c>
      <c r="FG20" s="13">
        <f t="shared" si="47"/>
        <v>4.2808139322671606</v>
      </c>
      <c r="FH20" s="20">
        <f t="shared" si="22"/>
        <v>29.155478094780012</v>
      </c>
      <c r="FI20" s="59">
        <f t="shared" si="23"/>
        <v>322.48881142811331</v>
      </c>
      <c r="FJ20" s="59">
        <f ca="1">AVERAGE(OFFSET($FI$3,0,0,'Données projet'!$E$16+1,1))-AVERAGE(OFFSET($H$3,0,0,'Données projet'!$E$16+1,1))</f>
        <v>197.66963254934603</v>
      </c>
      <c r="FK20" s="59">
        <f t="shared" si="48"/>
        <v>158.08388141976138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3.1</v>
      </c>
      <c r="FZ20" s="12">
        <f>IF('Données projet'!$A$244&gt;35,FZ19+FY20-GH19,IF(A20&lt;'Données projet'!$A$244,$FW$205^A20,IF(A20='Données projet'!$A$244,'Données projet'!$B$244,FZ19+FY20-GH19)))</f>
        <v>33.383582168439972</v>
      </c>
      <c r="GA20" s="17">
        <f>FZ20*VLOOKUP('Données projet'!$B$17,Paramètres!$A$1:$I$89,3,0)*VLOOKUP('Données projet'!$B$17,Paramètres!$A$1:$I$89,5,0)</f>
        <v>19.963382136727105</v>
      </c>
      <c r="GB20" s="13">
        <f t="shared" si="49"/>
        <v>6.492903277017275</v>
      </c>
      <c r="GC20" s="20">
        <f t="shared" si="25"/>
        <v>46.078030428938128</v>
      </c>
      <c r="GD20" s="59">
        <f t="shared" si="26"/>
        <v>339.41136376227144</v>
      </c>
      <c r="GE20" s="59">
        <f ca="1">AVERAGE(OFFSET($GD$3,0,0,'Données projet'!$E$17+1,1))-AVERAGE(OFFSET($H$3,0,0,'Données projet'!$E$17+1,1))</f>
        <v>165.39579887388538</v>
      </c>
      <c r="GF20" s="59">
        <f t="shared" si="50"/>
        <v>155.89639262545802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1.2</v>
      </c>
      <c r="GU20" s="12">
        <f>IF('Données projet'!$A$270&gt;35,GU19+GT20-HC19,IF(A20&lt;'Données projet'!$A$270,$GR$205^A20,IF(A20='Données projet'!$A$270,'Données projet'!$B$270,GU19+GT20-HC19)))</f>
        <v>10.102816228956828</v>
      </c>
      <c r="GV20" s="17">
        <f>GU20*VLOOKUP('Données projet'!$B$18,Paramètres!$A$1:$I$89,3,0)*VLOOKUP('Données projet'!$B$18,Paramètres!$A$1:$I$89,5,0)</f>
        <v>10.874671388849128</v>
      </c>
      <c r="GW20" s="13">
        <f t="shared" si="51"/>
        <v>3.7960276593470508</v>
      </c>
      <c r="GX20" s="20">
        <f t="shared" si="28"/>
        <v>25.551467508941673</v>
      </c>
      <c r="GY20" s="59">
        <f t="shared" si="29"/>
        <v>318.88480084227501</v>
      </c>
      <c r="GZ20" s="59">
        <f ca="1">AVERAGE(OFFSET($GY$3,0,0,'Données projet'!$E$18+1,1))-AVERAGE(OFFSET($H$3,0,0,'Données projet'!$E$18+1,1))</f>
        <v>186.60545265015247</v>
      </c>
      <c r="HA20" s="59">
        <f t="shared" si="52"/>
        <v>69.239647548491234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12.6</v>
      </c>
      <c r="N21" s="13">
        <f>IF('Données projet'!$A$36&gt;35,N20+M21-V20,IF(A21&lt;'Données projet'!$A$36,$K$205^A21,IF(A21='Données projet'!$A$36,'Données projet'!$B$36,N20+M21-V20)))</f>
        <v>69.8</v>
      </c>
      <c r="O21" s="13">
        <f>N21*VLOOKUP('Données projet'!$B$9,Paramètres!$A$1:$I$89,3,0)*VLOOKUP('Données projet'!$B$9,Paramètres!$A$1:$I$89,5,0)</f>
        <v>39.0182</v>
      </c>
      <c r="P21" s="13">
        <f t="shared" si="33"/>
        <v>11.738045530221873</v>
      </c>
      <c r="Q21" s="20">
        <f t="shared" si="2"/>
        <v>88.400460965136418</v>
      </c>
      <c r="R21" s="59">
        <f t="shared" si="0"/>
        <v>381.73379429846972</v>
      </c>
      <c r="S21" s="59">
        <f ca="1">AVERAGE(OFFSET($R$3,0,0,'Données projet'!$E$9+1,1))-AVERAGE(OFFSET($H$3,0,0,'Données projet'!$E$9+1,1))</f>
        <v>235.10258076192054</v>
      </c>
      <c r="T21" s="59">
        <f t="shared" si="34"/>
        <v>233.47316052603765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11.4</v>
      </c>
      <c r="AI21" s="13">
        <f>IF('Données projet'!$A$62&gt;35,AI20+AH21-AQ20,IF(A21&lt;'Données projet'!$A$62,$AF$205^A21,IF(A21='Données projet'!$A$62,'Données projet'!$B$62,AI20+AH21-AQ20)))</f>
        <v>114.20000000000002</v>
      </c>
      <c r="AJ21" s="13">
        <f>AI21*VLOOKUP('Données projet'!$B$10,Paramètres!$A$1:$I$89,3,0)*VLOOKUP('Données projet'!$B$10,Paramètres!$A$1:$I$89,5,0)</f>
        <v>62.353200000000008</v>
      </c>
      <c r="AK21" s="13">
        <f t="shared" si="35"/>
        <v>17.761893159201268</v>
      </c>
      <c r="AL21" s="20">
        <f t="shared" si="4"/>
        <v>139.53378725227557</v>
      </c>
      <c r="AM21" s="59">
        <f t="shared" si="5"/>
        <v>432.86712058560886</v>
      </c>
      <c r="AN21" s="59">
        <f ca="1">AVERAGE(OFFSET($AM$3,0,0,'Données projet'!$E$10+1,1))-AVERAGE(OFFSET($H$3,0,0,'Données projet'!$E$10+1,1))</f>
        <v>168.72306536277267</v>
      </c>
      <c r="AO21" s="59">
        <f t="shared" si="36"/>
        <v>203.35476578922339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3.1</v>
      </c>
      <c r="BD21" s="12">
        <f>IF('Données projet'!$A$88&gt;35,BD20+BC21-BL20,IF(A21&lt;'Données projet'!$A$88,$BA$205^A21,IF(A21='Données projet'!$A$88,'Données projet'!$B$88,BD20+BC21-BL20)))</f>
        <v>41.034818849706127</v>
      </c>
      <c r="BE21" s="13">
        <f>BD21*VLOOKUP('Données projet'!$B$11,Paramètres!$A$1:$I$89,3,0)*VLOOKUP('Données projet'!$B$11,Paramètres!$A$1:$I$89,5,0)</f>
        <v>24.538821672124264</v>
      </c>
      <c r="BF21" s="13">
        <f t="shared" si="37"/>
        <v>7.7916026781690766</v>
      </c>
      <c r="BG21" s="20">
        <f t="shared" si="7"/>
        <v>56.30882241009423</v>
      </c>
      <c r="BH21" s="59">
        <f t="shared" si="8"/>
        <v>349.64215574342757</v>
      </c>
      <c r="BI21" s="59">
        <f ca="1">AVERAGE(OFFSET($BH$3,0,0,'Données projet'!$E$11+1,1))-AVERAGE(OFFSET($H$3,0,0,'Données projet'!$E$11+1,1))</f>
        <v>165.39579887388538</v>
      </c>
      <c r="BJ21" s="59">
        <f t="shared" si="38"/>
        <v>155.89639262545802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1.2</v>
      </c>
      <c r="BY21" s="12">
        <f>IF('Données projet'!$A$114&gt;35,BY20+BX21-CG20,IF(A21&lt;'Données projet'!$A$114,$BV$205^A21,IF(A21='Données projet'!$A$114,'Données projet'!$B$114,BY20+BX21-CG20)))</f>
        <v>11.575168010312384</v>
      </c>
      <c r="BZ21" s="13">
        <f>BY21*VLOOKUP('Données projet'!$B$12,Paramètres!$A$1:$I$89,3,0)*VLOOKUP('Données projet'!$B$12,Paramètres!$A$1:$I$89,5,0)</f>
        <v>11.195502499574138</v>
      </c>
      <c r="CA21" s="13">
        <f t="shared" si="39"/>
        <v>3.8948163288481799</v>
      </c>
      <c r="CB21" s="20">
        <f t="shared" si="10"/>
        <v>26.282305292835535</v>
      </c>
      <c r="CC21" s="59">
        <f t="shared" si="11"/>
        <v>319.61563862616885</v>
      </c>
      <c r="CD21" s="59">
        <f ca="1">AVERAGE(OFFSET($CC$3,0,0,'Données projet'!$E$12+1,1))-AVERAGE(OFFSET($H$3,0,0,'Données projet'!$E$12+1,1))</f>
        <v>156.26368818265388</v>
      </c>
      <c r="CE21" s="59">
        <f t="shared" si="40"/>
        <v>56.347130462109817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1.2</v>
      </c>
      <c r="CT21" s="12">
        <f>IF('Données projet'!$A$140&gt;35,CT20+CS21-DB20,IF(A21&lt;'Données projet'!$A$140,$CQ$205^A21,IF(A21='Données projet'!$A$140,'Données projet'!$B$140,CT20+CS21-DB20)))</f>
        <v>11.575168010312384</v>
      </c>
      <c r="CU21" s="17">
        <f>CT21*VLOOKUP('Données projet'!$B$13,Paramètres!$A$1:$I$89,3,0)*VLOOKUP('Données projet'!$B$13,Paramètres!$A$1:$I$89,5,0)</f>
        <v>9.3897762899654058</v>
      </c>
      <c r="CV21" s="13">
        <f t="shared" si="41"/>
        <v>3.3341891944377977</v>
      </c>
      <c r="CW21" s="20">
        <f t="shared" si="13"/>
        <v>22.160906552002245</v>
      </c>
      <c r="CX21" s="59">
        <f t="shared" si="14"/>
        <v>315.49423988533556</v>
      </c>
      <c r="CY21" s="59">
        <f ca="1">AVERAGE(OFFSET($CX$3,0,0,'Données projet'!$E$13+1,1))-AVERAGE(OFFSET($H$3,0,0,'Données projet'!$E$13+1,1))</f>
        <v>112.78807760743126</v>
      </c>
      <c r="CZ21" s="59">
        <f t="shared" si="42"/>
        <v>37.867745922003564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2.85</v>
      </c>
      <c r="DO21" s="12">
        <f>IF('Données projet'!$A$166&gt;35,DO20+DN21-DW20,IF(A21&lt;'Données projet'!$A$166,$DL$205^A21,IF(A21='Données projet'!$A$166,'Données projet'!$B$166,DO20+DN21-DW20)))</f>
        <v>38.044104865803838</v>
      </c>
      <c r="DP21" s="17">
        <f>DO21*VLOOKUP('Données projet'!$B$14,Paramètres!$A$1:$I$89,3,0)*VLOOKUP('Données projet'!$B$14,Paramètres!$A$1:$I$89,5,0)</f>
        <v>25.519985543981218</v>
      </c>
      <c r="DQ21" s="13">
        <f t="shared" si="43"/>
        <v>8.066248689389381</v>
      </c>
      <c r="DR21" s="20">
        <f t="shared" si="16"/>
        <v>58.496024623120455</v>
      </c>
      <c r="DS21" s="59">
        <f t="shared" si="17"/>
        <v>351.82935795645375</v>
      </c>
      <c r="DT21" s="59">
        <f ca="1">AVERAGE(OFFSET($DS$3,0,0,'Données projet'!$E$14+1,1))-AVERAGE(OFFSET($H$3,0,0,'Données projet'!$E$14+1,1))</f>
        <v>107.15837202366862</v>
      </c>
      <c r="DU21" s="59">
        <f t="shared" si="44"/>
        <v>139.67031833740026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5.75</v>
      </c>
      <c r="EJ21" s="12">
        <f>IF('Données projet'!$A$192&gt;35,EJ20+EI21-ER20,IF(A21&lt;'Données projet'!$A$192,$EG$205^A21,IF(A21='Données projet'!$A$192,'Données projet'!$B$192,EJ20+EI21-ER20)))</f>
        <v>71.55303446582019</v>
      </c>
      <c r="EK21" s="17">
        <f>EJ21*VLOOKUP('Données projet'!$B$15,Paramètres!$A$1:$I$89,3,0)*VLOOKUP('Données projet'!$B$15,Paramètres!$A$1:$I$89,5,0)</f>
        <v>33.486820130003849</v>
      </c>
      <c r="EL21" s="13">
        <f t="shared" si="45"/>
        <v>10.254881616957807</v>
      </c>
      <c r="EM21" s="20">
        <f t="shared" si="19"/>
        <v>76.183463875958196</v>
      </c>
      <c r="EN21" s="59">
        <f t="shared" si="20"/>
        <v>369.5167972092915</v>
      </c>
      <c r="EO21" s="59">
        <f ca="1">AVERAGE(OFFSET($EN$3,0,0,'Données projet'!$E$15+1,1))-AVERAGE(OFFSET($H$3,0,0,'Données projet'!$E$15+1,1))</f>
        <v>123.60520571614535</v>
      </c>
      <c r="EP21" s="59">
        <f t="shared" si="46"/>
        <v>119.00926870519527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2.2999999999999998</v>
      </c>
      <c r="FE21" s="12">
        <f>IF('Données projet'!$A$218&gt;35,FE20+FD21-FM20,IF(A21&lt;'Données projet'!$A$218,$FB$205^A21,IF(A21='Données projet'!$A$218,'Données projet'!$B$218,FE20+FD21-FM20)))</f>
        <v>31.367654698256221</v>
      </c>
      <c r="FF21" s="17">
        <f>FE21*VLOOKUP('Données projet'!$B$16,Paramètres!$A$1:$I$89,3,0)*VLOOKUP('Données projet'!$B$16,Paramètres!$A$1:$I$89,5,0)</f>
        <v>15.087841909861243</v>
      </c>
      <c r="FG21" s="13">
        <f t="shared" si="47"/>
        <v>5.0697552359299127</v>
      </c>
      <c r="FH21" s="20">
        <f t="shared" si="22"/>
        <v>35.107815028919596</v>
      </c>
      <c r="FI21" s="59">
        <f t="shared" si="23"/>
        <v>328.44114836225293</v>
      </c>
      <c r="FJ21" s="59">
        <f ca="1">AVERAGE(OFFSET($FI$3,0,0,'Données projet'!$E$16+1,1))-AVERAGE(OFFSET($H$3,0,0,'Données projet'!$E$16+1,1))</f>
        <v>197.66963254934603</v>
      </c>
      <c r="FK21" s="59">
        <f t="shared" si="48"/>
        <v>158.08388141976138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3.1</v>
      </c>
      <c r="FZ21" s="12">
        <f>IF('Données projet'!$A$244&gt;35,FZ20+FY21-GH20,IF(A21&lt;'Données projet'!$A$244,$FW$205^A21,IF(A21='Données projet'!$A$244,'Données projet'!$B$244,FZ20+FY21-GH20)))</f>
        <v>41.034818849706127</v>
      </c>
      <c r="GA21" s="17">
        <f>FZ21*VLOOKUP('Données projet'!$B$17,Paramètres!$A$1:$I$89,3,0)*VLOOKUP('Données projet'!$B$17,Paramètres!$A$1:$I$89,5,0)</f>
        <v>24.538821672124264</v>
      </c>
      <c r="GB21" s="13">
        <f t="shared" si="49"/>
        <v>7.7916026781690766</v>
      </c>
      <c r="GC21" s="20">
        <f t="shared" si="25"/>
        <v>56.30882241009423</v>
      </c>
      <c r="GD21" s="59">
        <f t="shared" si="26"/>
        <v>349.64215574342757</v>
      </c>
      <c r="GE21" s="59">
        <f ca="1">AVERAGE(OFFSET($GD$3,0,0,'Données projet'!$E$17+1,1))-AVERAGE(OFFSET($H$3,0,0,'Données projet'!$E$17+1,1))</f>
        <v>165.39579887388538</v>
      </c>
      <c r="GF21" s="59">
        <f t="shared" si="50"/>
        <v>155.89639262545802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1.2</v>
      </c>
      <c r="GU21" s="12">
        <f>IF('Données projet'!$A$270&gt;35,GU20+GT21-HC20,IF(A21&lt;'Données projet'!$A$270,$GR$205^A21,IF(A21='Données projet'!$A$270,'Données projet'!$B$270,GU20+GT21-HC20)))</f>
        <v>11.575168010312384</v>
      </c>
      <c r="GV21" s="17">
        <f>GU21*VLOOKUP('Données projet'!$B$18,Paramètres!$A$1:$I$89,3,0)*VLOOKUP('Données projet'!$B$18,Paramètres!$A$1:$I$89,5,0)</f>
        <v>12.459510846300249</v>
      </c>
      <c r="GW21" s="13">
        <f t="shared" si="51"/>
        <v>4.2809163511957635</v>
      </c>
      <c r="GX21" s="20">
        <f t="shared" si="28"/>
        <v>29.156244035638881</v>
      </c>
      <c r="GY21" s="59">
        <f t="shared" si="29"/>
        <v>322.48957736897222</v>
      </c>
      <c r="GZ21" s="59">
        <f ca="1">AVERAGE(OFFSET($GY$3,0,0,'Données projet'!$E$18+1,1))-AVERAGE(OFFSET($H$3,0,0,'Données projet'!$E$18+1,1))</f>
        <v>186.60545265015247</v>
      </c>
      <c r="HA21" s="59">
        <f t="shared" si="52"/>
        <v>69.239647548491234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12.6</v>
      </c>
      <c r="N22" s="13">
        <f>IF('Données projet'!$A$36&gt;35,N21+M22-V21,IF(A22&lt;'Données projet'!$A$36,$K$205^A22,IF(A22='Données projet'!$A$36,'Données projet'!$B$36,N21+M22-V21)))</f>
        <v>82.399999999999991</v>
      </c>
      <c r="O22" s="13">
        <f>N22*VLOOKUP('Données projet'!$B$9,Paramètres!$A$1:$I$89,3,0)*VLOOKUP('Données projet'!$B$9,Paramètres!$A$1:$I$89,5,0)</f>
        <v>46.061599999999999</v>
      </c>
      <c r="P22" s="13">
        <f t="shared" si="33"/>
        <v>13.591845292116123</v>
      </c>
      <c r="Q22" s="20">
        <f t="shared" si="2"/>
        <v>103.89641721710223</v>
      </c>
      <c r="R22" s="59">
        <f t="shared" si="0"/>
        <v>397.22975055043554</v>
      </c>
      <c r="S22" s="59">
        <f ca="1">AVERAGE(OFFSET($R$3,0,0,'Données projet'!$E$9+1,1))-AVERAGE(OFFSET($H$3,0,0,'Données projet'!$E$9+1,1))</f>
        <v>235.10258076192054</v>
      </c>
      <c r="T22" s="59">
        <f t="shared" si="34"/>
        <v>233.47316052603765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11.4</v>
      </c>
      <c r="AI22" s="13">
        <f>IF('Données projet'!$A$62&gt;35,AI21+AH22-AQ21,IF(A22&lt;'Données projet'!$A$62,$AF$205^A22,IF(A22='Données projet'!$A$62,'Données projet'!$B$62,AI21+AH22-AQ21)))</f>
        <v>125.60000000000002</v>
      </c>
      <c r="AJ22" s="13">
        <f>AI22*VLOOKUP('Données projet'!$B$10,Paramètres!$A$1:$I$89,3,0)*VLOOKUP('Données projet'!$B$10,Paramètres!$A$1:$I$89,5,0)</f>
        <v>68.577600000000018</v>
      </c>
      <c r="AK22" s="13">
        <f t="shared" si="35"/>
        <v>19.319804585752038</v>
      </c>
      <c r="AL22" s="20">
        <f t="shared" si="4"/>
        <v>153.08797965351815</v>
      </c>
      <c r="AM22" s="59">
        <f t="shared" si="5"/>
        <v>446.42131298685149</v>
      </c>
      <c r="AN22" s="59">
        <f ca="1">AVERAGE(OFFSET($AM$3,0,0,'Données projet'!$E$10+1,1))-AVERAGE(OFFSET($H$3,0,0,'Données projet'!$E$10+1,1))</f>
        <v>168.72306536277267</v>
      </c>
      <c r="AO22" s="59">
        <f t="shared" si="36"/>
        <v>203.35476578922339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3.1</v>
      </c>
      <c r="BD22" s="12">
        <f>IF('Données projet'!$A$88&gt;35,BD21+BC22-BL21,IF(A22&lt;'Données projet'!$A$88,$BA$205^A22,IF(A22='Données projet'!$A$88,'Données projet'!$B$88,BD21+BC22-BL21)))</f>
        <v>50.43965472405398</v>
      </c>
      <c r="BE22" s="13">
        <f>BD22*VLOOKUP('Données projet'!$B$11,Paramètres!$A$1:$I$89,3,0)*VLOOKUP('Données projet'!$B$11,Paramètres!$A$1:$I$89,5,0)</f>
        <v>30.16291352498428</v>
      </c>
      <c r="BF22" s="13">
        <f t="shared" si="37"/>
        <v>9.3500657108726006</v>
      </c>
      <c r="BG22" s="20">
        <f t="shared" si="7"/>
        <v>68.818438835784079</v>
      </c>
      <c r="BH22" s="59">
        <f t="shared" si="8"/>
        <v>362.15177216911741</v>
      </c>
      <c r="BI22" s="59">
        <f ca="1">AVERAGE(OFFSET($BH$3,0,0,'Données projet'!$E$11+1,1))-AVERAGE(OFFSET($H$3,0,0,'Données projet'!$E$11+1,1))</f>
        <v>165.39579887388538</v>
      </c>
      <c r="BJ22" s="59">
        <f t="shared" si="38"/>
        <v>155.89639262545802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1.2</v>
      </c>
      <c r="BY22" s="12">
        <f>IF('Données projet'!$A$114&gt;35,BY21+BX22-CG21,IF(A22&lt;'Données projet'!$A$114,$BV$205^A22,IF(A22='Données projet'!$A$114,'Données projet'!$B$114,BY21+BX22-CG21)))</f>
        <v>13.262095581124292</v>
      </c>
      <c r="BZ22" s="13">
        <f>BY22*VLOOKUP('Données projet'!$B$12,Paramètres!$A$1:$I$89,3,0)*VLOOKUP('Données projet'!$B$12,Paramètres!$A$1:$I$89,5,0)</f>
        <v>12.827098846063416</v>
      </c>
      <c r="CA22" s="13">
        <f t="shared" si="39"/>
        <v>4.3923238720390128</v>
      </c>
      <c r="CB22" s="20">
        <f t="shared" si="10"/>
        <v>29.990494567361733</v>
      </c>
      <c r="CC22" s="59">
        <f t="shared" si="11"/>
        <v>323.32382790069505</v>
      </c>
      <c r="CD22" s="59">
        <f ca="1">AVERAGE(OFFSET($CC$3,0,0,'Données projet'!$E$12+1,1))-AVERAGE(OFFSET($H$3,0,0,'Données projet'!$E$12+1,1))</f>
        <v>156.26368818265388</v>
      </c>
      <c r="CE22" s="59">
        <f t="shared" si="40"/>
        <v>56.347130462109817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1.2</v>
      </c>
      <c r="CT22" s="12">
        <f>IF('Données projet'!$A$140&gt;35,CT21+CS22-DB21,IF(A22&lt;'Données projet'!$A$140,$CQ$205^A22,IF(A22='Données projet'!$A$140,'Données projet'!$B$140,CT21+CS22-DB21)))</f>
        <v>13.262095581124292</v>
      </c>
      <c r="CU22" s="17">
        <f>CT22*VLOOKUP('Données projet'!$B$13,Paramètres!$A$1:$I$89,3,0)*VLOOKUP('Données projet'!$B$13,Paramètres!$A$1:$I$89,5,0)</f>
        <v>10.758211935408028</v>
      </c>
      <c r="CV22" s="13">
        <f t="shared" si="41"/>
        <v>3.7600845729622896</v>
      </c>
      <c r="CW22" s="20">
        <f t="shared" si="13"/>
        <v>25.286033085411635</v>
      </c>
      <c r="CX22" s="59">
        <f t="shared" si="14"/>
        <v>318.61936641874496</v>
      </c>
      <c r="CY22" s="59">
        <f ca="1">AVERAGE(OFFSET($CX$3,0,0,'Données projet'!$E$13+1,1))-AVERAGE(OFFSET($H$3,0,0,'Données projet'!$E$13+1,1))</f>
        <v>112.78807760743126</v>
      </c>
      <c r="CZ22" s="59">
        <f t="shared" si="42"/>
        <v>37.867745922003564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2.85</v>
      </c>
      <c r="DO22" s="12">
        <f>IF('Données projet'!$A$166&gt;35,DO21+DN22-DW21,IF(A22&lt;'Données projet'!$A$166,$DL$205^A22,IF(A22='Données projet'!$A$166,'Données projet'!$B$166,DO21+DN22-DW21)))</f>
        <v>46.567305884609858</v>
      </c>
      <c r="DP22" s="17">
        <f>DO22*VLOOKUP('Données projet'!$B$14,Paramètres!$A$1:$I$89,3,0)*VLOOKUP('Données projet'!$B$14,Paramètres!$A$1:$I$89,5,0)</f>
        <v>31.237348787396293</v>
      </c>
      <c r="DQ22" s="13">
        <f t="shared" si="43"/>
        <v>9.6437547801256205</v>
      </c>
      <c r="DR22" s="20">
        <f t="shared" si="16"/>
        <v>71.201255380100662</v>
      </c>
      <c r="DS22" s="59">
        <f t="shared" si="17"/>
        <v>364.534588713434</v>
      </c>
      <c r="DT22" s="59">
        <f ca="1">AVERAGE(OFFSET($DS$3,0,0,'Données projet'!$E$14+1,1))-AVERAGE(OFFSET($H$3,0,0,'Données projet'!$E$14+1,1))</f>
        <v>107.15837202366862</v>
      </c>
      <c r="DU22" s="59">
        <f t="shared" si="44"/>
        <v>139.67031833740026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5.75</v>
      </c>
      <c r="EJ22" s="12">
        <f>IF('Données projet'!$A$192&gt;35,EJ21+EI22-ER21,IF(A22&lt;'Données projet'!$A$192,$EG$205^A22,IF(A22='Données projet'!$A$192,'Données projet'!$B$192,EJ21+EI22-ER21)))</f>
        <v>90.711625294497551</v>
      </c>
      <c r="EK22" s="17">
        <f>EJ22*VLOOKUP('Données projet'!$B$15,Paramètres!$A$1:$I$89,3,0)*VLOOKUP('Données projet'!$B$15,Paramètres!$A$1:$I$89,5,0)</f>
        <v>42.453040637824856</v>
      </c>
      <c r="EL22" s="13">
        <f t="shared" si="45"/>
        <v>12.646556301156998</v>
      </c>
      <c r="EM22" s="20">
        <f t="shared" si="19"/>
        <v>95.96513133539338</v>
      </c>
      <c r="EN22" s="59">
        <f t="shared" si="20"/>
        <v>389.29846466872669</v>
      </c>
      <c r="EO22" s="59">
        <f ca="1">AVERAGE(OFFSET($EN$3,0,0,'Données projet'!$E$15+1,1))-AVERAGE(OFFSET($H$3,0,0,'Données projet'!$E$15+1,1))</f>
        <v>123.60520571614535</v>
      </c>
      <c r="EP22" s="59">
        <f t="shared" si="46"/>
        <v>119.00926870519527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2.2999999999999998</v>
      </c>
      <c r="FE22" s="12">
        <f>IF('Données projet'!$A$218&gt;35,FE21+FD22-FM21,IF(A22&lt;'Données projet'!$A$218,$FB$205^A22,IF(A22='Données projet'!$A$218,'Données projet'!$B$218,FE21+FD22-FM21)))</f>
        <v>37.985683041374756</v>
      </c>
      <c r="FF22" s="17">
        <f>FE22*VLOOKUP('Données projet'!$B$16,Paramètres!$A$1:$I$89,3,0)*VLOOKUP('Données projet'!$B$16,Paramètres!$A$1:$I$89,5,0)</f>
        <v>18.271113542901258</v>
      </c>
      <c r="FG22" s="13">
        <f t="shared" si="47"/>
        <v>6.0040960805382415</v>
      </c>
      <c r="FH22" s="20">
        <f t="shared" si="22"/>
        <v>42.279323427490461</v>
      </c>
      <c r="FI22" s="59">
        <f t="shared" si="23"/>
        <v>335.61265676082377</v>
      </c>
      <c r="FJ22" s="59">
        <f ca="1">AVERAGE(OFFSET($FI$3,0,0,'Données projet'!$E$16+1,1))-AVERAGE(OFFSET($H$3,0,0,'Données projet'!$E$16+1,1))</f>
        <v>197.66963254934603</v>
      </c>
      <c r="FK22" s="59">
        <f t="shared" si="48"/>
        <v>158.08388141976138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3.1</v>
      </c>
      <c r="FZ22" s="12">
        <f>IF('Données projet'!$A$244&gt;35,FZ21+FY22-GH21,IF(A22&lt;'Données projet'!$A$244,$FW$205^A22,IF(A22='Données projet'!$A$244,'Données projet'!$B$244,FZ21+FY22-GH21)))</f>
        <v>50.43965472405398</v>
      </c>
      <c r="GA22" s="17">
        <f>FZ22*VLOOKUP('Données projet'!$B$17,Paramètres!$A$1:$I$89,3,0)*VLOOKUP('Données projet'!$B$17,Paramètres!$A$1:$I$89,5,0)</f>
        <v>30.16291352498428</v>
      </c>
      <c r="GB22" s="13">
        <f t="shared" si="49"/>
        <v>9.3500657108726006</v>
      </c>
      <c r="GC22" s="20">
        <f t="shared" si="25"/>
        <v>68.818438835784079</v>
      </c>
      <c r="GD22" s="59">
        <f t="shared" si="26"/>
        <v>362.15177216911741</v>
      </c>
      <c r="GE22" s="59">
        <f ca="1">AVERAGE(OFFSET($GD$3,0,0,'Données projet'!$E$17+1,1))-AVERAGE(OFFSET($H$3,0,0,'Données projet'!$E$17+1,1))</f>
        <v>165.39579887388538</v>
      </c>
      <c r="GF22" s="59">
        <f t="shared" si="50"/>
        <v>155.89639262545802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1.2</v>
      </c>
      <c r="GU22" s="12">
        <f>IF('Données projet'!$A$270&gt;35,GU21+GT22-HC21,IF(A22&lt;'Données projet'!$A$270,$GR$205^A22,IF(A22='Données projet'!$A$270,'Données projet'!$B$270,GU21+GT22-HC21)))</f>
        <v>13.262095581124292</v>
      </c>
      <c r="GV22" s="17">
        <f>GU22*VLOOKUP('Données projet'!$B$18,Paramètres!$A$1:$I$89,3,0)*VLOOKUP('Données projet'!$B$18,Paramètres!$A$1:$I$89,5,0)</f>
        <v>14.275319683522188</v>
      </c>
      <c r="GW22" s="13">
        <f t="shared" si="51"/>
        <v>4.8277426959232219</v>
      </c>
      <c r="GX22" s="20">
        <f t="shared" si="28"/>
        <v>33.271166977534087</v>
      </c>
      <c r="GY22" s="59">
        <f t="shared" si="29"/>
        <v>326.60450031086742</v>
      </c>
      <c r="GZ22" s="59">
        <f ca="1">AVERAGE(OFFSET($GY$3,0,0,'Données projet'!$E$18+1,1))-AVERAGE(OFFSET($H$3,0,0,'Données projet'!$E$18+1,1))</f>
        <v>186.60545265015247</v>
      </c>
      <c r="HA22" s="59">
        <f t="shared" si="52"/>
        <v>69.239647548491234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95</v>
      </c>
      <c r="L23" s="12">
        <f>VLOOKUP(A23,'Données projet'!$A$35:$I$55,9,0)</f>
        <v>12.6</v>
      </c>
      <c r="M23" s="12">
        <f t="array" ref="M23">INDEX(L:L,MIN(IF(ISNUMBER(L23:L219),ROW(L23:L219),"")))</f>
        <v>12.6</v>
      </c>
      <c r="N23" s="13">
        <f>IF('Données projet'!$A$36&gt;35,N22+M23-V22,IF(A23&lt;'Données projet'!$A$36,$K$205^A23,IF(A23='Données projet'!$A$36,'Données projet'!$B$36,N22+M23-V22)))</f>
        <v>94.999999999999986</v>
      </c>
      <c r="O23" s="13">
        <f>N23*VLOOKUP('Données projet'!$B$9,Paramètres!$A$1:$I$89,3,0)*VLOOKUP('Données projet'!$B$9,Paramètres!$A$1:$I$89,5,0)</f>
        <v>53.104999999999997</v>
      </c>
      <c r="P23" s="13">
        <f t="shared" si="33"/>
        <v>15.412806139971311</v>
      </c>
      <c r="Q23" s="20">
        <f t="shared" si="2"/>
        <v>119.33517902711669</v>
      </c>
      <c r="R23" s="59">
        <f t="shared" si="0"/>
        <v>412.66851236044999</v>
      </c>
      <c r="S23" s="59">
        <f ca="1">AVERAGE(OFFSET($R$3,0,0,'Données projet'!$E$9+1,1))-AVERAGE(OFFSET($H$3,0,0,'Données projet'!$E$9+1,1))</f>
        <v>235.10258076192054</v>
      </c>
      <c r="T23" s="59">
        <f t="shared" si="34"/>
        <v>233.47316052603765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20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4.0624637214493449</v>
      </c>
      <c r="AB23" s="21">
        <f>EXP(-LN(2)/2)*AB22+(1-EXP(-LN(2)/2))/(LN(2)/2)*V23*Y23*VLOOKUP('Données projet'!$B$9,Paramètres!$A$1:$I$89,3,0)*0.475*44/12</f>
        <v>6.3291785431729446</v>
      </c>
      <c r="AC23" s="22">
        <f t="shared" si="3"/>
        <v>10.391642264622289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137</v>
      </c>
      <c r="AG23" s="12">
        <f>VLOOKUP(A23,'Données projet'!$A$61:$I$81,9,0)</f>
        <v>11.4</v>
      </c>
      <c r="AH23" s="12">
        <f t="array" ref="AH23">INDEX(AG:AG,MIN(IF(ISNUMBER(AG23:AG219),ROW(AG23:AG219),"")))</f>
        <v>11.4</v>
      </c>
      <c r="AI23" s="13">
        <f>IF('Données projet'!$A$62&gt;35,AI22+AH23-AQ22,IF(A23&lt;'Données projet'!$A$62,$AF$205^A23,IF(A23='Données projet'!$A$62,'Données projet'!$B$62,AI22+AH23-AQ22)))</f>
        <v>137.00000000000003</v>
      </c>
      <c r="AJ23" s="13">
        <f>AI23*VLOOKUP('Données projet'!$B$10,Paramètres!$A$1:$I$89,3,0)*VLOOKUP('Données projet'!$B$10,Paramètres!$A$1:$I$89,5,0)</f>
        <v>74.802000000000021</v>
      </c>
      <c r="AK23" s="13">
        <f t="shared" si="35"/>
        <v>20.861319623408168</v>
      </c>
      <c r="AL23" s="20">
        <f t="shared" si="4"/>
        <v>166.61361501076925</v>
      </c>
      <c r="AM23" s="59">
        <f t="shared" si="5"/>
        <v>459.94694834410257</v>
      </c>
      <c r="AN23" s="59">
        <f ca="1">AVERAGE(OFFSET($AM$3,0,0,'Données projet'!$E$10+1,1))-AVERAGE(OFFSET($H$3,0,0,'Données projet'!$E$10+1,1))</f>
        <v>168.72306536277267</v>
      </c>
      <c r="AO23" s="59">
        <f t="shared" si="36"/>
        <v>203.35476578922339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57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12.336834861500714</v>
      </c>
      <c r="AW23" s="21">
        <f>EXP(-LN(2)/2)*AW22+(1-EXP(-LN(2)/2))/(LN(2)/2)*AQ23*AT23*VLOOKUP('Données projet'!$B$10,Paramètres!$A$1:$I$89,3,0)*0.475*44/12</f>
        <v>17.618666781809335</v>
      </c>
      <c r="AX23" s="21">
        <f t="shared" si="6"/>
        <v>29.95550164331005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62</v>
      </c>
      <c r="BB23" s="12">
        <f>VLOOKUP(A23,'Données projet'!$A$87:$I$107,9,0)</f>
        <v>3.1</v>
      </c>
      <c r="BC23" s="12">
        <f t="array" ref="BC23">INDEX(BB:BB,MIN(IF(ISNUMBER(BB23:BB219),ROW(BB23:BB219),"")))</f>
        <v>3.1</v>
      </c>
      <c r="BD23" s="12">
        <f>IF('Données projet'!$A$88&gt;35,BD22+BC23-BL22,IF(A23&lt;'Données projet'!$A$88,$BA$205^A23,IF(A23='Données projet'!$A$88,'Données projet'!$B$88,BD22+BC23-BL22)))</f>
        <v>62</v>
      </c>
      <c r="BE23" s="13">
        <f>BD23*VLOOKUP('Données projet'!$B$11,Paramètres!$A$1:$I$89,3,0)*VLOOKUP('Données projet'!$B$11,Paramètres!$A$1:$I$89,5,0)</f>
        <v>37.076000000000001</v>
      </c>
      <c r="BF23" s="13">
        <f t="shared" si="37"/>
        <v>11.220249852136831</v>
      </c>
      <c r="BG23" s="20">
        <f t="shared" si="7"/>
        <v>84.115968492471652</v>
      </c>
      <c r="BH23" s="59">
        <f t="shared" si="8"/>
        <v>377.44930182580498</v>
      </c>
      <c r="BI23" s="59">
        <f ca="1">AVERAGE(OFFSET($BH$3,0,0,'Données projet'!$E$11+1,1))-AVERAGE(OFFSET($H$3,0,0,'Données projet'!$E$11+1,1))</f>
        <v>165.39579887388538</v>
      </c>
      <c r="BJ23" s="59">
        <f t="shared" si="38"/>
        <v>155.89639262545802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1.2</v>
      </c>
      <c r="BY23" s="12">
        <f>IF('Données projet'!$A$114&gt;35,BY22+BX23-CG22,IF(A23&lt;'Données projet'!$A$114,$BV$205^A23,IF(A23='Données projet'!$A$114,'Données projet'!$B$114,BY22+BX23-CG22)))</f>
        <v>15.194870523363559</v>
      </c>
      <c r="BZ23" s="13">
        <f>BY23*VLOOKUP('Données projet'!$B$12,Paramètres!$A$1:$I$89,3,0)*VLOOKUP('Données projet'!$B$12,Paramètres!$A$1:$I$89,5,0)</f>
        <v>14.696478770197235</v>
      </c>
      <c r="CA23" s="13">
        <f t="shared" si="39"/>
        <v>4.9533809473858224</v>
      </c>
      <c r="CB23" s="20">
        <f t="shared" si="10"/>
        <v>34.223505674790481</v>
      </c>
      <c r="CC23" s="59">
        <f t="shared" si="11"/>
        <v>327.5568390081238</v>
      </c>
      <c r="CD23" s="59">
        <f ca="1">AVERAGE(OFFSET($CC$3,0,0,'Données projet'!$E$12+1,1))-AVERAGE(OFFSET($H$3,0,0,'Données projet'!$E$12+1,1))</f>
        <v>156.26368818265388</v>
      </c>
      <c r="CE23" s="59">
        <f t="shared" si="40"/>
        <v>56.347130462109817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1.2</v>
      </c>
      <c r="CT23" s="12">
        <f>IF('Données projet'!$A$140&gt;35,CT22+CS23-DB22,IF(A23&lt;'Données projet'!$A$140,$CQ$205^A23,IF(A23='Données projet'!$A$140,'Données projet'!$B$140,CT22+CS23-DB22)))</f>
        <v>15.194870523363559</v>
      </c>
      <c r="CU23" s="17">
        <f>CT23*VLOOKUP('Données projet'!$B$13,Paramètres!$A$1:$I$89,3,0)*VLOOKUP('Données projet'!$B$13,Paramètres!$A$1:$I$89,5,0)</f>
        <v>12.326078968552521</v>
      </c>
      <c r="CV23" s="13">
        <f t="shared" si="41"/>
        <v>4.2403820453305023</v>
      </c>
      <c r="CW23" s="20">
        <f t="shared" si="13"/>
        <v>28.853252932512927</v>
      </c>
      <c r="CX23" s="59">
        <f t="shared" si="14"/>
        <v>322.18658626584624</v>
      </c>
      <c r="CY23" s="59">
        <f ca="1">AVERAGE(OFFSET($CX$3,0,0,'Données projet'!$E$13+1,1))-AVERAGE(OFFSET($H$3,0,0,'Données projet'!$E$13+1,1))</f>
        <v>112.78807760743126</v>
      </c>
      <c r="CZ23" s="59">
        <f t="shared" si="42"/>
        <v>37.867745922003564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57</v>
      </c>
      <c r="DM23" s="12">
        <f>VLOOKUP(A23,'Données projet'!$A$165:$I$185,9,0)</f>
        <v>2.85</v>
      </c>
      <c r="DN23" s="12">
        <f t="array" ref="DN23">INDEX(DM:DM,MIN(IF(ISNUMBER(DM23:DM219),ROW(DM23:DM219),"")))</f>
        <v>2.85</v>
      </c>
      <c r="DO23" s="12">
        <f>IF('Données projet'!$A$166&gt;35,DO22+DN23-DW22,IF(A23&lt;'Données projet'!$A$166,$DL$205^A23,IF(A23='Données projet'!$A$166,'Données projet'!$B$166,DO22+DN23-DW22)))</f>
        <v>57</v>
      </c>
      <c r="DP23" s="17">
        <f>DO23*VLOOKUP('Données projet'!$B$14,Paramètres!$A$1:$I$89,3,0)*VLOOKUP('Données projet'!$B$14,Paramètres!$A$1:$I$89,5,0)</f>
        <v>38.235599999999998</v>
      </c>
      <c r="DQ23" s="13">
        <f t="shared" si="43"/>
        <v>11.529771748983352</v>
      </c>
      <c r="DR23" s="20">
        <f t="shared" si="16"/>
        <v>86.674689129479319</v>
      </c>
      <c r="DS23" s="59">
        <f t="shared" si="17"/>
        <v>380.00802246281262</v>
      </c>
      <c r="DT23" s="59">
        <f ca="1">AVERAGE(OFFSET($DS$3,0,0,'Données projet'!$E$14+1,1))-AVERAGE(OFFSET($H$3,0,0,'Données projet'!$E$14+1,1))</f>
        <v>107.15837202366862</v>
      </c>
      <c r="DU23" s="59">
        <f t="shared" si="44"/>
        <v>139.67031833740026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21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0.13250000000000001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2.0552373281696004</v>
      </c>
      <c r="EC23" s="21">
        <f>EXP(-LN(2)/2)*EC22+(1-EXP(-LN(2)/2))/(LN(2)/2)*DW23*DZ23*VLOOKUP('Données projet'!$B$14,Paramètres!$A$1:$I$89,3,0)*0.475*44/12</f>
        <v>3.3228187351657961</v>
      </c>
      <c r="ED23" s="22">
        <f t="shared" si="18"/>
        <v>5.3780560633353964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115</v>
      </c>
      <c r="EH23" s="12">
        <f>VLOOKUP(A23,'Données projet'!$A$191:$I$211,9,0)</f>
        <v>5.75</v>
      </c>
      <c r="EI23" s="12">
        <f t="array" ref="EI23">INDEX(EH:EH,MIN(IF(ISNUMBER(EH23:EH219),ROW(EH23:EH219),"")))</f>
        <v>5.75</v>
      </c>
      <c r="EJ23" s="12">
        <f>IF('Données projet'!$A$192&gt;35,EJ22+EI23-ER22,IF(A23&lt;'Données projet'!$A$192,$EG$205^A23,IF(A23='Données projet'!$A$192,'Données projet'!$B$192,EJ22+EI23-ER22)))</f>
        <v>115</v>
      </c>
      <c r="EK23" s="17">
        <f>EJ23*VLOOKUP('Données projet'!$B$15,Paramètres!$A$1:$I$89,3,0)*VLOOKUP('Données projet'!$B$15,Paramètres!$A$1:$I$89,5,0)</f>
        <v>53.82</v>
      </c>
      <c r="EL23" s="13">
        <f t="shared" si="45"/>
        <v>15.596024630246266</v>
      </c>
      <c r="EM23" s="20">
        <f t="shared" si="19"/>
        <v>120.89957623101225</v>
      </c>
      <c r="EN23" s="59">
        <f t="shared" si="20"/>
        <v>414.23290956434556</v>
      </c>
      <c r="EO23" s="59">
        <f ca="1">AVERAGE(OFFSET($EN$3,0,0,'Données projet'!$E$15+1,1))-AVERAGE(OFFSET($H$3,0,0,'Données projet'!$E$15+1,1))</f>
        <v>123.60520571614535</v>
      </c>
      <c r="EP23" s="59">
        <f t="shared" si="46"/>
        <v>119.00926870519527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6.9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0.27500000000000002</v>
      </c>
      <c r="EU23" s="16">
        <f>IF(ISNA(VLOOKUP(A23,'Données projet'!$A$191:$I$211,7,0)),0%,VLOOKUP(A23,'Données projet'!$A$191:$I$211,7,0))</f>
        <v>0.5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1.173390684195369</v>
      </c>
      <c r="EX23" s="21">
        <f>EXP(-LN(2)/2)*EX22+(1-EXP(-LN(2)/2))/(LN(2)/2)*ER23*EU23*VLOOKUP('Données projet'!$B$15,Paramètres!$A$1:$I$89,3,0)*0.475*44/12</f>
        <v>1.8281022675862317</v>
      </c>
      <c r="EY23" s="22">
        <f t="shared" si="21"/>
        <v>3.0014929517816009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46</v>
      </c>
      <c r="FC23" s="12">
        <f>VLOOKUP(A23,'Données projet'!$A$217:$I$237,9,0)</f>
        <v>2.2999999999999998</v>
      </c>
      <c r="FD23" s="12">
        <f t="array" ref="FD23">INDEX(FC:FC,MIN(IF(ISNUMBER(FC23:FC219),ROW(FC23:FC219),"")))</f>
        <v>2.2999999999999998</v>
      </c>
      <c r="FE23" s="12">
        <f>IF('Données projet'!$A$218&gt;35,FE22+FD23-FM22,IF(A23&lt;'Données projet'!$A$218,$FB$205^A23,IF(A23='Données projet'!$A$218,'Données projet'!$B$218,FE22+FD23-FM22)))</f>
        <v>46</v>
      </c>
      <c r="FF23" s="17">
        <f>FE23*VLOOKUP('Données projet'!$B$16,Paramètres!$A$1:$I$89,3,0)*VLOOKUP('Données projet'!$B$16,Paramètres!$A$1:$I$89,5,0)</f>
        <v>22.126000000000001</v>
      </c>
      <c r="FG23" s="13">
        <f t="shared" si="47"/>
        <v>7.1106331699901961</v>
      </c>
      <c r="FH23" s="20">
        <f t="shared" si="22"/>
        <v>50.920469437732926</v>
      </c>
      <c r="FI23" s="59">
        <f t="shared" si="23"/>
        <v>344.25380277106626</v>
      </c>
      <c r="FJ23" s="59">
        <f ca="1">AVERAGE(OFFSET($FI$3,0,0,'Données projet'!$E$16+1,1))-AVERAGE(OFFSET($H$3,0,0,'Données projet'!$E$16+1,1))</f>
        <v>197.66963254934603</v>
      </c>
      <c r="FK23" s="59">
        <f t="shared" si="48"/>
        <v>158.08388141976138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0.27500000000000002</v>
      </c>
      <c r="FP23" s="16">
        <f>IF(ISNA(VLOOKUP(A23,'Données projet'!$A$217:$I$237,7,0)),0%,VLOOKUP(A23,'Données projet'!$A$217:$I$237,7,0))</f>
        <v>0.5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62</v>
      </c>
      <c r="FX23" s="12">
        <f>VLOOKUP(A23,'Données projet'!$A$243:$I$263,9,0)</f>
        <v>3.1</v>
      </c>
      <c r="FY23" s="12">
        <f t="array" ref="FY23">INDEX(FX:FX,MIN(IF(ISNUMBER(FX23:FX219),ROW(FX23:FX219),"")))</f>
        <v>3.1</v>
      </c>
      <c r="FZ23" s="12">
        <f>IF('Données projet'!$A$244&gt;35,FZ22+FY23-GH22,IF(A23&lt;'Données projet'!$A$244,$FW$205^A23,IF(A23='Données projet'!$A$244,'Données projet'!$B$244,FZ22+FY23-GH22)))</f>
        <v>62</v>
      </c>
      <c r="GA23" s="17">
        <f>FZ23*VLOOKUP('Données projet'!$B$17,Paramètres!$A$1:$I$89,3,0)*VLOOKUP('Données projet'!$B$17,Paramètres!$A$1:$I$89,5,0)</f>
        <v>37.076000000000001</v>
      </c>
      <c r="GB23" s="13">
        <f t="shared" si="49"/>
        <v>11.220249852136831</v>
      </c>
      <c r="GC23" s="20">
        <f t="shared" si="25"/>
        <v>84.115968492471652</v>
      </c>
      <c r="GD23" s="59">
        <f t="shared" si="26"/>
        <v>377.44930182580498</v>
      </c>
      <c r="GE23" s="59">
        <f ca="1">AVERAGE(OFFSET($GD$3,0,0,'Données projet'!$E$17+1,1))-AVERAGE(OFFSET($H$3,0,0,'Données projet'!$E$17+1,1))</f>
        <v>165.39579887388538</v>
      </c>
      <c r="GF23" s="59">
        <f t="shared" si="50"/>
        <v>155.89639262545802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1.2</v>
      </c>
      <c r="GU23" s="12">
        <f>IF('Données projet'!$A$270&gt;35,GU22+GT23-HC22,IF(A23&lt;'Données projet'!$A$270,$GR$205^A23,IF(A23='Données projet'!$A$270,'Données projet'!$B$270,GU22+GT23-HC22)))</f>
        <v>15.194870523363559</v>
      </c>
      <c r="GV23" s="17">
        <f>GU23*VLOOKUP('Données projet'!$B$18,Paramètres!$A$1:$I$89,3,0)*VLOOKUP('Données projet'!$B$18,Paramètres!$A$1:$I$89,5,0)</f>
        <v>16.355758631348532</v>
      </c>
      <c r="GW23" s="13">
        <f t="shared" si="51"/>
        <v>5.4444183501809773</v>
      </c>
      <c r="GX23" s="20">
        <f t="shared" si="28"/>
        <v>37.968641576163897</v>
      </c>
      <c r="GY23" s="59">
        <f t="shared" si="29"/>
        <v>331.30197490949723</v>
      </c>
      <c r="GZ23" s="59">
        <f ca="1">AVERAGE(OFFSET($GY$3,0,0,'Données projet'!$E$18+1,1))-AVERAGE(OFFSET($H$3,0,0,'Données projet'!$E$18+1,1))</f>
        <v>186.60545265015247</v>
      </c>
      <c r="HA23" s="59">
        <f t="shared" si="52"/>
        <v>69.239647548491234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16.5</v>
      </c>
      <c r="N24" s="13">
        <f>IF('Données projet'!$A$36&gt;35,N23+M24-V23,IF(A24&lt;'Données projet'!$A$36,$K$205^A24,IF(A24='Données projet'!$A$36,'Données projet'!$B$36,N23+M24-V23)))</f>
        <v>91.499999999999986</v>
      </c>
      <c r="O24" s="13">
        <f>N24*VLOOKUP('Données projet'!$B$9,Paramètres!$A$1:$I$89,3,0)*VLOOKUP('Données projet'!$B$9,Paramètres!$A$1:$I$89,5,0)</f>
        <v>51.148499999999991</v>
      </c>
      <c r="P24" s="13">
        <f t="shared" si="33"/>
        <v>14.909971627825177</v>
      </c>
      <c r="Q24" s="20">
        <f t="shared" si="2"/>
        <v>115.05183808512884</v>
      </c>
      <c r="R24" s="59">
        <f t="shared" si="0"/>
        <v>408.38517141846216</v>
      </c>
      <c r="S24" s="59">
        <f ca="1">AVERAGE(OFFSET($R$3,0,0,'Données projet'!$E$9+1,1))-AVERAGE(OFFSET($H$3,0,0,'Données projet'!$E$9+1,1))</f>
        <v>235.10258076192054</v>
      </c>
      <c r="T24" s="59">
        <f t="shared" si="34"/>
        <v>233.47316052603765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3.9513754373506305</v>
      </c>
      <c r="AB24" s="21">
        <f>EXP(-LN(2)/2)*AB23+(1-EXP(-LN(2)/2))/(LN(2)/2)*V24*Y24*VLOOKUP('Données projet'!$B$9,Paramètres!$A$1:$I$89,3,0)*0.475*44/12</f>
        <v>4.4754050672179835</v>
      </c>
      <c r="AC24" s="22">
        <f t="shared" si="3"/>
        <v>8.4267805045686135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</v>
      </c>
      <c r="AI24" s="13">
        <f>IF('Données projet'!$A$62&gt;35,AI23+AH24-AQ23,IF(A24&lt;'Données projet'!$A$62,$AF$205^A24,IF(A24='Données projet'!$A$62,'Données projet'!$B$62,AI23+AH24-AQ23)))</f>
        <v>94.000000000000028</v>
      </c>
      <c r="AJ24" s="13">
        <f>AI24*VLOOKUP('Données projet'!$B$10,Paramètres!$A$1:$I$89,3,0)*VLOOKUP('Données projet'!$B$10,Paramètres!$A$1:$I$89,5,0)</f>
        <v>51.324000000000019</v>
      </c>
      <c r="AK24" s="13">
        <f t="shared" si="35"/>
        <v>14.955166599500037</v>
      </c>
      <c r="AL24" s="20">
        <f t="shared" si="4"/>
        <v>115.43621516079592</v>
      </c>
      <c r="AM24" s="59">
        <f t="shared" si="5"/>
        <v>408.76954849412925</v>
      </c>
      <c r="AN24" s="59">
        <f ca="1">AVERAGE(OFFSET($AM$3,0,0,'Données projet'!$E$10+1,1))-AVERAGE(OFFSET($H$3,0,0,'Données projet'!$E$10+1,1))</f>
        <v>168.72306536277267</v>
      </c>
      <c r="AO24" s="59">
        <f t="shared" si="36"/>
        <v>203.35476578922339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11.999483463447028</v>
      </c>
      <c r="AW24" s="21">
        <f>EXP(-LN(2)/2)*AW23+(1-EXP(-LN(2)/2))/(LN(2)/2)*AQ24*AT24*VLOOKUP('Données projet'!$B$10,Paramètres!$A$1:$I$89,3,0)*0.475*44/12</f>
        <v>12.458278756883548</v>
      </c>
      <c r="AX24" s="21">
        <f t="shared" si="6"/>
        <v>24.457762220330576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72.2</v>
      </c>
      <c r="BE24" s="13">
        <f>BD24*VLOOKUP('Données projet'!$B$11,Paramètres!$A$1:$I$89,3,0)*VLOOKUP('Données projet'!$B$11,Paramètres!$A$1:$I$89,5,0)</f>
        <v>43.175600000000003</v>
      </c>
      <c r="BF24" s="13">
        <f t="shared" si="37"/>
        <v>12.836561291924522</v>
      </c>
      <c r="BG24" s="20">
        <f t="shared" si="7"/>
        <v>97.554514250101889</v>
      </c>
      <c r="BH24" s="59">
        <f t="shared" si="8"/>
        <v>390.88784758343519</v>
      </c>
      <c r="BI24" s="59">
        <f ca="1">AVERAGE(OFFSET($BH$3,0,0,'Données projet'!$E$11+1,1))-AVERAGE(OFFSET($H$3,0,0,'Données projet'!$E$11+1,1))</f>
        <v>165.39579887388538</v>
      </c>
      <c r="BJ24" s="59">
        <f t="shared" si="38"/>
        <v>155.89639262545802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1.2</v>
      </c>
      <c r="BY24" s="12">
        <f>IF('Données projet'!$A$114&gt;35,BY23+BX24-CG23,IF(A24&lt;'Données projet'!$A$114,$BV$205^A24,IF(A24='Données projet'!$A$114,'Données projet'!$B$114,BY23+BX24-CG23)))</f>
        <v>17.409321838276906</v>
      </c>
      <c r="BZ24" s="13">
        <f>BY24*VLOOKUP('Données projet'!$B$12,Paramètres!$A$1:$I$89,3,0)*VLOOKUP('Données projet'!$B$12,Paramètres!$A$1:$I$89,5,0)</f>
        <v>16.838296081981426</v>
      </c>
      <c r="CA24" s="13">
        <f t="shared" si="39"/>
        <v>5.5861051062554639</v>
      </c>
      <c r="CB24" s="20">
        <f t="shared" si="10"/>
        <v>39.055832069512576</v>
      </c>
      <c r="CC24" s="59">
        <f t="shared" si="11"/>
        <v>332.38916540284589</v>
      </c>
      <c r="CD24" s="59">
        <f ca="1">AVERAGE(OFFSET($CC$3,0,0,'Données projet'!$E$12+1,1))-AVERAGE(OFFSET($H$3,0,0,'Données projet'!$E$12+1,1))</f>
        <v>156.26368818265388</v>
      </c>
      <c r="CE24" s="59">
        <f t="shared" si="40"/>
        <v>56.347130462109817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1.2</v>
      </c>
      <c r="CT24" s="12">
        <f>IF('Données projet'!$A$140&gt;35,CT23+CS24-DB23,IF(A24&lt;'Données projet'!$A$140,$CQ$205^A24,IF(A24='Données projet'!$A$140,'Données projet'!$B$140,CT23+CS24-DB23)))</f>
        <v>17.409321838276906</v>
      </c>
      <c r="CU24" s="17">
        <f>CT24*VLOOKUP('Données projet'!$B$13,Paramètres!$A$1:$I$89,3,0)*VLOOKUP('Données projet'!$B$13,Paramètres!$A$1:$I$89,5,0)</f>
        <v>14.122441875210226</v>
      </c>
      <c r="CV24" s="13">
        <f t="shared" si="41"/>
        <v>4.7820307074092012</v>
      </c>
      <c r="CW24" s="20">
        <f t="shared" si="13"/>
        <v>32.92528974806217</v>
      </c>
      <c r="CX24" s="59">
        <f t="shared" si="14"/>
        <v>326.25862308139551</v>
      </c>
      <c r="CY24" s="59">
        <f ca="1">AVERAGE(OFFSET($CX$3,0,0,'Données projet'!$E$13+1,1))-AVERAGE(OFFSET($H$3,0,0,'Données projet'!$E$13+1,1))</f>
        <v>112.78807760743126</v>
      </c>
      <c r="CZ24" s="59">
        <f t="shared" si="42"/>
        <v>37.867745922003564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9.9</v>
      </c>
      <c r="DO24" s="12">
        <f>IF('Données projet'!$A$166&gt;35,DO23+DN24-DW23,IF(A24&lt;'Données projet'!$A$166,$DL$205^A24,IF(A24='Données projet'!$A$166,'Données projet'!$B$166,DO23+DN24-DW23)))</f>
        <v>45.900000000000006</v>
      </c>
      <c r="DP24" s="17">
        <f>DO24*VLOOKUP('Données projet'!$B$14,Paramètres!$A$1:$I$89,3,0)*VLOOKUP('Données projet'!$B$14,Paramètres!$A$1:$I$89,5,0)</f>
        <v>30.789720000000003</v>
      </c>
      <c r="DQ24" s="13">
        <f t="shared" si="43"/>
        <v>9.5215439473234653</v>
      </c>
      <c r="DR24" s="20">
        <f t="shared" si="16"/>
        <v>70.208784708255038</v>
      </c>
      <c r="DS24" s="59">
        <f t="shared" si="17"/>
        <v>363.54211804158837</v>
      </c>
      <c r="DT24" s="59">
        <f ca="1">AVERAGE(OFFSET($DS$3,0,0,'Données projet'!$E$14+1,1))-AVERAGE(OFFSET($H$3,0,0,'Données projet'!$E$14+1,1))</f>
        <v>107.15837202366862</v>
      </c>
      <c r="DU24" s="59">
        <f t="shared" si="44"/>
        <v>139.67031833740026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1.9990367553505688</v>
      </c>
      <c r="EC24" s="21">
        <f>EXP(-LN(2)/2)*EC23+(1-EXP(-LN(2)/2))/(LN(2)/2)*DW24*DZ24*VLOOKUP('Données projet'!$B$14,Paramètres!$A$1:$I$89,3,0)*0.475*44/12</f>
        <v>2.3495876602894414</v>
      </c>
      <c r="ED24" s="22">
        <f t="shared" si="18"/>
        <v>4.3486244156400105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6.5</v>
      </c>
      <c r="EJ24" s="12">
        <f>IF('Données projet'!$A$192&gt;35,EJ23+EI24-ER23,IF(A24&lt;'Données projet'!$A$192,$EG$205^A24,IF(A24='Données projet'!$A$192,'Données projet'!$B$192,EJ23+EI24-ER23)))</f>
        <v>114.6</v>
      </c>
      <c r="EK24" s="17">
        <f>EJ24*VLOOKUP('Données projet'!$B$15,Paramètres!$A$1:$I$89,3,0)*VLOOKUP('Données projet'!$B$15,Paramètres!$A$1:$I$89,5,0)</f>
        <v>53.632799999999996</v>
      </c>
      <c r="EL24" s="13">
        <f t="shared" si="45"/>
        <v>15.548082227939483</v>
      </c>
      <c r="EM24" s="20">
        <f t="shared" si="19"/>
        <v>120.49003654699459</v>
      </c>
      <c r="EN24" s="59">
        <f t="shared" si="20"/>
        <v>413.8233698803279</v>
      </c>
      <c r="EO24" s="59">
        <f ca="1">AVERAGE(OFFSET($EN$3,0,0,'Données projet'!$E$15+1,1))-AVERAGE(OFFSET($H$3,0,0,'Données projet'!$E$15+1,1))</f>
        <v>123.60520571614535</v>
      </c>
      <c r="EP24" s="59">
        <f t="shared" si="46"/>
        <v>119.00926870519527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1.1413042542301124</v>
      </c>
      <c r="EX24" s="21">
        <f>EXP(-LN(2)/2)*EX23+(1-EXP(-LN(2)/2))/(LN(2)/2)*ER24*EU24*VLOOKUP('Données projet'!$B$15,Paramètres!$A$1:$I$89,3,0)*0.475*44/12</f>
        <v>1.2926635101127291</v>
      </c>
      <c r="EY24" s="22">
        <f t="shared" si="21"/>
        <v>2.4339677643428415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16</v>
      </c>
      <c r="FE24" s="12">
        <f>IF('Données projet'!$A$218&gt;35,FE23+FD24-FM23,IF(A24&lt;'Données projet'!$A$218,$FB$205^A24,IF(A24='Données projet'!$A$218,'Données projet'!$B$218,FE23+FD24-FM23)))</f>
        <v>62</v>
      </c>
      <c r="FF24" s="17">
        <f>FE24*VLOOKUP('Données projet'!$B$16,Paramètres!$A$1:$I$89,3,0)*VLOOKUP('Données projet'!$B$16,Paramètres!$A$1:$I$89,5,0)</f>
        <v>29.822000000000003</v>
      </c>
      <c r="FG24" s="13">
        <f t="shared" si="47"/>
        <v>9.2566267273101062</v>
      </c>
      <c r="FH24" s="20">
        <f t="shared" si="22"/>
        <v>68.0619415500651</v>
      </c>
      <c r="FI24" s="59">
        <f t="shared" si="23"/>
        <v>361.39527488339843</v>
      </c>
      <c r="FJ24" s="59">
        <f ca="1">AVERAGE(OFFSET($FI$3,0,0,'Données projet'!$E$16+1,1))-AVERAGE(OFFSET($H$3,0,0,'Données projet'!$E$16+1,1))</f>
        <v>197.66963254934603</v>
      </c>
      <c r="FK24" s="59">
        <f t="shared" si="48"/>
        <v>158.08388141976138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10.199999999999999</v>
      </c>
      <c r="FZ24" s="12">
        <f>IF('Données projet'!$A$244&gt;35,FZ23+FY24-GH23,IF(A24&lt;'Données projet'!$A$244,$FW$205^A24,IF(A24='Données projet'!$A$244,'Données projet'!$B$244,FZ23+FY24-GH23)))</f>
        <v>72.2</v>
      </c>
      <c r="GA24" s="17">
        <f>FZ24*VLOOKUP('Données projet'!$B$17,Paramètres!$A$1:$I$89,3,0)*VLOOKUP('Données projet'!$B$17,Paramètres!$A$1:$I$89,5,0)</f>
        <v>43.175600000000003</v>
      </c>
      <c r="GB24" s="13">
        <f t="shared" si="49"/>
        <v>12.836561291924522</v>
      </c>
      <c r="GC24" s="20">
        <f t="shared" si="25"/>
        <v>97.554514250101889</v>
      </c>
      <c r="GD24" s="59">
        <f t="shared" si="26"/>
        <v>390.88784758343519</v>
      </c>
      <c r="GE24" s="59">
        <f ca="1">AVERAGE(OFFSET($GD$3,0,0,'Données projet'!$E$17+1,1))-AVERAGE(OFFSET($H$3,0,0,'Données projet'!$E$17+1,1))</f>
        <v>165.39579887388538</v>
      </c>
      <c r="GF24" s="59">
        <f t="shared" si="50"/>
        <v>155.89639262545802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1.2</v>
      </c>
      <c r="GU24" s="12">
        <f>IF('Données projet'!$A$270&gt;35,GU23+GT24-HC23,IF(A24&lt;'Données projet'!$A$270,$GR$205^A24,IF(A24='Données projet'!$A$270,'Données projet'!$B$270,GU23+GT24-HC23)))</f>
        <v>17.409321838276906</v>
      </c>
      <c r="GV24" s="17">
        <f>GU24*VLOOKUP('Données projet'!$B$18,Paramètres!$A$1:$I$89,3,0)*VLOOKUP('Données projet'!$B$18,Paramètres!$A$1:$I$89,5,0)</f>
        <v>18.739394026721261</v>
      </c>
      <c r="GW24" s="13">
        <f t="shared" si="51"/>
        <v>6.1398655725414359</v>
      </c>
      <c r="GX24" s="20">
        <f t="shared" si="28"/>
        <v>43.331377135382525</v>
      </c>
      <c r="GY24" s="59">
        <f t="shared" si="29"/>
        <v>336.66471046871584</v>
      </c>
      <c r="GZ24" s="59">
        <f ca="1">AVERAGE(OFFSET($GY$3,0,0,'Données projet'!$E$18+1,1))-AVERAGE(OFFSET($H$3,0,0,'Données projet'!$E$18+1,1))</f>
        <v>186.60545265015247</v>
      </c>
      <c r="HA24" s="59">
        <f t="shared" si="52"/>
        <v>69.239647548491234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16.5</v>
      </c>
      <c r="N25" s="13">
        <f>IF('Données projet'!$A$36&gt;35,N24+M25-V24,IF(A25&lt;'Données projet'!$A$36,$K$205^A25,IF(A25='Données projet'!$A$36,'Données projet'!$B$36,N24+M25-V24)))</f>
        <v>107.99999999999999</v>
      </c>
      <c r="O25" s="13">
        <f>N25*VLOOKUP('Données projet'!$B$9,Paramètres!$A$1:$I$89,3,0)*VLOOKUP('Données projet'!$B$9,Paramètres!$A$1:$I$89,5,0)</f>
        <v>60.371999999999993</v>
      </c>
      <c r="P25" s="13">
        <f t="shared" si="33"/>
        <v>17.262288423858568</v>
      </c>
      <c r="Q25" s="20">
        <f t="shared" si="2"/>
        <v>135.21305233822034</v>
      </c>
      <c r="R25" s="59">
        <f t="shared" si="0"/>
        <v>428.54638567155365</v>
      </c>
      <c r="S25" s="59">
        <f ca="1">AVERAGE(OFFSET($R$3,0,0,'Données projet'!$E$9+1,1))-AVERAGE(OFFSET($H$3,0,0,'Données projet'!$E$9+1,1))</f>
        <v>235.10258076192054</v>
      </c>
      <c r="T25" s="59">
        <f t="shared" si="34"/>
        <v>233.47316052603765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3.8433248682224743</v>
      </c>
      <c r="AB25" s="21">
        <f>EXP(-LN(2)/2)*AB24+(1-EXP(-LN(2)/2))/(LN(2)/2)*V25*Y25*VLOOKUP('Données projet'!$B$9,Paramètres!$A$1:$I$89,3,0)*0.475*44/12</f>
        <v>3.1645892715864727</v>
      </c>
      <c r="AC25" s="22">
        <f t="shared" si="3"/>
        <v>7.0079141398089471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</v>
      </c>
      <c r="AI25" s="13">
        <f>IF('Données projet'!$A$62&gt;35,AI24+AH25-AQ24,IF(A25&lt;'Données projet'!$A$62,$AF$205^A25,IF(A25='Données projet'!$A$62,'Données projet'!$B$62,AI24+AH25-AQ24)))</f>
        <v>108.00000000000003</v>
      </c>
      <c r="AJ25" s="13">
        <f>AI25*VLOOKUP('Données projet'!$B$10,Paramètres!$A$1:$I$89,3,0)*VLOOKUP('Données projet'!$B$10,Paramètres!$A$1:$I$89,5,0)</f>
        <v>58.968000000000018</v>
      </c>
      <c r="AK25" s="13">
        <f t="shared" si="35"/>
        <v>16.907084152971134</v>
      </c>
      <c r="AL25" s="20">
        <f t="shared" si="4"/>
        <v>132.1491048997581</v>
      </c>
      <c r="AM25" s="59">
        <f t="shared" si="5"/>
        <v>425.48243823309144</v>
      </c>
      <c r="AN25" s="59">
        <f ca="1">AVERAGE(OFFSET($AM$3,0,0,'Données projet'!$E$10+1,1))-AVERAGE(OFFSET($H$3,0,0,'Données projet'!$E$10+1,1))</f>
        <v>168.72306536277267</v>
      </c>
      <c r="AO25" s="59">
        <f t="shared" si="36"/>
        <v>203.35476578922339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11.671356957113659</v>
      </c>
      <c r="AW25" s="21">
        <f>EXP(-LN(2)/2)*AW24+(1-EXP(-LN(2)/2))/(LN(2)/2)*AQ25*AT25*VLOOKUP('Données projet'!$B$10,Paramètres!$A$1:$I$89,3,0)*0.475*44/12</f>
        <v>8.8093333909046692</v>
      </c>
      <c r="AX25" s="21">
        <f t="shared" si="6"/>
        <v>20.480690348018328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82.4</v>
      </c>
      <c r="BE25" s="13">
        <f>BD25*VLOOKUP('Données projet'!$B$11,Paramètres!$A$1:$I$89,3,0)*VLOOKUP('Données projet'!$B$11,Paramètres!$A$1:$I$89,5,0)</f>
        <v>49.275200000000005</v>
      </c>
      <c r="BF25" s="13">
        <f t="shared" si="37"/>
        <v>14.426418124326277</v>
      </c>
      <c r="BG25" s="20">
        <f t="shared" si="7"/>
        <v>110.94698489986827</v>
      </c>
      <c r="BH25" s="59">
        <f t="shared" si="8"/>
        <v>404.28031823320157</v>
      </c>
      <c r="BI25" s="59">
        <f ca="1">AVERAGE(OFFSET($BH$3,0,0,'Données projet'!$E$11+1,1))-AVERAGE(OFFSET($H$3,0,0,'Données projet'!$E$11+1,1))</f>
        <v>165.39579887388538</v>
      </c>
      <c r="BJ25" s="59">
        <f t="shared" si="38"/>
        <v>155.89639262545802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1.2</v>
      </c>
      <c r="BY25" s="12">
        <f>IF('Données projet'!$A$114&gt;35,BY24+BX25-CG24,IF(A25&lt;'Données projet'!$A$114,$BV$205^A25,IF(A25='Données projet'!$A$114,'Données projet'!$B$114,BY24+BX25-CG24)))</f>
        <v>19.946500129940819</v>
      </c>
      <c r="BZ25" s="13">
        <f>BY25*VLOOKUP('Données projet'!$B$12,Paramètres!$A$1:$I$89,3,0)*VLOOKUP('Données projet'!$B$12,Paramètres!$A$1:$I$89,5,0)</f>
        <v>19.292254925678762</v>
      </c>
      <c r="CA25" s="13">
        <f t="shared" si="39"/>
        <v>6.2996508020651527</v>
      </c>
      <c r="CB25" s="20">
        <f t="shared" si="10"/>
        <v>44.572569142487318</v>
      </c>
      <c r="CC25" s="59">
        <f t="shared" si="11"/>
        <v>337.90590247582065</v>
      </c>
      <c r="CD25" s="59">
        <f ca="1">AVERAGE(OFFSET($CC$3,0,0,'Données projet'!$E$12+1,1))-AVERAGE(OFFSET($H$3,0,0,'Données projet'!$E$12+1,1))</f>
        <v>156.26368818265388</v>
      </c>
      <c r="CE25" s="59">
        <f t="shared" si="40"/>
        <v>56.347130462109817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1.2</v>
      </c>
      <c r="CT25" s="12">
        <f>IF('Données projet'!$A$140&gt;35,CT24+CS25-DB24,IF(A25&lt;'Données projet'!$A$140,$CQ$205^A25,IF(A25='Données projet'!$A$140,'Données projet'!$B$140,CT24+CS25-DB24)))</f>
        <v>19.946500129940819</v>
      </c>
      <c r="CU25" s="17">
        <f>CT25*VLOOKUP('Données projet'!$B$13,Paramètres!$A$1:$I$89,3,0)*VLOOKUP('Données projet'!$B$13,Paramètres!$A$1:$I$89,5,0)</f>
        <v>16.180600905407996</v>
      </c>
      <c r="CV25" s="13">
        <f t="shared" si="41"/>
        <v>5.3928673034984058</v>
      </c>
      <c r="CW25" s="20">
        <f t="shared" si="13"/>
        <v>37.573790463845313</v>
      </c>
      <c r="CX25" s="59">
        <f t="shared" si="14"/>
        <v>330.90712379717866</v>
      </c>
      <c r="CY25" s="59">
        <f ca="1">AVERAGE(OFFSET($CX$3,0,0,'Données projet'!$E$13+1,1))-AVERAGE(OFFSET($H$3,0,0,'Données projet'!$E$13+1,1))</f>
        <v>112.78807760743126</v>
      </c>
      <c r="CZ25" s="59">
        <f t="shared" si="42"/>
        <v>37.867745922003564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9.9</v>
      </c>
      <c r="DO25" s="12">
        <f>IF('Données projet'!$A$166&gt;35,DO24+DN25-DW24,IF(A25&lt;'Données projet'!$A$166,$DL$205^A25,IF(A25='Données projet'!$A$166,'Données projet'!$B$166,DO24+DN25-DW24)))</f>
        <v>55.800000000000004</v>
      </c>
      <c r="DP25" s="17">
        <f>DO25*VLOOKUP('Données projet'!$B$14,Paramètres!$A$1:$I$89,3,0)*VLOOKUP('Données projet'!$B$14,Paramètres!$A$1:$I$89,5,0)</f>
        <v>37.430640000000004</v>
      </c>
      <c r="DQ25" s="13">
        <f t="shared" si="43"/>
        <v>11.315028847170499</v>
      </c>
      <c r="DR25" s="20">
        <f t="shared" si="16"/>
        <v>84.898706575488632</v>
      </c>
      <c r="DS25" s="59">
        <f t="shared" si="17"/>
        <v>378.23203990882195</v>
      </c>
      <c r="DT25" s="59">
        <f ca="1">AVERAGE(OFFSET($DS$3,0,0,'Données projet'!$E$14+1,1))-AVERAGE(OFFSET($H$3,0,0,'Données projet'!$E$14+1,1))</f>
        <v>107.15837202366862</v>
      </c>
      <c r="DU25" s="59">
        <f t="shared" si="44"/>
        <v>139.67031833740026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1.9443729901507334</v>
      </c>
      <c r="EC25" s="21">
        <f>EXP(-LN(2)/2)*EC24+(1-EXP(-LN(2)/2))/(LN(2)/2)*DW25*DZ25*VLOOKUP('Données projet'!$B$14,Paramètres!$A$1:$I$89,3,0)*0.475*44/12</f>
        <v>1.6614093675828983</v>
      </c>
      <c r="ED25" s="22">
        <f t="shared" si="18"/>
        <v>3.6057823577336316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6.5</v>
      </c>
      <c r="EJ25" s="12">
        <f>IF('Données projet'!$A$192&gt;35,EJ24+EI25-ER24,IF(A25&lt;'Données projet'!$A$192,$EG$205^A25,IF(A25='Données projet'!$A$192,'Données projet'!$B$192,EJ24+EI25-ER24)))</f>
        <v>121.1</v>
      </c>
      <c r="EK25" s="17">
        <f>EJ25*VLOOKUP('Données projet'!$B$15,Paramètres!$A$1:$I$89,3,0)*VLOOKUP('Données projet'!$B$15,Paramètres!$A$1:$I$89,5,0)</f>
        <v>56.674799999999998</v>
      </c>
      <c r="EL25" s="13">
        <f t="shared" si="45"/>
        <v>16.32478482217585</v>
      </c>
      <c r="EM25" s="20">
        <f t="shared" si="19"/>
        <v>127.1409435652896</v>
      </c>
      <c r="EN25" s="59">
        <f t="shared" si="20"/>
        <v>420.47427689862292</v>
      </c>
      <c r="EO25" s="59">
        <f ca="1">AVERAGE(OFFSET($EN$3,0,0,'Données projet'!$E$15+1,1))-AVERAGE(OFFSET($H$3,0,0,'Données projet'!$E$15+1,1))</f>
        <v>123.60520571614535</v>
      </c>
      <c r="EP25" s="59">
        <f t="shared" si="46"/>
        <v>119.00926870519527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1.1100952293796078</v>
      </c>
      <c r="EX25" s="21">
        <f>EXP(-LN(2)/2)*EX24+(1-EXP(-LN(2)/2))/(LN(2)/2)*ER25*EU25*VLOOKUP('Données projet'!$B$15,Paramètres!$A$1:$I$89,3,0)*0.475*44/12</f>
        <v>0.91405113379311609</v>
      </c>
      <c r="EY25" s="22">
        <f t="shared" si="21"/>
        <v>2.0241463631727239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16</v>
      </c>
      <c r="FE25" s="12">
        <f>IF('Données projet'!$A$218&gt;35,FE24+FD25-FM24,IF(A25&lt;'Données projet'!$A$218,$FB$205^A25,IF(A25='Données projet'!$A$218,'Données projet'!$B$218,FE24+FD25-FM24)))</f>
        <v>78</v>
      </c>
      <c r="FF25" s="17">
        <f>FE25*VLOOKUP('Données projet'!$B$16,Paramètres!$A$1:$I$89,3,0)*VLOOKUP('Données projet'!$B$16,Paramètres!$A$1:$I$89,5,0)</f>
        <v>37.518000000000001</v>
      </c>
      <c r="FG25" s="13">
        <f t="shared" si="47"/>
        <v>11.338360086058575</v>
      </c>
      <c r="FH25" s="20">
        <f t="shared" si="22"/>
        <v>85.091493816552017</v>
      </c>
      <c r="FI25" s="59">
        <f t="shared" si="23"/>
        <v>378.42482714988535</v>
      </c>
      <c r="FJ25" s="59">
        <f ca="1">AVERAGE(OFFSET($FI$3,0,0,'Données projet'!$E$16+1,1))-AVERAGE(OFFSET($H$3,0,0,'Données projet'!$E$16+1,1))</f>
        <v>197.66963254934603</v>
      </c>
      <c r="FK25" s="59">
        <f t="shared" si="48"/>
        <v>158.08388141976138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10.199999999999999</v>
      </c>
      <c r="FZ25" s="12">
        <f>IF('Données projet'!$A$244&gt;35,FZ24+FY25-GH24,IF(A25&lt;'Données projet'!$A$244,$FW$205^A25,IF(A25='Données projet'!$A$244,'Données projet'!$B$244,FZ24+FY25-GH24)))</f>
        <v>82.4</v>
      </c>
      <c r="GA25" s="17">
        <f>FZ25*VLOOKUP('Données projet'!$B$17,Paramètres!$A$1:$I$89,3,0)*VLOOKUP('Données projet'!$B$17,Paramètres!$A$1:$I$89,5,0)</f>
        <v>49.275200000000005</v>
      </c>
      <c r="GB25" s="13">
        <f t="shared" si="49"/>
        <v>14.426418124326277</v>
      </c>
      <c r="GC25" s="20">
        <f t="shared" si="25"/>
        <v>110.94698489986827</v>
      </c>
      <c r="GD25" s="59">
        <f t="shared" si="26"/>
        <v>404.28031823320157</v>
      </c>
      <c r="GE25" s="59">
        <f ca="1">AVERAGE(OFFSET($GD$3,0,0,'Données projet'!$E$17+1,1))-AVERAGE(OFFSET($H$3,0,0,'Données projet'!$E$17+1,1))</f>
        <v>165.39579887388538</v>
      </c>
      <c r="GF25" s="59">
        <f t="shared" si="50"/>
        <v>155.89639262545802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1.2</v>
      </c>
      <c r="GU25" s="12">
        <f>IF('Données projet'!$A$270&gt;35,GU24+GT25-HC24,IF(A25&lt;'Données projet'!$A$270,$GR$205^A25,IF(A25='Données projet'!$A$270,'Données projet'!$B$270,GU24+GT25-HC24)))</f>
        <v>19.946500129940819</v>
      </c>
      <c r="GV25" s="17">
        <f>GU25*VLOOKUP('Données projet'!$B$18,Paramètres!$A$1:$I$89,3,0)*VLOOKUP('Données projet'!$B$18,Paramètres!$A$1:$I$89,5,0)</f>
        <v>21.470412739868298</v>
      </c>
      <c r="GW25" s="13">
        <f t="shared" si="51"/>
        <v>6.9241463135591816</v>
      </c>
      <c r="GX25" s="20">
        <f t="shared" si="28"/>
        <v>49.453857018052851</v>
      </c>
      <c r="GY25" s="59">
        <f t="shared" si="29"/>
        <v>342.78719035138619</v>
      </c>
      <c r="GZ25" s="59">
        <f ca="1">AVERAGE(OFFSET($GY$3,0,0,'Données projet'!$E$18+1,1))-AVERAGE(OFFSET($H$3,0,0,'Données projet'!$E$18+1,1))</f>
        <v>186.60545265015247</v>
      </c>
      <c r="HA25" s="59">
        <f t="shared" si="52"/>
        <v>69.239647548491234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16.5</v>
      </c>
      <c r="N26" s="13">
        <f>IF('Données projet'!$A$36&gt;35,N25+M26-V25,IF(A26&lt;'Données projet'!$A$36,$K$205^A26,IF(A26='Données projet'!$A$36,'Données projet'!$B$36,N25+M26-V25)))</f>
        <v>124.49999999999999</v>
      </c>
      <c r="O26" s="13">
        <f>N26*VLOOKUP('Données projet'!$B$9,Paramètres!$A$1:$I$89,3,0)*VLOOKUP('Données projet'!$B$9,Paramètres!$A$1:$I$89,5,0)</f>
        <v>69.595500000000001</v>
      </c>
      <c r="P26" s="13">
        <f t="shared" si="33"/>
        <v>19.572972108970312</v>
      </c>
      <c r="Q26" s="20">
        <f t="shared" si="2"/>
        <v>155.30175558978996</v>
      </c>
      <c r="R26" s="59">
        <f t="shared" si="0"/>
        <v>448.63508892312325</v>
      </c>
      <c r="S26" s="59">
        <f ca="1">AVERAGE(OFFSET($R$3,0,0,'Données projet'!$E$9+1,1))-AVERAGE(OFFSET($H$3,0,0,'Données projet'!$E$9+1,1))</f>
        <v>235.10258076192054</v>
      </c>
      <c r="T26" s="59">
        <f t="shared" si="34"/>
        <v>233.47316052603765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3.7382289475892598</v>
      </c>
      <c r="AB26" s="21">
        <f>EXP(-LN(2)/2)*AB25+(1-EXP(-LN(2)/2))/(LN(2)/2)*V26*Y26*VLOOKUP('Données projet'!$B$9,Paramètres!$A$1:$I$89,3,0)*0.475*44/12</f>
        <v>2.2377025336089917</v>
      </c>
      <c r="AC26" s="22">
        <f t="shared" si="3"/>
        <v>5.975931481198252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14</v>
      </c>
      <c r="AI26" s="13">
        <f>IF('Données projet'!$A$62&gt;35,AI25+AH26-AQ25,IF(A26&lt;'Données projet'!$A$62,$AF$205^A26,IF(A26='Données projet'!$A$62,'Données projet'!$B$62,AI25+AH26-AQ25)))</f>
        <v>122.00000000000003</v>
      </c>
      <c r="AJ26" s="13">
        <f>AI26*VLOOKUP('Données projet'!$B$10,Paramètres!$A$1:$I$89,3,0)*VLOOKUP('Données projet'!$B$10,Paramètres!$A$1:$I$89,5,0)</f>
        <v>66.612000000000009</v>
      </c>
      <c r="AK26" s="13">
        <f t="shared" si="35"/>
        <v>18.829683939536409</v>
      </c>
      <c r="AL26" s="20">
        <f t="shared" si="4"/>
        <v>148.81093286135925</v>
      </c>
      <c r="AM26" s="59">
        <f t="shared" si="5"/>
        <v>442.14426619469259</v>
      </c>
      <c r="AN26" s="59">
        <f ca="1">AVERAGE(OFFSET($AM$3,0,0,'Données projet'!$E$10+1,1))-AVERAGE(OFFSET($H$3,0,0,'Données projet'!$E$10+1,1))</f>
        <v>168.72306536277267</v>
      </c>
      <c r="AO26" s="59">
        <f t="shared" si="36"/>
        <v>203.35476578922339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11.352203087351398</v>
      </c>
      <c r="AW26" s="21">
        <f>EXP(-LN(2)/2)*AW25+(1-EXP(-LN(2)/2))/(LN(2)/2)*AQ26*AT26*VLOOKUP('Données projet'!$B$10,Paramètres!$A$1:$I$89,3,0)*0.475*44/12</f>
        <v>6.2291393784417748</v>
      </c>
      <c r="AX26" s="21">
        <f t="shared" si="6"/>
        <v>17.581342465793174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92.600000000000009</v>
      </c>
      <c r="BE26" s="13">
        <f>BD26*VLOOKUP('Données projet'!$B$11,Paramètres!$A$1:$I$89,3,0)*VLOOKUP('Données projet'!$B$11,Paramètres!$A$1:$I$89,5,0)</f>
        <v>55.374800000000008</v>
      </c>
      <c r="BF26" s="13">
        <f t="shared" si="37"/>
        <v>15.99346995700764</v>
      </c>
      <c r="BG26" s="20">
        <f t="shared" si="7"/>
        <v>124.29973684178829</v>
      </c>
      <c r="BH26" s="59">
        <f t="shared" si="8"/>
        <v>417.63307017512159</v>
      </c>
      <c r="BI26" s="59">
        <f ca="1">AVERAGE(OFFSET($BH$3,0,0,'Données projet'!$E$11+1,1))-AVERAGE(OFFSET($H$3,0,0,'Données projet'!$E$11+1,1))</f>
        <v>165.39579887388538</v>
      </c>
      <c r="BJ26" s="59">
        <f t="shared" si="38"/>
        <v>155.89639262545802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1.2</v>
      </c>
      <c r="BY26" s="12">
        <f>IF('Données projet'!$A$114&gt;35,BY25+BX26-CG25,IF(A26&lt;'Données projet'!$A$114,$BV$205^A26,IF(A26='Données projet'!$A$114,'Données projet'!$B$114,BY25+BX26-CG25)))</f>
        <v>22.853438584779923</v>
      </c>
      <c r="BZ26" s="13">
        <f>BY26*VLOOKUP('Données projet'!$B$12,Paramètres!$A$1:$I$89,3,0)*VLOOKUP('Données projet'!$B$12,Paramètres!$A$1:$I$89,5,0)</f>
        <v>22.103845799199142</v>
      </c>
      <c r="CA26" s="13">
        <f t="shared" si="39"/>
        <v>7.1043418398123555</v>
      </c>
      <c r="CB26" s="20">
        <f t="shared" si="10"/>
        <v>50.870926804611692</v>
      </c>
      <c r="CC26" s="59">
        <f t="shared" si="11"/>
        <v>344.20426013794503</v>
      </c>
      <c r="CD26" s="59">
        <f ca="1">AVERAGE(OFFSET($CC$3,0,0,'Données projet'!$E$12+1,1))-AVERAGE(OFFSET($H$3,0,0,'Données projet'!$E$12+1,1))</f>
        <v>156.26368818265388</v>
      </c>
      <c r="CE26" s="59">
        <f t="shared" si="40"/>
        <v>56.347130462109817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1.2</v>
      </c>
      <c r="CT26" s="12">
        <f>IF('Données projet'!$A$140&gt;35,CT25+CS26-DB25,IF(A26&lt;'Données projet'!$A$140,$CQ$205^A26,IF(A26='Données projet'!$A$140,'Données projet'!$B$140,CT25+CS26-DB25)))</f>
        <v>22.853438584779923</v>
      </c>
      <c r="CU26" s="17">
        <f>CT26*VLOOKUP('Données projet'!$B$13,Paramètres!$A$1:$I$89,3,0)*VLOOKUP('Données projet'!$B$13,Paramètres!$A$1:$I$89,5,0)</f>
        <v>18.538709379973476</v>
      </c>
      <c r="CV26" s="13">
        <f t="shared" si="41"/>
        <v>6.081729610828595</v>
      </c>
      <c r="CW26" s="20">
        <f t="shared" si="13"/>
        <v>42.88059790898027</v>
      </c>
      <c r="CX26" s="59">
        <f t="shared" si="14"/>
        <v>336.21393124231361</v>
      </c>
      <c r="CY26" s="59">
        <f ca="1">AVERAGE(OFFSET($CX$3,0,0,'Données projet'!$E$13+1,1))-AVERAGE(OFFSET($H$3,0,0,'Données projet'!$E$13+1,1))</f>
        <v>112.78807760743126</v>
      </c>
      <c r="CZ26" s="59">
        <f t="shared" si="42"/>
        <v>37.867745922003564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9.9</v>
      </c>
      <c r="DO26" s="12">
        <f>IF('Données projet'!$A$166&gt;35,DO25+DN26-DW25,IF(A26&lt;'Données projet'!$A$166,$DL$205^A26,IF(A26='Données projet'!$A$166,'Données projet'!$B$166,DO25+DN26-DW25)))</f>
        <v>65.7</v>
      </c>
      <c r="DP26" s="17">
        <f>DO26*VLOOKUP('Données projet'!$B$14,Paramètres!$A$1:$I$89,3,0)*VLOOKUP('Données projet'!$B$14,Paramètres!$A$1:$I$89,5,0)</f>
        <v>44.071560000000005</v>
      </c>
      <c r="DQ26" s="13">
        <f t="shared" si="43"/>
        <v>13.071651112978321</v>
      </c>
      <c r="DR26" s="20">
        <f t="shared" si="16"/>
        <v>99.52442602177058</v>
      </c>
      <c r="DS26" s="59">
        <f t="shared" si="17"/>
        <v>392.85775935510389</v>
      </c>
      <c r="DT26" s="59">
        <f ca="1">AVERAGE(OFFSET($DS$3,0,0,'Données projet'!$E$14+1,1))-AVERAGE(OFFSET($H$3,0,0,'Données projet'!$E$14+1,1))</f>
        <v>107.15837202366862</v>
      </c>
      <c r="DU26" s="59">
        <f t="shared" si="44"/>
        <v>139.67031833740026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1.89120400848493</v>
      </c>
      <c r="EC26" s="21">
        <f>EXP(-LN(2)/2)*EC25+(1-EXP(-LN(2)/2))/(LN(2)/2)*DW26*DZ26*VLOOKUP('Données projet'!$B$14,Paramètres!$A$1:$I$89,3,0)*0.475*44/12</f>
        <v>1.1747938301447207</v>
      </c>
      <c r="ED26" s="22">
        <f t="shared" si="18"/>
        <v>3.0659978386296505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6.5</v>
      </c>
      <c r="EJ26" s="12">
        <f>IF('Données projet'!$A$192&gt;35,EJ25+EI26-ER25,IF(A26&lt;'Données projet'!$A$192,$EG$205^A26,IF(A26='Données projet'!$A$192,'Données projet'!$B$192,EJ25+EI26-ER25)))</f>
        <v>127.6</v>
      </c>
      <c r="EK26" s="17">
        <f>EJ26*VLOOKUP('Données projet'!$B$15,Paramètres!$A$1:$I$89,3,0)*VLOOKUP('Données projet'!$B$15,Paramètres!$A$1:$I$89,5,0)</f>
        <v>59.716799999999992</v>
      </c>
      <c r="EL26" s="13">
        <f t="shared" si="45"/>
        <v>17.096647463151516</v>
      </c>
      <c r="EM26" s="20">
        <f t="shared" si="19"/>
        <v>133.78342099832221</v>
      </c>
      <c r="EN26" s="59">
        <f t="shared" si="20"/>
        <v>427.11675433165556</v>
      </c>
      <c r="EO26" s="59">
        <f ca="1">AVERAGE(OFFSET($EN$3,0,0,'Données projet'!$E$15+1,1))-AVERAGE(OFFSET($H$3,0,0,'Données projet'!$E$15+1,1))</f>
        <v>123.60520571614535</v>
      </c>
      <c r="EP26" s="59">
        <f t="shared" si="46"/>
        <v>119.00926870519527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1.0797396169548514</v>
      </c>
      <c r="EX26" s="21">
        <f>EXP(-LN(2)/2)*EX25+(1-EXP(-LN(2)/2))/(LN(2)/2)*ER26*EU26*VLOOKUP('Données projet'!$B$15,Paramètres!$A$1:$I$89,3,0)*0.475*44/12</f>
        <v>0.64633175505636464</v>
      </c>
      <c r="EY26" s="22">
        <f t="shared" si="21"/>
        <v>1.7260713720112162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16</v>
      </c>
      <c r="FE26" s="12">
        <f>IF('Données projet'!$A$218&gt;35,FE25+FD26-FM25,IF(A26&lt;'Données projet'!$A$218,$FB$205^A26,IF(A26='Données projet'!$A$218,'Données projet'!$B$218,FE25+FD26-FM25)))</f>
        <v>94</v>
      </c>
      <c r="FF26" s="17">
        <f>FE26*VLOOKUP('Données projet'!$B$16,Paramètres!$A$1:$I$89,3,0)*VLOOKUP('Données projet'!$B$16,Paramètres!$A$1:$I$89,5,0)</f>
        <v>45.214000000000006</v>
      </c>
      <c r="FG26" s="13">
        <f t="shared" si="47"/>
        <v>13.370610138586237</v>
      </c>
      <c r="FH26" s="20">
        <f t="shared" si="22"/>
        <v>102.0348626580377</v>
      </c>
      <c r="FI26" s="59">
        <f t="shared" si="23"/>
        <v>395.36819599137101</v>
      </c>
      <c r="FJ26" s="59">
        <f ca="1">AVERAGE(OFFSET($FI$3,0,0,'Données projet'!$E$16+1,1))-AVERAGE(OFFSET($H$3,0,0,'Données projet'!$E$16+1,1))</f>
        <v>197.66963254934603</v>
      </c>
      <c r="FK26" s="59">
        <f t="shared" si="48"/>
        <v>158.08388141976138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10.199999999999999</v>
      </c>
      <c r="FZ26" s="12">
        <f>IF('Données projet'!$A$244&gt;35,FZ25+FY26-GH25,IF(A26&lt;'Données projet'!$A$244,$FW$205^A26,IF(A26='Données projet'!$A$244,'Données projet'!$B$244,FZ25+FY26-GH25)))</f>
        <v>92.600000000000009</v>
      </c>
      <c r="GA26" s="17">
        <f>FZ26*VLOOKUP('Données projet'!$B$17,Paramètres!$A$1:$I$89,3,0)*VLOOKUP('Données projet'!$B$17,Paramètres!$A$1:$I$89,5,0)</f>
        <v>55.374800000000008</v>
      </c>
      <c r="GB26" s="13">
        <f t="shared" si="49"/>
        <v>15.99346995700764</v>
      </c>
      <c r="GC26" s="20">
        <f t="shared" si="25"/>
        <v>124.29973684178829</v>
      </c>
      <c r="GD26" s="59">
        <f t="shared" si="26"/>
        <v>417.63307017512159</v>
      </c>
      <c r="GE26" s="59">
        <f ca="1">AVERAGE(OFFSET($GD$3,0,0,'Données projet'!$E$17+1,1))-AVERAGE(OFFSET($H$3,0,0,'Données projet'!$E$17+1,1))</f>
        <v>165.39579887388538</v>
      </c>
      <c r="GF26" s="59">
        <f t="shared" si="50"/>
        <v>155.89639262545802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1.2</v>
      </c>
      <c r="GU26" s="12">
        <f>IF('Données projet'!$A$270&gt;35,GU25+GT26-HC25,IF(A26&lt;'Données projet'!$A$270,$GR$205^A26,IF(A26='Données projet'!$A$270,'Données projet'!$B$270,GU25+GT26-HC25)))</f>
        <v>22.853438584779923</v>
      </c>
      <c r="GV26" s="17">
        <f>GU26*VLOOKUP('Données projet'!$B$18,Paramètres!$A$1:$I$89,3,0)*VLOOKUP('Données projet'!$B$18,Paramètres!$A$1:$I$89,5,0)</f>
        <v>24.599441292657108</v>
      </c>
      <c r="GW26" s="13">
        <f t="shared" si="51"/>
        <v>7.808607795256683</v>
      </c>
      <c r="GX26" s="20">
        <f t="shared" si="28"/>
        <v>56.444018828116505</v>
      </c>
      <c r="GY26" s="59">
        <f t="shared" si="29"/>
        <v>349.77735216144981</v>
      </c>
      <c r="GZ26" s="59">
        <f ca="1">AVERAGE(OFFSET($GY$3,0,0,'Données projet'!$E$18+1,1))-AVERAGE(OFFSET($H$3,0,0,'Données projet'!$E$18+1,1))</f>
        <v>186.60545265015247</v>
      </c>
      <c r="HA26" s="59">
        <f t="shared" si="52"/>
        <v>69.239647548491234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16.5</v>
      </c>
      <c r="N27" s="13">
        <f>IF('Données projet'!$A$36&gt;35,N26+M27-V26,IF(A27&lt;'Données projet'!$A$36,$K$205^A27,IF(A27='Données projet'!$A$36,'Données projet'!$B$36,N26+M27-V26)))</f>
        <v>141</v>
      </c>
      <c r="O27" s="13">
        <f>N27*VLOOKUP('Données projet'!$B$9,Paramètres!$A$1:$I$89,3,0)*VLOOKUP('Données projet'!$B$9,Paramètres!$A$1:$I$89,5,0)</f>
        <v>78.819000000000003</v>
      </c>
      <c r="P27" s="13">
        <f t="shared" si="33"/>
        <v>21.848174018657907</v>
      </c>
      <c r="Q27" s="20">
        <f t="shared" si="2"/>
        <v>175.32866141582917</v>
      </c>
      <c r="R27" s="59">
        <f t="shared" si="0"/>
        <v>468.66199474916249</v>
      </c>
      <c r="S27" s="59">
        <f ca="1">AVERAGE(OFFSET($R$3,0,0,'Données projet'!$E$9+1,1))-AVERAGE(OFFSET($H$3,0,0,'Données projet'!$E$9+1,1))</f>
        <v>235.10258076192054</v>
      </c>
      <c r="T27" s="59">
        <f t="shared" si="34"/>
        <v>233.47316052603765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3.636006880432515</v>
      </c>
      <c r="AB27" s="21">
        <f>EXP(-LN(2)/2)*AB26+(1-EXP(-LN(2)/2))/(LN(2)/2)*V27*Y27*VLOOKUP('Données projet'!$B$9,Paramètres!$A$1:$I$89,3,0)*0.475*44/12</f>
        <v>1.5822946357932364</v>
      </c>
      <c r="AC27" s="22">
        <f t="shared" si="3"/>
        <v>5.2183015162257513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14</v>
      </c>
      <c r="AI27" s="13">
        <f>IF('Données projet'!$A$62&gt;35,AI26+AH27-AQ26,IF(A27&lt;'Données projet'!$A$62,$AF$205^A27,IF(A27='Données projet'!$A$62,'Données projet'!$B$62,AI26+AH27-AQ26)))</f>
        <v>136.00000000000003</v>
      </c>
      <c r="AJ27" s="13">
        <f>AI27*VLOOKUP('Données projet'!$B$10,Paramètres!$A$1:$I$89,3,0)*VLOOKUP('Données projet'!$B$10,Paramètres!$A$1:$I$89,5,0)</f>
        <v>74.256000000000014</v>
      </c>
      <c r="AK27" s="13">
        <f t="shared" si="35"/>
        <v>20.726714411291823</v>
      </c>
      <c r="AL27" s="20">
        <f t="shared" si="4"/>
        <v>165.4282275996666</v>
      </c>
      <c r="AM27" s="59">
        <f t="shared" si="5"/>
        <v>458.76156093299994</v>
      </c>
      <c r="AN27" s="59">
        <f ca="1">AVERAGE(OFFSET($AM$3,0,0,'Données projet'!$E$10+1,1))-AVERAGE(OFFSET($H$3,0,0,'Données projet'!$E$10+1,1))</f>
        <v>168.72306536277267</v>
      </c>
      <c r="AO27" s="59">
        <f t="shared" si="36"/>
        <v>203.35476578922339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11.04177649694136</v>
      </c>
      <c r="AW27" s="21">
        <f>EXP(-LN(2)/2)*AW26+(1-EXP(-LN(2)/2))/(LN(2)/2)*AQ27*AT27*VLOOKUP('Données projet'!$B$10,Paramètres!$A$1:$I$89,3,0)*0.475*44/12</f>
        <v>4.4046666954523346</v>
      </c>
      <c r="AX27" s="21">
        <f t="shared" si="6"/>
        <v>15.446443192393694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102.80000000000001</v>
      </c>
      <c r="BE27" s="13">
        <f>BD27*VLOOKUP('Données projet'!$B$11,Paramètres!$A$1:$I$89,3,0)*VLOOKUP('Données projet'!$B$11,Paramètres!$A$1:$I$89,5,0)</f>
        <v>61.47440000000001</v>
      </c>
      <c r="BF27" s="13">
        <f t="shared" si="37"/>
        <v>17.540515274317094</v>
      </c>
      <c r="BG27" s="20">
        <f t="shared" si="7"/>
        <v>137.61764410276893</v>
      </c>
      <c r="BH27" s="59">
        <f t="shared" si="8"/>
        <v>430.95097743610222</v>
      </c>
      <c r="BI27" s="59">
        <f ca="1">AVERAGE(OFFSET($BH$3,0,0,'Données projet'!$E$11+1,1))-AVERAGE(OFFSET($H$3,0,0,'Données projet'!$E$11+1,1))</f>
        <v>165.39579887388538</v>
      </c>
      <c r="BJ27" s="59">
        <f t="shared" si="38"/>
        <v>155.89639262545802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1.2</v>
      </c>
      <c r="BY27" s="12">
        <f>IF('Données projet'!$A$114&gt;35,BY26+BX27-CG26,IF(A27&lt;'Données projet'!$A$114,$BV$205^A27,IF(A27='Données projet'!$A$114,'Données projet'!$B$114,BY26+BX27-CG26)))</f>
        <v>26.184024853780567</v>
      </c>
      <c r="BZ27" s="13">
        <f>BY27*VLOOKUP('Données projet'!$B$12,Paramètres!$A$1:$I$89,3,0)*VLOOKUP('Données projet'!$B$12,Paramètres!$A$1:$I$89,5,0)</f>
        <v>25.325188838576565</v>
      </c>
      <c r="CA27" s="13">
        <f t="shared" si="39"/>
        <v>8.0118207441534324</v>
      </c>
      <c r="CB27" s="20">
        <f t="shared" si="10"/>
        <v>58.061958356588072</v>
      </c>
      <c r="CC27" s="59">
        <f t="shared" si="11"/>
        <v>351.39529168992141</v>
      </c>
      <c r="CD27" s="59">
        <f ca="1">AVERAGE(OFFSET($CC$3,0,0,'Données projet'!$E$12+1,1))-AVERAGE(OFFSET($H$3,0,0,'Données projet'!$E$12+1,1))</f>
        <v>156.26368818265388</v>
      </c>
      <c r="CE27" s="59">
        <f t="shared" si="40"/>
        <v>56.347130462109817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1.2</v>
      </c>
      <c r="CT27" s="12">
        <f>IF('Données projet'!$A$140&gt;35,CT26+CS27-DB26,IF(A27&lt;'Données projet'!$A$140,$CQ$205^A27,IF(A27='Données projet'!$A$140,'Données projet'!$B$140,CT26+CS27-DB26)))</f>
        <v>26.184024853780567</v>
      </c>
      <c r="CU27" s="17">
        <f>CT27*VLOOKUP('Données projet'!$B$13,Paramètres!$A$1:$I$89,3,0)*VLOOKUP('Données projet'!$B$13,Paramètres!$A$1:$I$89,5,0)</f>
        <v>21.240480961386798</v>
      </c>
      <c r="CV27" s="13">
        <f t="shared" si="41"/>
        <v>6.8585843073192683</v>
      </c>
      <c r="CW27" s="20">
        <f t="shared" si="13"/>
        <v>48.939205342996395</v>
      </c>
      <c r="CX27" s="59">
        <f t="shared" si="14"/>
        <v>342.2725386763297</v>
      </c>
      <c r="CY27" s="59">
        <f ca="1">AVERAGE(OFFSET($CX$3,0,0,'Données projet'!$E$13+1,1))-AVERAGE(OFFSET($H$3,0,0,'Données projet'!$E$13+1,1))</f>
        <v>112.78807760743126</v>
      </c>
      <c r="CZ27" s="59">
        <f t="shared" si="42"/>
        <v>37.867745922003564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9.9</v>
      </c>
      <c r="DO27" s="12">
        <f>IF('Données projet'!$A$166&gt;35,DO26+DN27-DW26,IF(A27&lt;'Données projet'!$A$166,$DL$205^A27,IF(A27='Données projet'!$A$166,'Données projet'!$B$166,DO26+DN27-DW26)))</f>
        <v>75.600000000000009</v>
      </c>
      <c r="DP27" s="17">
        <f>DO27*VLOOKUP('Données projet'!$B$14,Paramètres!$A$1:$I$89,3,0)*VLOOKUP('Données projet'!$B$14,Paramètres!$A$1:$I$89,5,0)</f>
        <v>50.712480000000006</v>
      </c>
      <c r="DQ27" s="13">
        <f t="shared" si="43"/>
        <v>14.797608936552455</v>
      </c>
      <c r="DR27" s="20">
        <f t="shared" si="16"/>
        <v>114.09673823116221</v>
      </c>
      <c r="DS27" s="59">
        <f t="shared" si="17"/>
        <v>407.43007156449551</v>
      </c>
      <c r="DT27" s="59">
        <f ca="1">AVERAGE(OFFSET($DS$3,0,0,'Données projet'!$E$14+1,1))-AVERAGE(OFFSET($H$3,0,0,'Données projet'!$E$14+1,1))</f>
        <v>107.15837202366862</v>
      </c>
      <c r="DU27" s="59">
        <f t="shared" si="44"/>
        <v>139.67031833740026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1.8394889354188131</v>
      </c>
      <c r="EC27" s="21">
        <f>EXP(-LN(2)/2)*EC26+(1-EXP(-LN(2)/2))/(LN(2)/2)*DW27*DZ27*VLOOKUP('Données projet'!$B$14,Paramètres!$A$1:$I$89,3,0)*0.475*44/12</f>
        <v>0.83070468379144913</v>
      </c>
      <c r="ED27" s="22">
        <f t="shared" si="18"/>
        <v>2.670193619210262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6.5</v>
      </c>
      <c r="EJ27" s="12">
        <f>IF('Données projet'!$A$192&gt;35,EJ26+EI27-ER26,IF(A27&lt;'Données projet'!$A$192,$EG$205^A27,IF(A27='Données projet'!$A$192,'Données projet'!$B$192,EJ26+EI27-ER26)))</f>
        <v>134.1</v>
      </c>
      <c r="EK27" s="17">
        <f>EJ27*VLOOKUP('Données projet'!$B$15,Paramètres!$A$1:$I$89,3,0)*VLOOKUP('Données projet'!$B$15,Paramètres!$A$1:$I$89,5,0)</f>
        <v>62.758800000000001</v>
      </c>
      <c r="EL27" s="13">
        <f t="shared" si="45"/>
        <v>17.863944827559084</v>
      </c>
      <c r="EM27" s="20">
        <f t="shared" si="19"/>
        <v>140.41794724133206</v>
      </c>
      <c r="EN27" s="59">
        <f t="shared" si="20"/>
        <v>433.75128057466537</v>
      </c>
      <c r="EO27" s="59">
        <f ca="1">AVERAGE(OFFSET($EN$3,0,0,'Données projet'!$E$15+1,1))-AVERAGE(OFFSET($H$3,0,0,'Données projet'!$E$15+1,1))</f>
        <v>123.60520571614535</v>
      </c>
      <c r="EP27" s="59">
        <f t="shared" si="46"/>
        <v>119.00926870519527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1.0502140803481823</v>
      </c>
      <c r="EX27" s="21">
        <f>EXP(-LN(2)/2)*EX26+(1-EXP(-LN(2)/2))/(LN(2)/2)*ER27*EU27*VLOOKUP('Données projet'!$B$15,Paramètres!$A$1:$I$89,3,0)*0.475*44/12</f>
        <v>0.4570255668965581</v>
      </c>
      <c r="EY27" s="22">
        <f t="shared" si="21"/>
        <v>1.5072396472447405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16</v>
      </c>
      <c r="FE27" s="12">
        <f>IF('Données projet'!$A$218&gt;35,FE26+FD27-FM26,IF(A27&lt;'Données projet'!$A$218,$FB$205^A27,IF(A27='Données projet'!$A$218,'Données projet'!$B$218,FE26+FD27-FM26)))</f>
        <v>110</v>
      </c>
      <c r="FF27" s="17">
        <f>FE27*VLOOKUP('Données projet'!$B$16,Paramètres!$A$1:$I$89,3,0)*VLOOKUP('Données projet'!$B$16,Paramètres!$A$1:$I$89,5,0)</f>
        <v>52.910000000000004</v>
      </c>
      <c r="FG27" s="13">
        <f t="shared" si="47"/>
        <v>15.362787768111669</v>
      </c>
      <c r="FH27" s="20">
        <f t="shared" si="22"/>
        <v>118.90843869612782</v>
      </c>
      <c r="FI27" s="59">
        <f t="shared" si="23"/>
        <v>412.24177202946112</v>
      </c>
      <c r="FJ27" s="59">
        <f ca="1">AVERAGE(OFFSET($FI$3,0,0,'Données projet'!$E$16+1,1))-AVERAGE(OFFSET($H$3,0,0,'Données projet'!$E$16+1,1))</f>
        <v>197.66963254934603</v>
      </c>
      <c r="FK27" s="59">
        <f t="shared" si="48"/>
        <v>158.08388141976138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10.199999999999999</v>
      </c>
      <c r="FZ27" s="12">
        <f>IF('Données projet'!$A$244&gt;35,FZ26+FY27-GH26,IF(A27&lt;'Données projet'!$A$244,$FW$205^A27,IF(A27='Données projet'!$A$244,'Données projet'!$B$244,FZ26+FY27-GH26)))</f>
        <v>102.80000000000001</v>
      </c>
      <c r="GA27" s="17">
        <f>FZ27*VLOOKUP('Données projet'!$B$17,Paramètres!$A$1:$I$89,3,0)*VLOOKUP('Données projet'!$B$17,Paramètres!$A$1:$I$89,5,0)</f>
        <v>61.47440000000001</v>
      </c>
      <c r="GB27" s="13">
        <f t="shared" si="49"/>
        <v>17.540515274317094</v>
      </c>
      <c r="GC27" s="20">
        <f t="shared" si="25"/>
        <v>137.61764410276893</v>
      </c>
      <c r="GD27" s="59">
        <f t="shared" si="26"/>
        <v>430.95097743610222</v>
      </c>
      <c r="GE27" s="59">
        <f ca="1">AVERAGE(OFFSET($GD$3,0,0,'Données projet'!$E$17+1,1))-AVERAGE(OFFSET($H$3,0,0,'Données projet'!$E$17+1,1))</f>
        <v>165.39579887388538</v>
      </c>
      <c r="GF27" s="59">
        <f t="shared" si="50"/>
        <v>155.89639262545802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1.2</v>
      </c>
      <c r="GU27" s="12">
        <f>IF('Données projet'!$A$270&gt;35,GU26+GT27-HC26,IF(A27&lt;'Données projet'!$A$270,$GR$205^A27,IF(A27='Données projet'!$A$270,'Données projet'!$B$270,GU26+GT27-HC26)))</f>
        <v>26.184024853780567</v>
      </c>
      <c r="GV27" s="17">
        <f>GU27*VLOOKUP('Données projet'!$B$18,Paramètres!$A$1:$I$89,3,0)*VLOOKUP('Données projet'!$B$18,Paramètres!$A$1:$I$89,5,0)</f>
        <v>28.184484352609399</v>
      </c>
      <c r="GW27" s="13">
        <f t="shared" si="51"/>
        <v>8.8060466863244411</v>
      </c>
      <c r="GX27" s="20">
        <f t="shared" si="28"/>
        <v>64.425174892809764</v>
      </c>
      <c r="GY27" s="59">
        <f t="shared" si="29"/>
        <v>357.75850822614308</v>
      </c>
      <c r="GZ27" s="59">
        <f ca="1">AVERAGE(OFFSET($GY$3,0,0,'Données projet'!$E$18+1,1))-AVERAGE(OFFSET($H$3,0,0,'Données projet'!$E$18+1,1))</f>
        <v>186.60545265015247</v>
      </c>
      <c r="HA27" s="59">
        <f t="shared" si="52"/>
        <v>69.239647548491234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16.5</v>
      </c>
      <c r="N28" s="13">
        <f>IF('Données projet'!$A$36&gt;35,N27+M28-V27,IF(A28&lt;'Données projet'!$A$36,$K$205^A28,IF(A28='Données projet'!$A$36,'Données projet'!$B$36,N27+M28-V27)))</f>
        <v>157.5</v>
      </c>
      <c r="O28" s="13">
        <f>N28*VLOOKUP('Données projet'!$B$9,Paramètres!$A$1:$I$89,3,0)*VLOOKUP('Données projet'!$B$9,Paramètres!$A$1:$I$89,5,0)</f>
        <v>88.04249999999999</v>
      </c>
      <c r="P28" s="13">
        <f t="shared" si="33"/>
        <v>24.0925206268385</v>
      </c>
      <c r="Q28" s="20">
        <f t="shared" si="2"/>
        <v>195.30182759174372</v>
      </c>
      <c r="R28" s="59">
        <f t="shared" si="0"/>
        <v>488.635160925077</v>
      </c>
      <c r="S28" s="59">
        <f ca="1">AVERAGE(OFFSET($R$3,0,0,'Données projet'!$E$9+1,1))-AVERAGE(OFFSET($H$3,0,0,'Données projet'!$E$9+1,1))</f>
        <v>235.10258076192054</v>
      </c>
      <c r="T28" s="59">
        <f t="shared" si="34"/>
        <v>233.47316052603765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3.5365800810777963</v>
      </c>
      <c r="AB28" s="21">
        <f>EXP(-LN(2)/2)*AB27+(1-EXP(-LN(2)/2))/(LN(2)/2)*V28*Y28*VLOOKUP('Données projet'!$B$9,Paramètres!$A$1:$I$89,3,0)*0.475*44/12</f>
        <v>1.1188512668044959</v>
      </c>
      <c r="AC28" s="22">
        <f t="shared" si="3"/>
        <v>4.655431347882292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</v>
      </c>
      <c r="AI28" s="13">
        <f>IF('Données projet'!$A$62&gt;35,AI27+AH28-AQ27,IF(A28&lt;'Données projet'!$A$62,$AF$205^A28,IF(A28='Données projet'!$A$62,'Données projet'!$B$62,AI27+AH28-AQ27)))</f>
        <v>150.00000000000003</v>
      </c>
      <c r="AJ28" s="13">
        <f>AI28*VLOOKUP('Données projet'!$B$10,Paramètres!$A$1:$I$89,3,0)*VLOOKUP('Données projet'!$B$10,Paramètres!$A$1:$I$89,5,0)</f>
        <v>81.900000000000006</v>
      </c>
      <c r="AK28" s="13">
        <f t="shared" si="35"/>
        <v>22.601107473346342</v>
      </c>
      <c r="AL28" s="20">
        <f t="shared" si="4"/>
        <v>182.0060955160782</v>
      </c>
      <c r="AM28" s="59">
        <f t="shared" si="5"/>
        <v>475.33942884941155</v>
      </c>
      <c r="AN28" s="59">
        <f ca="1">AVERAGE(OFFSET($AM$3,0,0,'Données projet'!$E$10+1,1))-AVERAGE(OFFSET($H$3,0,0,'Données projet'!$E$10+1,1))</f>
        <v>168.72306536277267</v>
      </c>
      <c r="AO28" s="59">
        <f t="shared" si="36"/>
        <v>203.35476578922339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10.739838537970709</v>
      </c>
      <c r="AW28" s="21">
        <f>EXP(-LN(2)/2)*AW27+(1-EXP(-LN(2)/2))/(LN(2)/2)*AQ28*AT28*VLOOKUP('Données projet'!$B$10,Paramètres!$A$1:$I$89,3,0)*0.475*44/12</f>
        <v>3.1145696892208874</v>
      </c>
      <c r="AX28" s="21">
        <f t="shared" si="6"/>
        <v>13.854408227191596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113.00000000000001</v>
      </c>
      <c r="BE28" s="13">
        <f>BD28*VLOOKUP('Données projet'!$B$11,Paramètres!$A$1:$I$89,3,0)*VLOOKUP('Données projet'!$B$11,Paramètres!$A$1:$I$89,5,0)</f>
        <v>67.574000000000012</v>
      </c>
      <c r="BF28" s="13">
        <f t="shared" si="37"/>
        <v>19.069765110231607</v>
      </c>
      <c r="BG28" s="20">
        <f t="shared" si="7"/>
        <v>150.90455756698671</v>
      </c>
      <c r="BH28" s="59">
        <f t="shared" si="8"/>
        <v>444.23789090032005</v>
      </c>
      <c r="BI28" s="59">
        <f ca="1">AVERAGE(OFFSET($BH$3,0,0,'Données projet'!$E$11+1,1))-AVERAGE(OFFSET($H$3,0,0,'Données projet'!$E$11+1,1))</f>
        <v>165.39579887388538</v>
      </c>
      <c r="BJ28" s="59">
        <f t="shared" si="38"/>
        <v>155.89639262545802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30</v>
      </c>
      <c r="BW28" s="12">
        <f>VLOOKUP(A28,'Données projet'!$A$113:$I$133,9,0)</f>
        <v>1.2</v>
      </c>
      <c r="BX28" s="12">
        <f t="array" ref="BX28">INDEX(BW:BW,MIN(IF(ISNUMBER(BW28:BW224),ROW(BW28:BW224),"")))</f>
        <v>1.2</v>
      </c>
      <c r="BY28" s="12">
        <f>IF('Données projet'!$A$114&gt;35,BY27+BX28-CG27,IF(A28&lt;'Données projet'!$A$114,$BV$205^A28,IF(A28='Données projet'!$A$114,'Données projet'!$B$114,BY27+BX28-CG27)))</f>
        <v>30</v>
      </c>
      <c r="BZ28" s="13">
        <f>BY28*VLOOKUP('Données projet'!$B$12,Paramètres!$A$1:$I$89,3,0)*VLOOKUP('Données projet'!$B$12,Paramètres!$A$1:$I$89,5,0)</f>
        <v>29.016000000000002</v>
      </c>
      <c r="CA28" s="13">
        <f t="shared" si="39"/>
        <v>9.0352172071357728</v>
      </c>
      <c r="CB28" s="20">
        <f t="shared" si="10"/>
        <v>66.272536635761469</v>
      </c>
      <c r="CC28" s="59">
        <f t="shared" si="11"/>
        <v>359.60586996909478</v>
      </c>
      <c r="CD28" s="59">
        <f ca="1">AVERAGE(OFFSET($CC$3,0,0,'Données projet'!$E$12+1,1))-AVERAGE(OFFSET($H$3,0,0,'Données projet'!$E$12+1,1))</f>
        <v>156.26368818265388</v>
      </c>
      <c r="CE28" s="59">
        <f t="shared" si="40"/>
        <v>56.347130462109817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30</v>
      </c>
      <c r="CR28" s="12">
        <f>VLOOKUP(A28,'Données projet'!$A$139:$I$159,9,0)</f>
        <v>1.2</v>
      </c>
      <c r="CS28" s="12">
        <f t="array" ref="CS28">INDEX(CR:CR,MIN(IF(ISNUMBER(CR28:CR224),ROW(CR28:CR224),"")))</f>
        <v>1.2</v>
      </c>
      <c r="CT28" s="12">
        <f>IF('Données projet'!$A$140&gt;35,CT27+CS28-DB27,IF(A28&lt;'Données projet'!$A$140,$CQ$205^A28,IF(A28='Données projet'!$A$140,'Données projet'!$B$140,CT27+CS28-DB27)))</f>
        <v>30</v>
      </c>
      <c r="CU28" s="17">
        <f>CT28*VLOOKUP('Données projet'!$B$13,Paramètres!$A$1:$I$89,3,0)*VLOOKUP('Données projet'!$B$13,Paramètres!$A$1:$I$89,5,0)</f>
        <v>24.336000000000002</v>
      </c>
      <c r="CV28" s="13">
        <f t="shared" si="41"/>
        <v>7.7346711726299766</v>
      </c>
      <c r="CW28" s="20">
        <f t="shared" si="13"/>
        <v>55.85641895899721</v>
      </c>
      <c r="CX28" s="59">
        <f t="shared" si="14"/>
        <v>349.18975229233052</v>
      </c>
      <c r="CY28" s="59">
        <f ca="1">AVERAGE(OFFSET($CX$3,0,0,'Données projet'!$E$13+1,1))-AVERAGE(OFFSET($H$3,0,0,'Données projet'!$E$13+1,1))</f>
        <v>112.78807760743126</v>
      </c>
      <c r="CZ28" s="59">
        <f t="shared" si="42"/>
        <v>37.867745922003564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9.9</v>
      </c>
      <c r="DO28" s="12">
        <f>IF('Données projet'!$A$166&gt;35,DO27+DN28-DW27,IF(A28&lt;'Données projet'!$A$166,$DL$205^A28,IF(A28='Données projet'!$A$166,'Données projet'!$B$166,DO27+DN28-DW27)))</f>
        <v>85.500000000000014</v>
      </c>
      <c r="DP28" s="17">
        <f>DO28*VLOOKUP('Données projet'!$B$14,Paramètres!$A$1:$I$89,3,0)*VLOOKUP('Données projet'!$B$14,Paramètres!$A$1:$I$89,5,0)</f>
        <v>57.353400000000015</v>
      </c>
      <c r="DQ28" s="13">
        <f t="shared" si="43"/>
        <v>16.497378794334111</v>
      </c>
      <c r="DR28" s="20">
        <f t="shared" si="16"/>
        <v>128.62343973346526</v>
      </c>
      <c r="DS28" s="59">
        <f t="shared" si="17"/>
        <v>421.95677306679858</v>
      </c>
      <c r="DT28" s="59">
        <f ca="1">AVERAGE(OFFSET($DS$3,0,0,'Données projet'!$E$14+1,1))-AVERAGE(OFFSET($H$3,0,0,'Données projet'!$E$14+1,1))</f>
        <v>107.15837202366862</v>
      </c>
      <c r="DU28" s="59">
        <f t="shared" si="44"/>
        <v>139.67031833740026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1.7891880137452667</v>
      </c>
      <c r="EC28" s="21">
        <f>EXP(-LN(2)/2)*EC27+(1-EXP(-LN(2)/2))/(LN(2)/2)*DW28*DZ28*VLOOKUP('Données projet'!$B$14,Paramètres!$A$1:$I$89,3,0)*0.475*44/12</f>
        <v>0.58739691507236036</v>
      </c>
      <c r="ED28" s="22">
        <f t="shared" si="18"/>
        <v>2.3765849288176271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6.5</v>
      </c>
      <c r="EJ28" s="12">
        <f>IF('Données projet'!$A$192&gt;35,EJ27+EI28-ER27,IF(A28&lt;'Données projet'!$A$192,$EG$205^A28,IF(A28='Données projet'!$A$192,'Données projet'!$B$192,EJ27+EI28-ER27)))</f>
        <v>140.6</v>
      </c>
      <c r="EK28" s="17">
        <f>EJ28*VLOOKUP('Données projet'!$B$15,Paramètres!$A$1:$I$89,3,0)*VLOOKUP('Données projet'!$B$15,Paramètres!$A$1:$I$89,5,0)</f>
        <v>65.800799999999995</v>
      </c>
      <c r="EL28" s="13">
        <f t="shared" si="45"/>
        <v>18.626923459774289</v>
      </c>
      <c r="EM28" s="20">
        <f t="shared" si="19"/>
        <v>147.04495169244021</v>
      </c>
      <c r="EN28" s="59">
        <f t="shared" si="20"/>
        <v>440.37828502577349</v>
      </c>
      <c r="EO28" s="59">
        <f ca="1">AVERAGE(OFFSET($EN$3,0,0,'Données projet'!$E$15+1,1))-AVERAGE(OFFSET($H$3,0,0,'Données projet'!$E$15+1,1))</f>
        <v>123.60520571614535</v>
      </c>
      <c r="EP28" s="59">
        <f t="shared" si="46"/>
        <v>119.00926870519527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1.021495921092703</v>
      </c>
      <c r="EX28" s="21">
        <f>EXP(-LN(2)/2)*EX27+(1-EXP(-LN(2)/2))/(LN(2)/2)*ER28*EU28*VLOOKUP('Données projet'!$B$15,Paramètres!$A$1:$I$89,3,0)*0.475*44/12</f>
        <v>0.32316587752818238</v>
      </c>
      <c r="EY28" s="22">
        <f t="shared" si="21"/>
        <v>1.3446617986208853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16</v>
      </c>
      <c r="FE28" s="12">
        <f>IF('Données projet'!$A$218&gt;35,FE27+FD28-FM27,IF(A28&lt;'Données projet'!$A$218,$FB$205^A28,IF(A28='Données projet'!$A$218,'Données projet'!$B$218,FE27+FD28-FM27)))</f>
        <v>126</v>
      </c>
      <c r="FF28" s="17">
        <f>FE28*VLOOKUP('Données projet'!$B$16,Paramètres!$A$1:$I$89,3,0)*VLOOKUP('Données projet'!$B$16,Paramètres!$A$1:$I$89,5,0)</f>
        <v>60.606000000000002</v>
      </c>
      <c r="FG28" s="13">
        <f t="shared" si="47"/>
        <v>17.321395099131887</v>
      </c>
      <c r="FH28" s="20">
        <f t="shared" si="22"/>
        <v>135.72354646432137</v>
      </c>
      <c r="FI28" s="59">
        <f t="shared" si="23"/>
        <v>429.05687979765469</v>
      </c>
      <c r="FJ28" s="59">
        <f ca="1">AVERAGE(OFFSET($FI$3,0,0,'Données projet'!$E$16+1,1))-AVERAGE(OFFSET($H$3,0,0,'Données projet'!$E$16+1,1))</f>
        <v>197.66963254934603</v>
      </c>
      <c r="FK28" s="59">
        <f t="shared" si="48"/>
        <v>158.08388141976138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10.199999999999999</v>
      </c>
      <c r="FZ28" s="12">
        <f>IF('Données projet'!$A$244&gt;35,FZ27+FY28-GH27,IF(A28&lt;'Données projet'!$A$244,$FW$205^A28,IF(A28='Données projet'!$A$244,'Données projet'!$B$244,FZ27+FY28-GH27)))</f>
        <v>113.00000000000001</v>
      </c>
      <c r="GA28" s="17">
        <f>FZ28*VLOOKUP('Données projet'!$B$17,Paramètres!$A$1:$I$89,3,0)*VLOOKUP('Données projet'!$B$17,Paramètres!$A$1:$I$89,5,0)</f>
        <v>67.574000000000012</v>
      </c>
      <c r="GB28" s="13">
        <f t="shared" si="49"/>
        <v>19.069765110231607</v>
      </c>
      <c r="GC28" s="20">
        <f t="shared" si="25"/>
        <v>150.90455756698671</v>
      </c>
      <c r="GD28" s="59">
        <f t="shared" si="26"/>
        <v>444.23789090032005</v>
      </c>
      <c r="GE28" s="59">
        <f ca="1">AVERAGE(OFFSET($GD$3,0,0,'Données projet'!$E$17+1,1))-AVERAGE(OFFSET($H$3,0,0,'Données projet'!$E$17+1,1))</f>
        <v>165.39579887388538</v>
      </c>
      <c r="GF28" s="59">
        <f t="shared" si="50"/>
        <v>155.89639262545802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>
        <f>VLOOKUP(A28,'Données projet'!$A$269:$I$289,2,0)</f>
        <v>30</v>
      </c>
      <c r="GS28" s="12">
        <f>VLOOKUP(A28,'Données projet'!$A$269:$I$289,9,0)</f>
        <v>1.2</v>
      </c>
      <c r="GT28" s="12">
        <f t="array" ref="GT28">INDEX(GS:GS,MIN(IF(ISNUMBER(GS28:GS224),ROW(GS28:GS224),"")))</f>
        <v>1.2</v>
      </c>
      <c r="GU28" s="12">
        <f>IF('Données projet'!$A$270&gt;35,GU27+GT28-HC27,IF(A28&lt;'Données projet'!$A$270,$GR$205^A28,IF(A28='Données projet'!$A$270,'Données projet'!$B$270,GU27+GT28-HC27)))</f>
        <v>30</v>
      </c>
      <c r="GV28" s="17">
        <f>GU28*VLOOKUP('Données projet'!$B$18,Paramètres!$A$1:$I$89,3,0)*VLOOKUP('Données projet'!$B$18,Paramètres!$A$1:$I$89,5,0)</f>
        <v>32.292000000000002</v>
      </c>
      <c r="GW28" s="13">
        <f t="shared" si="51"/>
        <v>9.9308942483743401</v>
      </c>
      <c r="GX28" s="20">
        <f t="shared" si="28"/>
        <v>73.538207482585321</v>
      </c>
      <c r="GY28" s="59">
        <f t="shared" si="29"/>
        <v>366.87154081591865</v>
      </c>
      <c r="GZ28" s="59">
        <f ca="1">AVERAGE(OFFSET($GY$3,0,0,'Données projet'!$E$18+1,1))-AVERAGE(OFFSET($H$3,0,0,'Données projet'!$E$18+1,1))</f>
        <v>186.60545265015247</v>
      </c>
      <c r="HA28" s="59">
        <f t="shared" si="52"/>
        <v>69.239647548491234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</v>
      </c>
      <c r="N29" s="13">
        <f>IF('Données projet'!$A$36&gt;35,N28+M29-V28,IF(A29&lt;'Données projet'!$A$36,$K$205^A29,IF(A29='Données projet'!$A$36,'Données projet'!$B$36,N28+M29-V28)))</f>
        <v>174</v>
      </c>
      <c r="O29" s="13">
        <f>N29*VLOOKUP('Données projet'!$B$9,Paramètres!$A$1:$I$89,3,0)*VLOOKUP('Données projet'!$B$9,Paramètres!$A$1:$I$89,5,0)</f>
        <v>97.265999999999991</v>
      </c>
      <c r="P29" s="13">
        <f t="shared" si="33"/>
        <v>26.309612648745627</v>
      </c>
      <c r="Q29" s="20">
        <f t="shared" si="2"/>
        <v>215.22752536323196</v>
      </c>
      <c r="R29" s="59">
        <f t="shared" si="0"/>
        <v>508.56085869656528</v>
      </c>
      <c r="S29" s="59">
        <f ca="1">AVERAGE(OFFSET($R$3,0,0,'Données projet'!$E$9+1,1))-AVERAGE(OFFSET($H$3,0,0,'Données projet'!$E$9+1,1))</f>
        <v>235.10258076192054</v>
      </c>
      <c r="T29" s="59">
        <f t="shared" si="34"/>
        <v>233.47316052603765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3.4398721127800607</v>
      </c>
      <c r="AB29" s="21">
        <f>EXP(-LN(2)/2)*AB28+(1-EXP(-LN(2)/2))/(LN(2)/2)*V29*Y29*VLOOKUP('Données projet'!$B$9,Paramètres!$A$1:$I$89,3,0)*0.475*44/12</f>
        <v>0.79114731789661819</v>
      </c>
      <c r="AC29" s="22">
        <f t="shared" si="3"/>
        <v>4.2310194306766791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</v>
      </c>
      <c r="AI29" s="13">
        <f>IF('Données projet'!$A$62&gt;35,AI28+AH29-AQ28,IF(A29&lt;'Données projet'!$A$62,$AF$205^A29,IF(A29='Données projet'!$A$62,'Données projet'!$B$62,AI28+AH29-AQ28)))</f>
        <v>164.00000000000003</v>
      </c>
      <c r="AJ29" s="13">
        <f>AI29*VLOOKUP('Données projet'!$B$10,Paramètres!$A$1:$I$89,3,0)*VLOOKUP('Données projet'!$B$10,Paramètres!$A$1:$I$89,5,0)</f>
        <v>89.544000000000011</v>
      </c>
      <c r="AK29" s="13">
        <f t="shared" si="35"/>
        <v>24.45521628326841</v>
      </c>
      <c r="AL29" s="20">
        <f t="shared" si="4"/>
        <v>198.54863502669249</v>
      </c>
      <c r="AM29" s="59">
        <f t="shared" si="5"/>
        <v>491.88196836002578</v>
      </c>
      <c r="AN29" s="59">
        <f ca="1">AVERAGE(OFFSET($AM$3,0,0,'Données projet'!$E$10+1,1))-AVERAGE(OFFSET($H$3,0,0,'Données projet'!$E$10+1,1))</f>
        <v>168.72306536277267</v>
      </c>
      <c r="AO29" s="59">
        <f t="shared" si="36"/>
        <v>203.35476578922339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10.446157088366338</v>
      </c>
      <c r="AW29" s="21">
        <f>EXP(-LN(2)/2)*AW28+(1-EXP(-LN(2)/2))/(LN(2)/2)*AQ29*AT29*VLOOKUP('Données projet'!$B$10,Paramètres!$A$1:$I$89,3,0)*0.475*44/12</f>
        <v>2.2023333477261673</v>
      </c>
      <c r="AX29" s="21">
        <f t="shared" si="6"/>
        <v>12.648490436092505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10.199999999999999</v>
      </c>
      <c r="BD29" s="12">
        <f>IF('Données projet'!$A$88&gt;35,BD28+BC29-BL28,IF(A29&lt;'Données projet'!$A$88,$BA$205^A29,IF(A29='Données projet'!$A$88,'Données projet'!$B$88,BD28+BC29-BL28)))</f>
        <v>123.20000000000002</v>
      </c>
      <c r="BE29" s="13">
        <f>BD29*VLOOKUP('Données projet'!$B$11,Paramètres!$A$1:$I$89,3,0)*VLOOKUP('Données projet'!$B$11,Paramètres!$A$1:$I$89,5,0)</f>
        <v>73.673600000000022</v>
      </c>
      <c r="BF29" s="13">
        <f t="shared" si="37"/>
        <v>20.583008456666128</v>
      </c>
      <c r="BG29" s="20">
        <f t="shared" si="7"/>
        <v>164.16359306202688</v>
      </c>
      <c r="BH29" s="59">
        <f t="shared" si="8"/>
        <v>457.49692639536022</v>
      </c>
      <c r="BI29" s="59">
        <f ca="1">AVERAGE(OFFSET($BH$3,0,0,'Données projet'!$E$11+1,1))-AVERAGE(OFFSET($H$3,0,0,'Données projet'!$E$11+1,1))</f>
        <v>165.39579887388538</v>
      </c>
      <c r="BJ29" s="59">
        <f t="shared" si="38"/>
        <v>155.89639262545802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</v>
      </c>
      <c r="BY29" s="12">
        <f>IF('Données projet'!$A$114&gt;35,BY28+BX29-CG28,IF(A29&lt;'Données projet'!$A$114,$BV$205^A29,IF(A29='Données projet'!$A$114,'Données projet'!$B$114,BY28+BX29-CG28)))</f>
        <v>34.799999999999997</v>
      </c>
      <c r="BZ29" s="13">
        <f>BY29*VLOOKUP('Données projet'!$B$12,Paramètres!$A$1:$I$89,3,0)*VLOOKUP('Données projet'!$B$12,Paramètres!$A$1:$I$89,5,0)</f>
        <v>33.658559999999994</v>
      </c>
      <c r="CA29" s="13">
        <f t="shared" si="39"/>
        <v>10.301338939492439</v>
      </c>
      <c r="CB29" s="20">
        <f t="shared" si="10"/>
        <v>76.563490652949312</v>
      </c>
      <c r="CC29" s="59">
        <f t="shared" si="11"/>
        <v>369.89682398628264</v>
      </c>
      <c r="CD29" s="59">
        <f ca="1">AVERAGE(OFFSET($CC$3,0,0,'Données projet'!$E$12+1,1))-AVERAGE(OFFSET($H$3,0,0,'Données projet'!$E$12+1,1))</f>
        <v>156.26368818265388</v>
      </c>
      <c r="CE29" s="59">
        <f t="shared" si="40"/>
        <v>56.347130462109817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4.8</v>
      </c>
      <c r="CT29" s="12">
        <f>IF('Données projet'!$A$140&gt;35,CT28+CS29-DB28,IF(A29&lt;'Données projet'!$A$140,$CQ$205^A29,IF(A29='Données projet'!$A$140,'Données projet'!$B$140,CT28+CS29-DB28)))</f>
        <v>34.799999999999997</v>
      </c>
      <c r="CU29" s="17">
        <f>CT29*VLOOKUP('Données projet'!$B$13,Paramètres!$A$1:$I$89,3,0)*VLOOKUP('Données projet'!$B$13,Paramètres!$A$1:$I$89,5,0)</f>
        <v>28.229760000000002</v>
      </c>
      <c r="CV29" s="13">
        <f t="shared" si="41"/>
        <v>8.8185449788474095</v>
      </c>
      <c r="CW29" s="20">
        <f t="shared" si="13"/>
        <v>64.525797838159249</v>
      </c>
      <c r="CX29" s="59">
        <f t="shared" si="14"/>
        <v>357.85913117149255</v>
      </c>
      <c r="CY29" s="59">
        <f ca="1">AVERAGE(OFFSET($CX$3,0,0,'Données projet'!$E$13+1,1))-AVERAGE(OFFSET($H$3,0,0,'Données projet'!$E$13+1,1))</f>
        <v>112.78807760743126</v>
      </c>
      <c r="CZ29" s="59">
        <f t="shared" si="42"/>
        <v>37.867745922003564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9.9</v>
      </c>
      <c r="DO29" s="12">
        <f>IF('Données projet'!$A$166&gt;35,DO28+DN29-DW28,IF(A29&lt;'Données projet'!$A$166,$DL$205^A29,IF(A29='Données projet'!$A$166,'Données projet'!$B$166,DO28+DN29-DW28)))</f>
        <v>95.40000000000002</v>
      </c>
      <c r="DP29" s="17">
        <f>DO29*VLOOKUP('Données projet'!$B$14,Paramètres!$A$1:$I$89,3,0)*VLOOKUP('Données projet'!$B$14,Paramètres!$A$1:$I$89,5,0)</f>
        <v>63.994320000000009</v>
      </c>
      <c r="DQ29" s="13">
        <f t="shared" si="43"/>
        <v>18.174339279095072</v>
      </c>
      <c r="DR29" s="20">
        <f t="shared" si="16"/>
        <v>143.1104149110906</v>
      </c>
      <c r="DS29" s="59">
        <f t="shared" si="17"/>
        <v>436.44374824442389</v>
      </c>
      <c r="DT29" s="59">
        <f ca="1">AVERAGE(OFFSET($DS$3,0,0,'Données projet'!$E$14+1,1))-AVERAGE(OFFSET($H$3,0,0,'Données projet'!$E$14+1,1))</f>
        <v>107.15837202366862</v>
      </c>
      <c r="DU29" s="59">
        <f t="shared" si="44"/>
        <v>139.67031833740026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1.740262573420094</v>
      </c>
      <c r="EC29" s="21">
        <f>EXP(-LN(2)/2)*EC28+(1-EXP(-LN(2)/2))/(LN(2)/2)*DW29*DZ29*VLOOKUP('Données projet'!$B$14,Paramètres!$A$1:$I$89,3,0)*0.475*44/12</f>
        <v>0.41535234189572456</v>
      </c>
      <c r="ED29" s="22">
        <f t="shared" si="18"/>
        <v>2.1556149153158186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6.5</v>
      </c>
      <c r="EJ29" s="12">
        <f>IF('Données projet'!$A$192&gt;35,EJ28+EI29-ER28,IF(A29&lt;'Données projet'!$A$192,$EG$205^A29,IF(A29='Données projet'!$A$192,'Données projet'!$B$192,EJ28+EI29-ER28)))</f>
        <v>147.1</v>
      </c>
      <c r="EK29" s="17">
        <f>EJ29*VLOOKUP('Données projet'!$B$15,Paramètres!$A$1:$I$89,3,0)*VLOOKUP('Données projet'!$B$15,Paramètres!$A$1:$I$89,5,0)</f>
        <v>68.842799999999997</v>
      </c>
      <c r="EL29" s="13">
        <f t="shared" si="45"/>
        <v>19.385805820089459</v>
      </c>
      <c r="EM29" s="20">
        <f t="shared" si="19"/>
        <v>153.66482180332244</v>
      </c>
      <c r="EN29" s="59">
        <f t="shared" si="20"/>
        <v>446.99815513665578</v>
      </c>
      <c r="EO29" s="59">
        <f ca="1">AVERAGE(OFFSET($EN$3,0,0,'Données projet'!$E$15+1,1))-AVERAGE(OFFSET($H$3,0,0,'Données projet'!$E$15+1,1))</f>
        <v>123.60520571614535</v>
      </c>
      <c r="EP29" s="59">
        <f t="shared" si="46"/>
        <v>119.00926870519527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0.99356306141228723</v>
      </c>
      <c r="EX29" s="21">
        <f>EXP(-LN(2)/2)*EX28+(1-EXP(-LN(2)/2))/(LN(2)/2)*ER29*EU29*VLOOKUP('Données projet'!$B$15,Paramètres!$A$1:$I$89,3,0)*0.475*44/12</f>
        <v>0.22851278344827908</v>
      </c>
      <c r="EY29" s="22">
        <f t="shared" si="21"/>
        <v>1.2220758448605662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16</v>
      </c>
      <c r="FE29" s="12">
        <f>IF('Données projet'!$A$218&gt;35,FE28+FD29-FM28,IF(A29&lt;'Données projet'!$A$218,$FB$205^A29,IF(A29='Données projet'!$A$218,'Données projet'!$B$218,FE28+FD29-FM28)))</f>
        <v>142</v>
      </c>
      <c r="FF29" s="17">
        <f>FE29*VLOOKUP('Données projet'!$B$16,Paramètres!$A$1:$I$89,3,0)*VLOOKUP('Données projet'!$B$16,Paramètres!$A$1:$I$89,5,0)</f>
        <v>68.302000000000007</v>
      </c>
      <c r="FG29" s="13">
        <f t="shared" si="47"/>
        <v>19.251183578735116</v>
      </c>
      <c r="FH29" s="20">
        <f t="shared" si="22"/>
        <v>152.48846139963032</v>
      </c>
      <c r="FI29" s="59">
        <f t="shared" si="23"/>
        <v>445.82179473296367</v>
      </c>
      <c r="FJ29" s="59">
        <f ca="1">AVERAGE(OFFSET($FI$3,0,0,'Données projet'!$E$16+1,1))-AVERAGE(OFFSET($H$3,0,0,'Données projet'!$E$16+1,1))</f>
        <v>197.66963254934603</v>
      </c>
      <c r="FK29" s="59">
        <f t="shared" si="48"/>
        <v>158.08388141976138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10.199999999999999</v>
      </c>
      <c r="FZ29" s="12">
        <f>IF('Données projet'!$A$244&gt;35,FZ28+FY29-GH28,IF(A29&lt;'Données projet'!$A$244,$FW$205^A29,IF(A29='Données projet'!$A$244,'Données projet'!$B$244,FZ28+FY29-GH28)))</f>
        <v>123.20000000000002</v>
      </c>
      <c r="GA29" s="17">
        <f>FZ29*VLOOKUP('Données projet'!$B$17,Paramètres!$A$1:$I$89,3,0)*VLOOKUP('Données projet'!$B$17,Paramètres!$A$1:$I$89,5,0)</f>
        <v>73.673600000000022</v>
      </c>
      <c r="GB29" s="13">
        <f t="shared" si="49"/>
        <v>20.583008456666128</v>
      </c>
      <c r="GC29" s="20">
        <f t="shared" si="25"/>
        <v>164.16359306202688</v>
      </c>
      <c r="GD29" s="59">
        <f t="shared" si="26"/>
        <v>457.49692639536022</v>
      </c>
      <c r="GE29" s="59">
        <f ca="1">AVERAGE(OFFSET($GD$3,0,0,'Données projet'!$E$17+1,1))-AVERAGE(OFFSET($H$3,0,0,'Données projet'!$E$17+1,1))</f>
        <v>165.39579887388538</v>
      </c>
      <c r="GF29" s="59">
        <f t="shared" si="50"/>
        <v>155.89639262545802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4.8</v>
      </c>
      <c r="GU29" s="12">
        <f>IF('Données projet'!$A$270&gt;35,GU28+GT29-HC28,IF(A29&lt;'Données projet'!$A$270,$GR$205^A29,IF(A29='Données projet'!$A$270,'Données projet'!$B$270,GU28+GT29-HC28)))</f>
        <v>34.799999999999997</v>
      </c>
      <c r="GV29" s="17">
        <f>GU29*VLOOKUP('Données projet'!$B$18,Paramètres!$A$1:$I$89,3,0)*VLOOKUP('Données projet'!$B$18,Paramètres!$A$1:$I$89,5,0)</f>
        <v>37.45872</v>
      </c>
      <c r="GW29" s="13">
        <f t="shared" si="51"/>
        <v>11.322528864493165</v>
      </c>
      <c r="GX29" s="20">
        <f t="shared" si="28"/>
        <v>84.960675105658922</v>
      </c>
      <c r="GY29" s="59">
        <f t="shared" si="29"/>
        <v>378.29400843899225</v>
      </c>
      <c r="GZ29" s="59">
        <f ca="1">AVERAGE(OFFSET($GY$3,0,0,'Données projet'!$E$18+1,1))-AVERAGE(OFFSET($H$3,0,0,'Données projet'!$E$18+1,1))</f>
        <v>186.60545265015247</v>
      </c>
      <c r="HA29" s="59">
        <f t="shared" si="52"/>
        <v>69.239647548491234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</v>
      </c>
      <c r="N30" s="13">
        <f>IF('Données projet'!$A$36&gt;35,N29+M30-V29,IF(A30&lt;'Données projet'!$A$36,$K$205^A30,IF(A30='Données projet'!$A$36,'Données projet'!$B$36,N29+M30-V29)))</f>
        <v>190.5</v>
      </c>
      <c r="O30" s="13">
        <f>N30*VLOOKUP('Données projet'!$B$9,Paramètres!$A$1:$I$89,3,0)*VLOOKUP('Données projet'!$B$9,Paramètres!$A$1:$I$89,5,0)</f>
        <v>106.48949999999999</v>
      </c>
      <c r="P30" s="13">
        <f t="shared" si="33"/>
        <v>28.502328596874577</v>
      </c>
      <c r="Q30" s="20">
        <f t="shared" si="2"/>
        <v>235.11076813955651</v>
      </c>
      <c r="R30" s="59">
        <f t="shared" si="0"/>
        <v>528.44410147288977</v>
      </c>
      <c r="S30" s="59">
        <f ca="1">AVERAGE(OFFSET($R$3,0,0,'Données projet'!$E$9+1,1))-AVERAGE(OFFSET($H$3,0,0,'Données projet'!$E$9+1,1))</f>
        <v>235.10258076192054</v>
      </c>
      <c r="T30" s="59">
        <f t="shared" si="34"/>
        <v>233.47316052603765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3.3458086289610773</v>
      </c>
      <c r="AB30" s="21">
        <f>EXP(-LN(2)/2)*AB29+(1-EXP(-LN(2)/2))/(LN(2)/2)*V30*Y30*VLOOKUP('Données projet'!$B$9,Paramètres!$A$1:$I$89,3,0)*0.475*44/12</f>
        <v>0.55942563340224793</v>
      </c>
      <c r="AC30" s="22">
        <f t="shared" si="3"/>
        <v>3.9052342623633254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</v>
      </c>
      <c r="AI30" s="13">
        <f>IF('Données projet'!$A$62&gt;35,AI29+AH30-AQ29,IF(A30&lt;'Données projet'!$A$62,$AF$205^A30,IF(A30='Données projet'!$A$62,'Données projet'!$B$62,AI29+AH30-AQ29)))</f>
        <v>178.00000000000003</v>
      </c>
      <c r="AJ30" s="13">
        <f>AI30*VLOOKUP('Données projet'!$B$10,Paramètres!$A$1:$I$89,3,0)*VLOOKUP('Données projet'!$B$10,Paramètres!$A$1:$I$89,5,0)</f>
        <v>97.188000000000017</v>
      </c>
      <c r="AK30" s="13">
        <f t="shared" si="35"/>
        <v>26.290969297460332</v>
      </c>
      <c r="AL30" s="20">
        <f t="shared" si="4"/>
        <v>215.05920485974343</v>
      </c>
      <c r="AM30" s="59">
        <f t="shared" si="5"/>
        <v>508.39253819307675</v>
      </c>
      <c r="AN30" s="59">
        <f ca="1">AVERAGE(OFFSET($AM$3,0,0,'Données projet'!$E$10+1,1))-AVERAGE(OFFSET($H$3,0,0,'Données projet'!$E$10+1,1))</f>
        <v>168.72306536277267</v>
      </c>
      <c r="AO30" s="59">
        <f t="shared" si="36"/>
        <v>203.35476578922339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10.160506373445434</v>
      </c>
      <c r="AW30" s="21">
        <f>EXP(-LN(2)/2)*AW29+(1-EXP(-LN(2)/2))/(LN(2)/2)*AQ30*AT30*VLOOKUP('Données projet'!$B$10,Paramètres!$A$1:$I$89,3,0)*0.475*44/12</f>
        <v>1.5572848446104437</v>
      </c>
      <c r="AX30" s="21">
        <f t="shared" si="6"/>
        <v>11.717791218055877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10.199999999999999</v>
      </c>
      <c r="BD30" s="12">
        <f>IF('Données projet'!$A$88&gt;35,BD29+BC30-BL29,IF(A30&lt;'Données projet'!$A$88,$BA$205^A30,IF(A30='Données projet'!$A$88,'Données projet'!$B$88,BD29+BC30-BL29)))</f>
        <v>133.4</v>
      </c>
      <c r="BE30" s="13">
        <f>BD30*VLOOKUP('Données projet'!$B$11,Paramètres!$A$1:$I$89,3,0)*VLOOKUP('Données projet'!$B$11,Paramètres!$A$1:$I$89,5,0)</f>
        <v>79.773200000000003</v>
      </c>
      <c r="BF30" s="13">
        <f t="shared" si="37"/>
        <v>22.081721190221341</v>
      </c>
      <c r="BG30" s="20">
        <f t="shared" si="7"/>
        <v>177.39732107296882</v>
      </c>
      <c r="BH30" s="59">
        <f t="shared" si="8"/>
        <v>470.73065440630216</v>
      </c>
      <c r="BI30" s="59">
        <f ca="1">AVERAGE(OFFSET($BH$3,0,0,'Données projet'!$E$11+1,1))-AVERAGE(OFFSET($H$3,0,0,'Données projet'!$E$11+1,1))</f>
        <v>165.39579887388538</v>
      </c>
      <c r="BJ30" s="59">
        <f t="shared" si="38"/>
        <v>155.89639262545802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</v>
      </c>
      <c r="BY30" s="12">
        <f>IF('Données projet'!$A$114&gt;35,BY29+BX30-CG29,IF(A30&lt;'Données projet'!$A$114,$BV$205^A30,IF(A30='Données projet'!$A$114,'Données projet'!$B$114,BY29+BX30-CG29)))</f>
        <v>39.599999999999994</v>
      </c>
      <c r="BZ30" s="13">
        <f>BY30*VLOOKUP('Données projet'!$B$12,Paramètres!$A$1:$I$89,3,0)*VLOOKUP('Données projet'!$B$12,Paramètres!$A$1:$I$89,5,0)</f>
        <v>38.301119999999997</v>
      </c>
      <c r="CA30" s="13">
        <f t="shared" si="39"/>
        <v>11.547227522927502</v>
      </c>
      <c r="CB30" s="20">
        <f t="shared" si="10"/>
        <v>86.819205269098731</v>
      </c>
      <c r="CC30" s="59">
        <f t="shared" si="11"/>
        <v>380.15253860243206</v>
      </c>
      <c r="CD30" s="59">
        <f ca="1">AVERAGE(OFFSET($CC$3,0,0,'Données projet'!$E$12+1,1))-AVERAGE(OFFSET($H$3,0,0,'Données projet'!$E$12+1,1))</f>
        <v>156.26368818265388</v>
      </c>
      <c r="CE30" s="59">
        <f t="shared" si="40"/>
        <v>56.347130462109817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4.8</v>
      </c>
      <c r="CT30" s="12">
        <f>IF('Données projet'!$A$140&gt;35,CT29+CS30-DB29,IF(A30&lt;'Données projet'!$A$140,$CQ$205^A30,IF(A30='Données projet'!$A$140,'Données projet'!$B$140,CT29+CS30-DB29)))</f>
        <v>39.599999999999994</v>
      </c>
      <c r="CU30" s="17">
        <f>CT30*VLOOKUP('Données projet'!$B$13,Paramètres!$A$1:$I$89,3,0)*VLOOKUP('Données projet'!$B$13,Paramètres!$A$1:$I$89,5,0)</f>
        <v>32.123519999999999</v>
      </c>
      <c r="CV30" s="13">
        <f t="shared" si="41"/>
        <v>9.8850980333764493</v>
      </c>
      <c r="CW30" s="20">
        <f t="shared" si="13"/>
        <v>73.165009741463976</v>
      </c>
      <c r="CX30" s="59">
        <f t="shared" si="14"/>
        <v>366.49834307479728</v>
      </c>
      <c r="CY30" s="59">
        <f ca="1">AVERAGE(OFFSET($CX$3,0,0,'Données projet'!$E$13+1,1))-AVERAGE(OFFSET($H$3,0,0,'Données projet'!$E$13+1,1))</f>
        <v>112.78807760743126</v>
      </c>
      <c r="CZ30" s="59">
        <f t="shared" si="42"/>
        <v>37.867745922003564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9.9</v>
      </c>
      <c r="DO30" s="12">
        <f>IF('Données projet'!$A$166&gt;35,DO29+DN30-DW29,IF(A30&lt;'Données projet'!$A$166,$DL$205^A30,IF(A30='Données projet'!$A$166,'Données projet'!$B$166,DO29+DN30-DW29)))</f>
        <v>105.30000000000003</v>
      </c>
      <c r="DP30" s="17">
        <f>DO30*VLOOKUP('Données projet'!$B$14,Paramètres!$A$1:$I$89,3,0)*VLOOKUP('Données projet'!$B$14,Paramètres!$A$1:$I$89,5,0)</f>
        <v>70.635240000000024</v>
      </c>
      <c r="DQ30" s="13">
        <f t="shared" si="43"/>
        <v>19.831127014049432</v>
      </c>
      <c r="DR30" s="20">
        <f t="shared" si="16"/>
        <v>157.56225588280279</v>
      </c>
      <c r="DS30" s="59">
        <f t="shared" si="17"/>
        <v>450.8955892161361</v>
      </c>
      <c r="DT30" s="59">
        <f ca="1">AVERAGE(OFFSET($DS$3,0,0,'Données projet'!$E$14+1,1))-AVERAGE(OFFSET($H$3,0,0,'Données projet'!$E$14+1,1))</f>
        <v>107.15837202366862</v>
      </c>
      <c r="DU30" s="59">
        <f t="shared" si="44"/>
        <v>139.67031833740026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1.6926750018334902</v>
      </c>
      <c r="EC30" s="21">
        <f>EXP(-LN(2)/2)*EC29+(1-EXP(-LN(2)/2))/(LN(2)/2)*DW30*DZ30*VLOOKUP('Données projet'!$B$14,Paramètres!$A$1:$I$89,3,0)*0.475*44/12</f>
        <v>0.29369845753618018</v>
      </c>
      <c r="ED30" s="22">
        <f t="shared" si="18"/>
        <v>1.9863734593696702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6.5</v>
      </c>
      <c r="EJ30" s="12">
        <f>IF('Données projet'!$A$192&gt;35,EJ29+EI30-ER29,IF(A30&lt;'Données projet'!$A$192,$EG$205^A30,IF(A30='Données projet'!$A$192,'Données projet'!$B$192,EJ29+EI30-ER29)))</f>
        <v>153.6</v>
      </c>
      <c r="EK30" s="17">
        <f>EJ30*VLOOKUP('Données projet'!$B$15,Paramètres!$A$1:$I$89,3,0)*VLOOKUP('Données projet'!$B$15,Paramètres!$A$1:$I$89,5,0)</f>
        <v>71.884799999999998</v>
      </c>
      <c r="EL30" s="13">
        <f t="shared" si="45"/>
        <v>20.140793597217179</v>
      </c>
      <c r="EM30" s="20">
        <f t="shared" si="19"/>
        <v>160.27790884848659</v>
      </c>
      <c r="EN30" s="59">
        <f t="shared" si="20"/>
        <v>453.61124218181988</v>
      </c>
      <c r="EO30" s="59">
        <f ca="1">AVERAGE(OFFSET($EN$3,0,0,'Données projet'!$E$15+1,1))-AVERAGE(OFFSET($H$3,0,0,'Données projet'!$E$15+1,1))</f>
        <v>123.60520571614535</v>
      </c>
      <c r="EP30" s="59">
        <f t="shared" si="46"/>
        <v>119.00926870519527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0.96639402724875767</v>
      </c>
      <c r="EX30" s="21">
        <f>EXP(-LN(2)/2)*EX29+(1-EXP(-LN(2)/2))/(LN(2)/2)*ER30*EU30*VLOOKUP('Données projet'!$B$15,Paramètres!$A$1:$I$89,3,0)*0.475*44/12</f>
        <v>0.16158293876409122</v>
      </c>
      <c r="EY30" s="22">
        <f t="shared" si="21"/>
        <v>1.1279769660128489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16</v>
      </c>
      <c r="FE30" s="12">
        <f>IF('Données projet'!$A$218&gt;35,FE29+FD30-FM29,IF(A30&lt;'Données projet'!$A$218,$FB$205^A30,IF(A30='Données projet'!$A$218,'Données projet'!$B$218,FE29+FD30-FM29)))</f>
        <v>158</v>
      </c>
      <c r="FF30" s="17">
        <f>FE30*VLOOKUP('Données projet'!$B$16,Paramètres!$A$1:$I$89,3,0)*VLOOKUP('Données projet'!$B$16,Paramètres!$A$1:$I$89,5,0)</f>
        <v>75.998000000000005</v>
      </c>
      <c r="FG30" s="13">
        <f t="shared" si="47"/>
        <v>21.155770952330599</v>
      </c>
      <c r="FH30" s="20">
        <f t="shared" si="22"/>
        <v>169.20948440864245</v>
      </c>
      <c r="FI30" s="59">
        <f t="shared" si="23"/>
        <v>462.5428177419758</v>
      </c>
      <c r="FJ30" s="59">
        <f ca="1">AVERAGE(OFFSET($FI$3,0,0,'Données projet'!$E$16+1,1))-AVERAGE(OFFSET($H$3,0,0,'Données projet'!$E$16+1,1))</f>
        <v>197.66963254934603</v>
      </c>
      <c r="FK30" s="59">
        <f t="shared" si="48"/>
        <v>158.08388141976138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10.199999999999999</v>
      </c>
      <c r="FZ30" s="12">
        <f>IF('Données projet'!$A$244&gt;35,FZ29+FY30-GH29,IF(A30&lt;'Données projet'!$A$244,$FW$205^A30,IF(A30='Données projet'!$A$244,'Données projet'!$B$244,FZ29+FY30-GH29)))</f>
        <v>133.4</v>
      </c>
      <c r="GA30" s="17">
        <f>FZ30*VLOOKUP('Données projet'!$B$17,Paramètres!$A$1:$I$89,3,0)*VLOOKUP('Données projet'!$B$17,Paramètres!$A$1:$I$89,5,0)</f>
        <v>79.773200000000003</v>
      </c>
      <c r="GB30" s="13">
        <f t="shared" si="49"/>
        <v>22.081721190221341</v>
      </c>
      <c r="GC30" s="20">
        <f t="shared" si="25"/>
        <v>177.39732107296882</v>
      </c>
      <c r="GD30" s="59">
        <f t="shared" si="26"/>
        <v>470.73065440630216</v>
      </c>
      <c r="GE30" s="59">
        <f ca="1">AVERAGE(OFFSET($GD$3,0,0,'Données projet'!$E$17+1,1))-AVERAGE(OFFSET($H$3,0,0,'Données projet'!$E$17+1,1))</f>
        <v>165.39579887388538</v>
      </c>
      <c r="GF30" s="59">
        <f t="shared" si="50"/>
        <v>155.89639262545802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4.8</v>
      </c>
      <c r="GU30" s="12">
        <f>IF('Données projet'!$A$270&gt;35,GU29+GT30-HC29,IF(A30&lt;'Données projet'!$A$270,$GR$205^A30,IF(A30='Données projet'!$A$270,'Données projet'!$B$270,GU29+GT30-HC29)))</f>
        <v>39.599999999999994</v>
      </c>
      <c r="GV30" s="17">
        <f>GU30*VLOOKUP('Données projet'!$B$18,Paramètres!$A$1:$I$89,3,0)*VLOOKUP('Données projet'!$B$18,Paramètres!$A$1:$I$89,5,0)</f>
        <v>42.62543999999999</v>
      </c>
      <c r="GW30" s="13">
        <f t="shared" si="51"/>
        <v>12.691924583898647</v>
      </c>
      <c r="GX30" s="20">
        <f t="shared" si="28"/>
        <v>96.34440998362345</v>
      </c>
      <c r="GY30" s="59">
        <f t="shared" si="29"/>
        <v>389.67774331695676</v>
      </c>
      <c r="GZ30" s="59">
        <f ca="1">AVERAGE(OFFSET($GY$3,0,0,'Données projet'!$E$18+1,1))-AVERAGE(OFFSET($H$3,0,0,'Données projet'!$E$18+1,1))</f>
        <v>186.60545265015247</v>
      </c>
      <c r="HA30" s="59">
        <f t="shared" si="52"/>
        <v>69.239647548491234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</v>
      </c>
      <c r="N31" s="13">
        <f>IF('Données projet'!$A$36&gt;35,N30+M31-V30,IF(A31&lt;'Données projet'!$A$36,$K$205^A31,IF(A31='Données projet'!$A$36,'Données projet'!$B$36,N30+M31-V30)))</f>
        <v>207</v>
      </c>
      <c r="O31" s="13">
        <f>N31*VLOOKUP('Données projet'!$B$9,Paramètres!$A$1:$I$89,3,0)*VLOOKUP('Données projet'!$B$9,Paramètres!$A$1:$I$89,5,0)</f>
        <v>115.71300000000001</v>
      </c>
      <c r="P31" s="13">
        <f t="shared" si="33"/>
        <v>30.673019842466044</v>
      </c>
      <c r="Q31" s="20">
        <f t="shared" si="2"/>
        <v>254.95565122562834</v>
      </c>
      <c r="R31" s="59">
        <f t="shared" si="0"/>
        <v>548.2889845589616</v>
      </c>
      <c r="S31" s="59">
        <f ca="1">AVERAGE(OFFSET($R$3,0,0,'Données projet'!$E$9+1,1))-AVERAGE(OFFSET($H$3,0,0,'Données projet'!$E$9+1,1))</f>
        <v>235.10258076192054</v>
      </c>
      <c r="T31" s="59">
        <f t="shared" si="34"/>
        <v>233.47316052603765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3.254317316053708</v>
      </c>
      <c r="AB31" s="21">
        <f>EXP(-LN(2)/2)*AB30+(1-EXP(-LN(2)/2))/(LN(2)/2)*V31*Y31*VLOOKUP('Données projet'!$B$9,Paramètres!$A$1:$I$89,3,0)*0.475*44/12</f>
        <v>0.39557365894830909</v>
      </c>
      <c r="AC31" s="22">
        <f t="shared" si="3"/>
        <v>3.649890975002017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</v>
      </c>
      <c r="AI31" s="13">
        <f>IF('Données projet'!$A$62&gt;35,AI30+AH31-AQ30,IF(A31&lt;'Données projet'!$A$62,$AF$205^A31,IF(A31='Données projet'!$A$62,'Données projet'!$B$62,AI30+AH31-AQ30)))</f>
        <v>192.00000000000003</v>
      </c>
      <c r="AJ31" s="13">
        <f>AI31*VLOOKUP('Données projet'!$B$10,Paramètres!$A$1:$I$89,3,0)*VLOOKUP('Données projet'!$B$10,Paramètres!$A$1:$I$89,5,0)</f>
        <v>104.83200000000002</v>
      </c>
      <c r="AK31" s="13">
        <f t="shared" si="35"/>
        <v>28.109974371137717</v>
      </c>
      <c r="AL31" s="20">
        <f t="shared" si="4"/>
        <v>231.54060536306488</v>
      </c>
      <c r="AM31" s="59">
        <f t="shared" si="5"/>
        <v>524.87393869639823</v>
      </c>
      <c r="AN31" s="59">
        <f ca="1">AVERAGE(OFFSET($AM$3,0,0,'Données projet'!$E$10+1,1))-AVERAGE(OFFSET($H$3,0,0,'Données projet'!$E$10+1,1))</f>
        <v>168.72306536277267</v>
      </c>
      <c r="AO31" s="59">
        <f t="shared" si="36"/>
        <v>203.35476578922339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9.882666792345761</v>
      </c>
      <c r="AW31" s="21">
        <f>EXP(-LN(2)/2)*AW30+(1-EXP(-LN(2)/2))/(LN(2)/2)*AQ31*AT31*VLOOKUP('Données projet'!$B$10,Paramètres!$A$1:$I$89,3,0)*0.475*44/12</f>
        <v>1.1011666738630836</v>
      </c>
      <c r="AX31" s="21">
        <f t="shared" si="6"/>
        <v>10.983833466208845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10.199999999999999</v>
      </c>
      <c r="BD31" s="12">
        <f>IF('Données projet'!$A$88&gt;35,BD30+BC31-BL30,IF(A31&lt;'Données projet'!$A$88,$BA$205^A31,IF(A31='Données projet'!$A$88,'Données projet'!$B$88,BD30+BC31-BL30)))</f>
        <v>143.6</v>
      </c>
      <c r="BE31" s="13">
        <f>BD31*VLOOKUP('Données projet'!$B$11,Paramètres!$A$1:$I$89,3,0)*VLOOKUP('Données projet'!$B$11,Paramètres!$A$1:$I$89,5,0)</f>
        <v>85.872799999999998</v>
      </c>
      <c r="BF31" s="13">
        <f t="shared" si="37"/>
        <v>23.567140673267303</v>
      </c>
      <c r="BG31" s="20">
        <f t="shared" si="7"/>
        <v>190.60789667260721</v>
      </c>
      <c r="BH31" s="59">
        <f t="shared" si="8"/>
        <v>483.9412300059405</v>
      </c>
      <c r="BI31" s="59">
        <f ca="1">AVERAGE(OFFSET($BH$3,0,0,'Données projet'!$E$11+1,1))-AVERAGE(OFFSET($H$3,0,0,'Données projet'!$E$11+1,1))</f>
        <v>165.39579887388538</v>
      </c>
      <c r="BJ31" s="59">
        <f t="shared" si="38"/>
        <v>155.89639262545802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</v>
      </c>
      <c r="BY31" s="12">
        <f>IF('Données projet'!$A$114&gt;35,BY30+BX31-CG30,IF(A31&lt;'Données projet'!$A$114,$BV$205^A31,IF(A31='Données projet'!$A$114,'Données projet'!$B$114,BY30+BX31-CG30)))</f>
        <v>44.399999999999991</v>
      </c>
      <c r="BZ31" s="13">
        <f>BY31*VLOOKUP('Données projet'!$B$12,Paramètres!$A$1:$I$89,3,0)*VLOOKUP('Données projet'!$B$12,Paramètres!$A$1:$I$89,5,0)</f>
        <v>42.943679999999993</v>
      </c>
      <c r="CA31" s="13">
        <f t="shared" si="39"/>
        <v>12.775615987781539</v>
      </c>
      <c r="CB31" s="20">
        <f t="shared" si="10"/>
        <v>97.044440512052844</v>
      </c>
      <c r="CC31" s="59">
        <f t="shared" si="11"/>
        <v>390.37777384538617</v>
      </c>
      <c r="CD31" s="59">
        <f ca="1">AVERAGE(OFFSET($CC$3,0,0,'Données projet'!$E$12+1,1))-AVERAGE(OFFSET($H$3,0,0,'Données projet'!$E$12+1,1))</f>
        <v>156.26368818265388</v>
      </c>
      <c r="CE31" s="59">
        <f t="shared" si="40"/>
        <v>56.347130462109817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4.8</v>
      </c>
      <c r="CT31" s="12">
        <f>IF('Données projet'!$A$140&gt;35,CT30+CS31-DB30,IF(A31&lt;'Données projet'!$A$140,$CQ$205^A31,IF(A31='Données projet'!$A$140,'Données projet'!$B$140,CT30+CS31-DB30)))</f>
        <v>44.399999999999991</v>
      </c>
      <c r="CU31" s="17">
        <f>CT31*VLOOKUP('Données projet'!$B$13,Paramètres!$A$1:$I$89,3,0)*VLOOKUP('Données projet'!$B$13,Paramètres!$A$1:$I$89,5,0)</f>
        <v>36.01728</v>
      </c>
      <c r="CV31" s="13">
        <f t="shared" si="41"/>
        <v>10.936669969067591</v>
      </c>
      <c r="CW31" s="20">
        <f t="shared" si="13"/>
        <v>81.778129529459392</v>
      </c>
      <c r="CX31" s="59">
        <f t="shared" si="14"/>
        <v>375.11146286279268</v>
      </c>
      <c r="CY31" s="59">
        <f ca="1">AVERAGE(OFFSET($CX$3,0,0,'Données projet'!$E$13+1,1))-AVERAGE(OFFSET($H$3,0,0,'Données projet'!$E$13+1,1))</f>
        <v>112.78807760743126</v>
      </c>
      <c r="CZ31" s="59">
        <f t="shared" si="42"/>
        <v>37.867745922003564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9.9</v>
      </c>
      <c r="DO31" s="12">
        <f>IF('Données projet'!$A$166&gt;35,DO30+DN31-DW30,IF(A31&lt;'Données projet'!$A$166,$DL$205^A31,IF(A31='Données projet'!$A$166,'Données projet'!$B$166,DO30+DN31-DW30)))</f>
        <v>115.20000000000003</v>
      </c>
      <c r="DP31" s="17">
        <f>DO31*VLOOKUP('Données projet'!$B$14,Paramètres!$A$1:$I$89,3,0)*VLOOKUP('Données projet'!$B$14,Paramètres!$A$1:$I$89,5,0)</f>
        <v>77.276160000000033</v>
      </c>
      <c r="DQ31" s="13">
        <f t="shared" si="43"/>
        <v>21.469854331434963</v>
      </c>
      <c r="DR31" s="20">
        <f t="shared" si="16"/>
        <v>171.98264162724925</v>
      </c>
      <c r="DS31" s="59">
        <f t="shared" si="17"/>
        <v>465.31597496058259</v>
      </c>
      <c r="DT31" s="59">
        <f ca="1">AVERAGE(OFFSET($DS$3,0,0,'Données projet'!$E$14+1,1))-AVERAGE(OFFSET($H$3,0,0,'Données projet'!$E$14+1,1))</f>
        <v>107.15837202366862</v>
      </c>
      <c r="DU31" s="59">
        <f t="shared" si="44"/>
        <v>139.67031833740026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1.6463887148944436</v>
      </c>
      <c r="EC31" s="21">
        <f>EXP(-LN(2)/2)*EC30+(1-EXP(-LN(2)/2))/(LN(2)/2)*DW31*DZ31*VLOOKUP('Données projet'!$B$14,Paramètres!$A$1:$I$89,3,0)*0.475*44/12</f>
        <v>0.20767617094786228</v>
      </c>
      <c r="ED31" s="22">
        <f t="shared" si="18"/>
        <v>1.8540648858423059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6.5</v>
      </c>
      <c r="EJ31" s="12">
        <f>IF('Données projet'!$A$192&gt;35,EJ30+EI31-ER30,IF(A31&lt;'Données projet'!$A$192,$EG$205^A31,IF(A31='Données projet'!$A$192,'Données projet'!$B$192,EJ30+EI31-ER30)))</f>
        <v>160.1</v>
      </c>
      <c r="EK31" s="17">
        <f>EJ31*VLOOKUP('Données projet'!$B$15,Paramètres!$A$1:$I$89,3,0)*VLOOKUP('Données projet'!$B$15,Paramètres!$A$1:$I$89,5,0)</f>
        <v>74.9268</v>
      </c>
      <c r="EL31" s="13">
        <f t="shared" si="45"/>
        <v>20.892070444276687</v>
      </c>
      <c r="EM31" s="20">
        <f t="shared" si="19"/>
        <v>166.88453269044854</v>
      </c>
      <c r="EN31" s="59">
        <f t="shared" si="20"/>
        <v>460.21786602378188</v>
      </c>
      <c r="EO31" s="59">
        <f ca="1">AVERAGE(OFFSET($EN$3,0,0,'Données projet'!$E$15+1,1))-AVERAGE(OFFSET($H$3,0,0,'Données projet'!$E$15+1,1))</f>
        <v>123.60520571614535</v>
      </c>
      <c r="EP31" s="59">
        <f t="shared" si="46"/>
        <v>119.00926870519527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0.93996793175318727</v>
      </c>
      <c r="EX31" s="21">
        <f>EXP(-LN(2)/2)*EX30+(1-EXP(-LN(2)/2))/(LN(2)/2)*ER31*EU31*VLOOKUP('Données projet'!$B$15,Paramètres!$A$1:$I$89,3,0)*0.475*44/12</f>
        <v>0.11425639172413957</v>
      </c>
      <c r="EY31" s="22">
        <f t="shared" si="21"/>
        <v>1.0542243234773268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16</v>
      </c>
      <c r="FE31" s="12">
        <f>IF('Données projet'!$A$218&gt;35,FE30+FD31-FM30,IF(A31&lt;'Données projet'!$A$218,$FB$205^A31,IF(A31='Données projet'!$A$218,'Données projet'!$B$218,FE30+FD31-FM30)))</f>
        <v>174</v>
      </c>
      <c r="FF31" s="17">
        <f>FE31*VLOOKUP('Données projet'!$B$16,Paramètres!$A$1:$I$89,3,0)*VLOOKUP('Données projet'!$B$16,Paramètres!$A$1:$I$89,5,0)</f>
        <v>83.694000000000003</v>
      </c>
      <c r="FG31" s="13">
        <f t="shared" si="47"/>
        <v>23.03799979815205</v>
      </c>
      <c r="FH31" s="20">
        <f t="shared" si="22"/>
        <v>185.89156631511483</v>
      </c>
      <c r="FI31" s="59">
        <f t="shared" si="23"/>
        <v>479.22489964844817</v>
      </c>
      <c r="FJ31" s="59">
        <f ca="1">AVERAGE(OFFSET($FI$3,0,0,'Données projet'!$E$16+1,1))-AVERAGE(OFFSET($H$3,0,0,'Données projet'!$E$16+1,1))</f>
        <v>197.66963254934603</v>
      </c>
      <c r="FK31" s="59">
        <f t="shared" si="48"/>
        <v>158.08388141976138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10.199999999999999</v>
      </c>
      <c r="FZ31" s="12">
        <f>IF('Données projet'!$A$244&gt;35,FZ30+FY31-GH30,IF(A31&lt;'Données projet'!$A$244,$FW$205^A31,IF(A31='Données projet'!$A$244,'Données projet'!$B$244,FZ30+FY31-GH30)))</f>
        <v>143.6</v>
      </c>
      <c r="GA31" s="17">
        <f>FZ31*VLOOKUP('Données projet'!$B$17,Paramètres!$A$1:$I$89,3,0)*VLOOKUP('Données projet'!$B$17,Paramètres!$A$1:$I$89,5,0)</f>
        <v>85.872799999999998</v>
      </c>
      <c r="GB31" s="13">
        <f t="shared" si="49"/>
        <v>23.567140673267303</v>
      </c>
      <c r="GC31" s="20">
        <f t="shared" si="25"/>
        <v>190.60789667260721</v>
      </c>
      <c r="GD31" s="59">
        <f t="shared" si="26"/>
        <v>483.9412300059405</v>
      </c>
      <c r="GE31" s="59">
        <f ca="1">AVERAGE(OFFSET($GD$3,0,0,'Données projet'!$E$17+1,1))-AVERAGE(OFFSET($H$3,0,0,'Données projet'!$E$17+1,1))</f>
        <v>165.39579887388538</v>
      </c>
      <c r="GF31" s="59">
        <f t="shared" si="50"/>
        <v>155.89639262545802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4.8</v>
      </c>
      <c r="GU31" s="12">
        <f>IF('Données projet'!$A$270&gt;35,GU30+GT31-HC30,IF(A31&lt;'Données projet'!$A$270,$GR$205^A31,IF(A31='Données projet'!$A$270,'Données projet'!$B$270,GU30+GT31-HC30)))</f>
        <v>44.399999999999991</v>
      </c>
      <c r="GV31" s="17">
        <f>GU31*VLOOKUP('Données projet'!$B$18,Paramètres!$A$1:$I$89,3,0)*VLOOKUP('Données projet'!$B$18,Paramètres!$A$1:$I$89,5,0)</f>
        <v>47.792159999999988</v>
      </c>
      <c r="GW31" s="13">
        <f t="shared" si="51"/>
        <v>14.042085367056567</v>
      </c>
      <c r="GX31" s="20">
        <f t="shared" si="28"/>
        <v>107.69464401429015</v>
      </c>
      <c r="GY31" s="59">
        <f t="shared" si="29"/>
        <v>401.02797734762345</v>
      </c>
      <c r="GZ31" s="59">
        <f ca="1">AVERAGE(OFFSET($GY$3,0,0,'Données projet'!$E$18+1,1))-AVERAGE(OFFSET($H$3,0,0,'Données projet'!$E$18+1,1))</f>
        <v>186.60545265015247</v>
      </c>
      <c r="HA31" s="59">
        <f t="shared" si="52"/>
        <v>69.239647548491234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</v>
      </c>
      <c r="N32" s="13">
        <f>IF('Données projet'!$A$36&gt;35,N31+M32-V31,IF(A32&lt;'Données projet'!$A$36,$K$205^A32,IF(A32='Données projet'!$A$36,'Données projet'!$B$36,N31+M32-V31)))</f>
        <v>223.5</v>
      </c>
      <c r="O32" s="13">
        <f>N32*VLOOKUP('Données projet'!$B$9,Paramètres!$A$1:$I$89,3,0)*VLOOKUP('Données projet'!$B$9,Paramètres!$A$1:$I$89,5,0)</f>
        <v>124.93650000000001</v>
      </c>
      <c r="P32" s="13">
        <f t="shared" si="33"/>
        <v>32.823641573367262</v>
      </c>
      <c r="Q32" s="20">
        <f t="shared" si="2"/>
        <v>274.76557990694795</v>
      </c>
      <c r="R32" s="59">
        <f t="shared" si="0"/>
        <v>568.09891324028126</v>
      </c>
      <c r="S32" s="59">
        <f ca="1">AVERAGE(OFFSET($R$3,0,0,'Données projet'!$E$9+1,1))-AVERAGE(OFFSET($H$3,0,0,'Données projet'!$E$9+1,1))</f>
        <v>235.10258076192054</v>
      </c>
      <c r="T32" s="59">
        <f t="shared" si="34"/>
        <v>233.47316052603765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3.1653278379091097</v>
      </c>
      <c r="AB32" s="21">
        <f>EXP(-LN(2)/2)*AB31+(1-EXP(-LN(2)/2))/(LN(2)/2)*V32*Y32*VLOOKUP('Données projet'!$B$9,Paramètres!$A$1:$I$89,3,0)*0.475*44/12</f>
        <v>0.27971281670112397</v>
      </c>
      <c r="AC32" s="22">
        <f t="shared" si="3"/>
        <v>3.4450406546102337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</v>
      </c>
      <c r="AI32" s="13">
        <f>IF('Données projet'!$A$62&gt;35,AI31+AH32-AQ31,IF(A32&lt;'Données projet'!$A$62,$AF$205^A32,IF(A32='Données projet'!$A$62,'Données projet'!$B$62,AI31+AH32-AQ31)))</f>
        <v>206.00000000000003</v>
      </c>
      <c r="AJ32" s="13">
        <f>AI32*VLOOKUP('Données projet'!$B$10,Paramètres!$A$1:$I$89,3,0)*VLOOKUP('Données projet'!$B$10,Paramètres!$A$1:$I$89,5,0)</f>
        <v>112.47600000000001</v>
      </c>
      <c r="AK32" s="13">
        <f t="shared" si="35"/>
        <v>29.913591585896704</v>
      </c>
      <c r="AL32" s="20">
        <f t="shared" si="4"/>
        <v>247.99520534543674</v>
      </c>
      <c r="AM32" s="59">
        <f t="shared" si="5"/>
        <v>541.32853867877009</v>
      </c>
      <c r="AN32" s="59">
        <f ca="1">AVERAGE(OFFSET($AM$3,0,0,'Données projet'!$E$10+1,1))-AVERAGE(OFFSET($H$3,0,0,'Données projet'!$E$10+1,1))</f>
        <v>168.72306536277267</v>
      </c>
      <c r="AO32" s="59">
        <f t="shared" si="36"/>
        <v>203.35476578922339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9.6124247492022068</v>
      </c>
      <c r="AW32" s="21">
        <f>EXP(-LN(2)/2)*AW31+(1-EXP(-LN(2)/2))/(LN(2)/2)*AQ32*AT32*VLOOKUP('Données projet'!$B$10,Paramètres!$A$1:$I$89,3,0)*0.475*44/12</f>
        <v>0.77864242230522185</v>
      </c>
      <c r="AX32" s="21">
        <f t="shared" si="6"/>
        <v>10.391067171507428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10.199999999999999</v>
      </c>
      <c r="BD32" s="12">
        <f>IF('Données projet'!$A$88&gt;35,BD31+BC32-BL31,IF(A32&lt;'Données projet'!$A$88,$BA$205^A32,IF(A32='Données projet'!$A$88,'Données projet'!$B$88,BD31+BC32-BL31)))</f>
        <v>153.79999999999998</v>
      </c>
      <c r="BE32" s="13">
        <f>BD32*VLOOKUP('Données projet'!$B$11,Paramètres!$A$1:$I$89,3,0)*VLOOKUP('Données projet'!$B$11,Paramètres!$A$1:$I$89,5,0)</f>
        <v>91.972399999999993</v>
      </c>
      <c r="BF32" s="13">
        <f t="shared" si="37"/>
        <v>25.040318527820091</v>
      </c>
      <c r="BG32" s="20">
        <f t="shared" si="7"/>
        <v>203.79715143595331</v>
      </c>
      <c r="BH32" s="59">
        <f t="shared" si="8"/>
        <v>497.13048476928662</v>
      </c>
      <c r="BI32" s="59">
        <f ca="1">AVERAGE(OFFSET($BH$3,0,0,'Données projet'!$E$11+1,1))-AVERAGE(OFFSET($H$3,0,0,'Données projet'!$E$11+1,1))</f>
        <v>165.39579887388538</v>
      </c>
      <c r="BJ32" s="59">
        <f t="shared" si="38"/>
        <v>155.89639262545802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</v>
      </c>
      <c r="BY32" s="12">
        <f>IF('Données projet'!$A$114&gt;35,BY31+BX32-CG31,IF(A32&lt;'Données projet'!$A$114,$BV$205^A32,IF(A32='Données projet'!$A$114,'Données projet'!$B$114,BY31+BX32-CG31)))</f>
        <v>49.199999999999989</v>
      </c>
      <c r="BZ32" s="13">
        <f>BY32*VLOOKUP('Données projet'!$B$12,Paramètres!$A$1:$I$89,3,0)*VLOOKUP('Données projet'!$B$12,Paramètres!$A$1:$I$89,5,0)</f>
        <v>47.586239999999989</v>
      </c>
      <c r="CA32" s="13">
        <f t="shared" si="39"/>
        <v>13.98861191110446</v>
      </c>
      <c r="CB32" s="20">
        <f t="shared" si="10"/>
        <v>107.2428670785069</v>
      </c>
      <c r="CC32" s="59">
        <f t="shared" si="11"/>
        <v>400.5762004118402</v>
      </c>
      <c r="CD32" s="59">
        <f ca="1">AVERAGE(OFFSET($CC$3,0,0,'Données projet'!$E$12+1,1))-AVERAGE(OFFSET($H$3,0,0,'Données projet'!$E$12+1,1))</f>
        <v>156.26368818265388</v>
      </c>
      <c r="CE32" s="59">
        <f t="shared" si="40"/>
        <v>56.347130462109817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4.8</v>
      </c>
      <c r="CT32" s="12">
        <f>IF('Données projet'!$A$140&gt;35,CT31+CS32-DB31,IF(A32&lt;'Données projet'!$A$140,$CQ$205^A32,IF(A32='Données projet'!$A$140,'Données projet'!$B$140,CT31+CS32-DB31)))</f>
        <v>49.199999999999989</v>
      </c>
      <c r="CU32" s="17">
        <f>CT32*VLOOKUP('Données projet'!$B$13,Paramètres!$A$1:$I$89,3,0)*VLOOKUP('Données projet'!$B$13,Paramètres!$A$1:$I$89,5,0)</f>
        <v>39.911039999999993</v>
      </c>
      <c r="CV32" s="13">
        <f t="shared" si="41"/>
        <v>11.975064994395121</v>
      </c>
      <c r="CW32" s="20">
        <f t="shared" si="13"/>
        <v>90.36829953190481</v>
      </c>
      <c r="CX32" s="59">
        <f t="shared" si="14"/>
        <v>383.70163286523814</v>
      </c>
      <c r="CY32" s="59">
        <f ca="1">AVERAGE(OFFSET($CX$3,0,0,'Données projet'!$E$13+1,1))-AVERAGE(OFFSET($H$3,0,0,'Données projet'!$E$13+1,1))</f>
        <v>112.78807760743126</v>
      </c>
      <c r="CZ32" s="59">
        <f t="shared" si="42"/>
        <v>37.867745922003564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9.9</v>
      </c>
      <c r="DO32" s="12">
        <f>IF('Données projet'!$A$166&gt;35,DO31+DN32-DW31,IF(A32&lt;'Données projet'!$A$166,$DL$205^A32,IF(A32='Données projet'!$A$166,'Données projet'!$B$166,DO31+DN32-DW31)))</f>
        <v>125.10000000000004</v>
      </c>
      <c r="DP32" s="17">
        <f>DO32*VLOOKUP('Données projet'!$B$14,Paramètres!$A$1:$I$89,3,0)*VLOOKUP('Données projet'!$B$14,Paramètres!$A$1:$I$89,5,0)</f>
        <v>83.917080000000027</v>
      </c>
      <c r="DQ32" s="13">
        <f t="shared" si="43"/>
        <v>23.092249765224146</v>
      </c>
      <c r="DR32" s="20">
        <f t="shared" si="16"/>
        <v>186.37458267443208</v>
      </c>
      <c r="DS32" s="59">
        <f t="shared" si="17"/>
        <v>479.70791600776539</v>
      </c>
      <c r="DT32" s="59">
        <f ca="1">AVERAGE(OFFSET($DS$3,0,0,'Données projet'!$E$14+1,1))-AVERAGE(OFFSET($H$3,0,0,'Données projet'!$E$14+1,1))</f>
        <v>107.15837202366862</v>
      </c>
      <c r="DU32" s="59">
        <f t="shared" si="44"/>
        <v>139.67031833740026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1.6013681289058355</v>
      </c>
      <c r="EC32" s="21">
        <f>EXP(-LN(2)/2)*EC31+(1-EXP(-LN(2)/2))/(LN(2)/2)*DW32*DZ32*VLOOKUP('Données projet'!$B$14,Paramètres!$A$1:$I$89,3,0)*0.475*44/12</f>
        <v>0.14684922876809009</v>
      </c>
      <c r="ED32" s="22">
        <f t="shared" si="18"/>
        <v>1.7482173576739255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6.5</v>
      </c>
      <c r="EJ32" s="12">
        <f>IF('Données projet'!$A$192&gt;35,EJ31+EI32-ER31,IF(A32&lt;'Données projet'!$A$192,$EG$205^A32,IF(A32='Données projet'!$A$192,'Données projet'!$B$192,EJ31+EI32-ER31)))</f>
        <v>166.6</v>
      </c>
      <c r="EK32" s="17">
        <f>EJ32*VLOOKUP('Données projet'!$B$15,Paramètres!$A$1:$I$89,3,0)*VLOOKUP('Données projet'!$B$15,Paramètres!$A$1:$I$89,5,0)</f>
        <v>77.968800000000002</v>
      </c>
      <c r="EL32" s="13">
        <f t="shared" si="45"/>
        <v>21.63980425794859</v>
      </c>
      <c r="EM32" s="20">
        <f t="shared" si="19"/>
        <v>173.48498574926046</v>
      </c>
      <c r="EN32" s="59">
        <f t="shared" si="20"/>
        <v>466.8183190825938</v>
      </c>
      <c r="EO32" s="59">
        <f ca="1">AVERAGE(OFFSET($EN$3,0,0,'Données projet'!$E$15+1,1))-AVERAGE(OFFSET($H$3,0,0,'Données projet'!$E$15+1,1))</f>
        <v>123.60520571614535</v>
      </c>
      <c r="EP32" s="59">
        <f t="shared" si="46"/>
        <v>119.00926870519527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0.9142644592286312</v>
      </c>
      <c r="EX32" s="21">
        <f>EXP(-LN(2)/2)*EX31+(1-EXP(-LN(2)/2))/(LN(2)/2)*ER32*EU32*VLOOKUP('Données projet'!$B$15,Paramètres!$A$1:$I$89,3,0)*0.475*44/12</f>
        <v>8.0791469382045622E-2</v>
      </c>
      <c r="EY32" s="22">
        <f t="shared" si="21"/>
        <v>0.99505592861067682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16</v>
      </c>
      <c r="FE32" s="12">
        <f>IF('Données projet'!$A$218&gt;35,FE31+FD32-FM31,IF(A32&lt;'Données projet'!$A$218,$FB$205^A32,IF(A32='Données projet'!$A$218,'Données projet'!$B$218,FE31+FD32-FM31)))</f>
        <v>190</v>
      </c>
      <c r="FF32" s="17">
        <f>FE32*VLOOKUP('Données projet'!$B$16,Paramètres!$A$1:$I$89,3,0)*VLOOKUP('Données projet'!$B$16,Paramètres!$A$1:$I$89,5,0)</f>
        <v>91.39</v>
      </c>
      <c r="FG32" s="13">
        <f t="shared" si="47"/>
        <v>24.900159909488206</v>
      </c>
      <c r="FH32" s="20">
        <f t="shared" si="22"/>
        <v>202.53869517569194</v>
      </c>
      <c r="FI32" s="59">
        <f t="shared" si="23"/>
        <v>495.87202850902526</v>
      </c>
      <c r="FJ32" s="59">
        <f ca="1">AVERAGE(OFFSET($FI$3,0,0,'Données projet'!$E$16+1,1))-AVERAGE(OFFSET($H$3,0,0,'Données projet'!$E$16+1,1))</f>
        <v>197.66963254934603</v>
      </c>
      <c r="FK32" s="59">
        <f t="shared" si="48"/>
        <v>158.08388141976138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10.199999999999999</v>
      </c>
      <c r="FZ32" s="12">
        <f>IF('Données projet'!$A$244&gt;35,FZ31+FY32-GH31,IF(A32&lt;'Données projet'!$A$244,$FW$205^A32,IF(A32='Données projet'!$A$244,'Données projet'!$B$244,FZ31+FY32-GH31)))</f>
        <v>153.79999999999998</v>
      </c>
      <c r="GA32" s="17">
        <f>FZ32*VLOOKUP('Données projet'!$B$17,Paramètres!$A$1:$I$89,3,0)*VLOOKUP('Données projet'!$B$17,Paramètres!$A$1:$I$89,5,0)</f>
        <v>91.972399999999993</v>
      </c>
      <c r="GB32" s="13">
        <f t="shared" si="49"/>
        <v>25.040318527820091</v>
      </c>
      <c r="GC32" s="20">
        <f t="shared" si="25"/>
        <v>203.79715143595331</v>
      </c>
      <c r="GD32" s="59">
        <f t="shared" si="26"/>
        <v>497.13048476928662</v>
      </c>
      <c r="GE32" s="59">
        <f ca="1">AVERAGE(OFFSET($GD$3,0,0,'Données projet'!$E$17+1,1))-AVERAGE(OFFSET($H$3,0,0,'Données projet'!$E$17+1,1))</f>
        <v>165.39579887388538</v>
      </c>
      <c r="GF32" s="59">
        <f t="shared" si="50"/>
        <v>155.89639262545802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4.8</v>
      </c>
      <c r="GU32" s="12">
        <f>IF('Données projet'!$A$270&gt;35,GU31+GT32-HC31,IF(A32&lt;'Données projet'!$A$270,$GR$205^A32,IF(A32='Données projet'!$A$270,'Données projet'!$B$270,GU31+GT32-HC31)))</f>
        <v>49.199999999999989</v>
      </c>
      <c r="GV32" s="17">
        <f>GU32*VLOOKUP('Données projet'!$B$18,Paramètres!$A$1:$I$89,3,0)*VLOOKUP('Données projet'!$B$18,Paramètres!$A$1:$I$89,5,0)</f>
        <v>52.958879999999979</v>
      </c>
      <c r="GW32" s="13">
        <f t="shared" si="51"/>
        <v>15.375327718852537</v>
      </c>
      <c r="GX32" s="20">
        <f t="shared" si="28"/>
        <v>119.01541177700146</v>
      </c>
      <c r="GY32" s="59">
        <f t="shared" si="29"/>
        <v>412.34874511033479</v>
      </c>
      <c r="GZ32" s="59">
        <f ca="1">AVERAGE(OFFSET($GY$3,0,0,'Données projet'!$E$18+1,1))-AVERAGE(OFFSET($H$3,0,0,'Données projet'!$E$18+1,1))</f>
        <v>186.60545265015247</v>
      </c>
      <c r="HA32" s="59">
        <f t="shared" si="52"/>
        <v>69.239647548491234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240</v>
      </c>
      <c r="L33" s="12">
        <f>VLOOKUP(A33,'Données projet'!$A$35:$I$55,9,0)</f>
        <v>16.5</v>
      </c>
      <c r="M33" s="12">
        <f t="array" ref="M33">INDEX(L:L,MIN(IF(ISNUMBER(L33:L229),ROW(L33:L229),"")))</f>
        <v>16.5</v>
      </c>
      <c r="N33" s="13">
        <f>IF('Données projet'!$A$36&gt;35,N32+M33-V32,IF(A33&lt;'Données projet'!$A$36,$K$205^A33,IF(A33='Données projet'!$A$36,'Données projet'!$B$36,N32+M33-V32)))</f>
        <v>240</v>
      </c>
      <c r="O33" s="13">
        <f>N33*VLOOKUP('Données projet'!$B$9,Paramètres!$A$1:$I$89,3,0)*VLOOKUP('Données projet'!$B$9,Paramètres!$A$1:$I$89,5,0)</f>
        <v>134.16</v>
      </c>
      <c r="P33" s="13">
        <f t="shared" si="33"/>
        <v>34.955843917296178</v>
      </c>
      <c r="Q33" s="20">
        <f t="shared" si="2"/>
        <v>294.54342815595749</v>
      </c>
      <c r="R33" s="59">
        <f t="shared" si="0"/>
        <v>587.87676148929086</v>
      </c>
      <c r="S33" s="59">
        <f ca="1">AVERAGE(OFFSET($R$3,0,0,'Données projet'!$E$9+1,1))-AVERAGE(OFFSET($H$3,0,0,'Données projet'!$E$9+1,1))</f>
        <v>235.10258076192054</v>
      </c>
      <c r="T33" s="59">
        <f t="shared" si="34"/>
        <v>233.47316052603765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84</v>
      </c>
      <c r="W33" s="16">
        <f>IF(ISNA(VLOOKUP(A33,'Données projet'!$A$35:$I$55,5,0)),0%,VLOOKUP(A33,'Données projet'!$A$35:$I$55,5,0)*VLOOKUP('Données projet'!$B$9,Paramètres!$A$1:$I$89,7,0))</f>
        <v>5.5000000000000007E-2</v>
      </c>
      <c r="X33" s="16">
        <f>IF(ISNA(VLOOKUP(A33,'Données projet'!$A$35:$I$55,6,0)),0%,VLOOKUP(A33,'Données projet'!$A$35:$I$55,6,0)*VLOOKUP('Données projet'!$B$9,Paramètres!$A$1:$I$89,7,0))</f>
        <v>0.24750000000000003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3.4259588313290479</v>
      </c>
      <c r="AA33" s="21">
        <f>EXP(-LN(2)/25)*AA32+(1-EXP(-LN(2)/25))/(LN(2)/25)*Calculateur!V33*Calculateur!X33*VLOOKUP('Données projet'!$B$9,Paramètres!$A$1:$I$89,3,0)*0.475*44/12</f>
        <v>18.434884648802651</v>
      </c>
      <c r="AB33" s="21">
        <f>EXP(-LN(2)/2)*AB32+(1-EXP(-LN(2)/2))/(LN(2)/2)*V33*Y33*VLOOKUP('Données projet'!$B$9,Paramètres!$A$1:$I$89,3,0)*0.475*44/12</f>
        <v>24.122081722667886</v>
      </c>
      <c r="AC33" s="22">
        <f t="shared" si="3"/>
        <v>45.982925202799585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220</v>
      </c>
      <c r="AG33" s="12">
        <f>VLOOKUP(A33,'Données projet'!$A$61:$I$81,9,0)</f>
        <v>14</v>
      </c>
      <c r="AH33" s="12">
        <f t="array" ref="AH33">INDEX(AG:AG,MIN(IF(ISNUMBER(AG33:AG229),ROW(AG33:AG229),"")))</f>
        <v>14</v>
      </c>
      <c r="AI33" s="13">
        <f>IF('Données projet'!$A$62&gt;35,AI32+AH33-AQ32,IF(A33&lt;'Données projet'!$A$62,$AF$205^A33,IF(A33='Données projet'!$A$62,'Données projet'!$B$62,AI32+AH33-AQ32)))</f>
        <v>220.00000000000003</v>
      </c>
      <c r="AJ33" s="13">
        <f>AI33*VLOOKUP('Données projet'!$B$10,Paramètres!$A$1:$I$89,3,0)*VLOOKUP('Données projet'!$B$10,Paramètres!$A$1:$I$89,5,0)</f>
        <v>120.12</v>
      </c>
      <c r="AK33" s="13">
        <f t="shared" si="35"/>
        <v>31.702985695201871</v>
      </c>
      <c r="AL33" s="20">
        <f t="shared" si="4"/>
        <v>264.42503341914329</v>
      </c>
      <c r="AM33" s="59">
        <f t="shared" si="5"/>
        <v>557.7583667524766</v>
      </c>
      <c r="AN33" s="59">
        <f ca="1">AVERAGE(OFFSET($AM$3,0,0,'Données projet'!$E$10+1,1))-AVERAGE(OFFSET($H$3,0,0,'Données projet'!$E$10+1,1))</f>
        <v>168.72306536277267</v>
      </c>
      <c r="AO33" s="59">
        <f t="shared" si="36"/>
        <v>203.35476578922339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0.06</v>
      </c>
      <c r="AS33" s="16">
        <f>IF(ISNA(VLOOKUP(A33,'Données projet'!$A$61:$I$81,6,0)),0%,VLOOKUP(A33,'Données projet'!$A$61:$I$81,6,0)*VLOOKUP('Données projet'!$B$10,Paramètres!$A$1:$I$89,7,0))</f>
        <v>0.27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3.0420776092139534</v>
      </c>
      <c r="AV33" s="21">
        <f>EXP(-LN(2)/25)*AV32+(1-EXP(-LN(2)/25))/(LN(2)/25)*Calculateur!AQ33*Calculateur!AS33*VLOOKUP('Données projet'!$B$10,Paramètres!$A$1:$I$89,3,0)*0.475*44/12</f>
        <v>22.985021546387983</v>
      </c>
      <c r="AW33" s="21">
        <f>EXP(-LN(2)/2)*AW32+(1-EXP(-LN(2)/2))/(LN(2)/2)*AQ33*AT33*VLOOKUP('Données projet'!$B$10,Paramètres!$A$1:$I$89,3,0)*0.475*44/12</f>
        <v>20.023846622089227</v>
      </c>
      <c r="AX33" s="21">
        <f t="shared" si="6"/>
        <v>46.050945777691169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164</v>
      </c>
      <c r="BB33" s="12">
        <f>VLOOKUP(A33,'Données projet'!$A$87:$I$107,9,0)</f>
        <v>10.199999999999999</v>
      </c>
      <c r="BC33" s="12">
        <f t="array" ref="BC33">INDEX(BB:BB,MIN(IF(ISNUMBER(BB33:BB229),ROW(BB33:BB229),"")))</f>
        <v>10.199999999999999</v>
      </c>
      <c r="BD33" s="12">
        <f>IF('Données projet'!$A$88&gt;35,BD32+BC33-BL32,IF(A33&lt;'Données projet'!$A$88,$BA$205^A33,IF(A33='Données projet'!$A$88,'Données projet'!$B$88,BD32+BC33-BL32)))</f>
        <v>163.99999999999997</v>
      </c>
      <c r="BE33" s="13">
        <f>BD33*VLOOKUP('Données projet'!$B$11,Paramètres!$A$1:$I$89,3,0)*VLOOKUP('Données projet'!$B$11,Paramètres!$A$1:$I$89,5,0)</f>
        <v>98.071999999999989</v>
      </c>
      <c r="BF33" s="13">
        <f t="shared" si="37"/>
        <v>26.50215899830313</v>
      </c>
      <c r="BG33" s="20">
        <f t="shared" si="7"/>
        <v>216.96666025537795</v>
      </c>
      <c r="BH33" s="59">
        <f t="shared" si="8"/>
        <v>510.29999358871123</v>
      </c>
      <c r="BI33" s="59">
        <f ca="1">AVERAGE(OFFSET($BH$3,0,0,'Données projet'!$E$11+1,1))-AVERAGE(OFFSET($H$3,0,0,'Données projet'!$E$11+1,1))</f>
        <v>165.39579887388538</v>
      </c>
      <c r="BJ33" s="59">
        <f t="shared" si="38"/>
        <v>155.89639262545802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41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0.22500000000000001</v>
      </c>
      <c r="BO33" s="16">
        <f>IF(ISNA(VLOOKUP(A33,'Données projet'!$A$87:$I$107,7,0)),0%,VLOOKUP(A33,'Données projet'!$A$87:$I$107,7,0))</f>
        <v>0.5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7.2892451593954739</v>
      </c>
      <c r="BR33" s="21">
        <f>EXP(-LN(2)/2)*BR32+(1-EXP(-LN(2)/2))/(LN(2)/2)*BL33*BO33*VLOOKUP('Données projet'!$B$11,Paramètres!$A$1:$I$89,3,0)*0.475*44/12</f>
        <v>13.880035735376948</v>
      </c>
      <c r="BS33" s="22">
        <f t="shared" si="9"/>
        <v>21.16928089477242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4.8</v>
      </c>
      <c r="BX33" s="12">
        <f t="array" ref="BX33">INDEX(BW:BW,MIN(IF(ISNUMBER(BW33:BW229),ROW(BW33:BW229),"")))</f>
        <v>4.8</v>
      </c>
      <c r="BY33" s="12">
        <f>IF('Données projet'!$A$114&gt;35,BY32+BX33-CG32,IF(A33&lt;'Données projet'!$A$114,$BV$205^A33,IF(A33='Données projet'!$A$114,'Données projet'!$B$114,BY32+BX33-CG32)))</f>
        <v>53.999999999999986</v>
      </c>
      <c r="BZ33" s="13">
        <f>BY33*VLOOKUP('Données projet'!$B$12,Paramètres!$A$1:$I$89,3,0)*VLOOKUP('Données projet'!$B$12,Paramètres!$A$1:$I$89,5,0)</f>
        <v>52.228799999999985</v>
      </c>
      <c r="CA33" s="13">
        <f t="shared" si="39"/>
        <v>15.187887899730002</v>
      </c>
      <c r="CB33" s="20">
        <f t="shared" si="10"/>
        <v>117.41739809202973</v>
      </c>
      <c r="CC33" s="59">
        <f t="shared" si="11"/>
        <v>410.75073142536303</v>
      </c>
      <c r="CD33" s="59">
        <f ca="1">AVERAGE(OFFSET($CC$3,0,0,'Données projet'!$E$12+1,1))-AVERAGE(OFFSET($H$3,0,0,'Données projet'!$E$12+1,1))</f>
        <v>156.26368818265388</v>
      </c>
      <c r="CE33" s="59">
        <f t="shared" si="40"/>
        <v>56.347130462109817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4.8</v>
      </c>
      <c r="CS33" s="12">
        <f t="array" ref="CS33">INDEX(CR:CR,MIN(IF(ISNUMBER(CR33:CR229),ROW(CR33:CR229),"")))</f>
        <v>4.8</v>
      </c>
      <c r="CT33" s="12">
        <f>IF('Données projet'!$A$140&gt;35,CT32+CS33-DB32,IF(A33&lt;'Données projet'!$A$140,$CQ$205^A33,IF(A33='Données projet'!$A$140,'Données projet'!$B$140,CT32+CS33-DB32)))</f>
        <v>53.999999999999986</v>
      </c>
      <c r="CU33" s="17">
        <f>CT33*VLOOKUP('Données projet'!$B$13,Paramètres!$A$1:$I$89,3,0)*VLOOKUP('Données projet'!$B$13,Paramètres!$A$1:$I$89,5,0)</f>
        <v>43.804799999999993</v>
      </c>
      <c r="CV33" s="13">
        <f t="shared" si="41"/>
        <v>13.001714958042189</v>
      </c>
      <c r="CW33" s="20">
        <f t="shared" si="13"/>
        <v>98.938013551923461</v>
      </c>
      <c r="CX33" s="59">
        <f t="shared" si="14"/>
        <v>392.27134688525678</v>
      </c>
      <c r="CY33" s="59">
        <f ca="1">AVERAGE(OFFSET($CX$3,0,0,'Données projet'!$E$13+1,1))-AVERAGE(OFFSET($H$3,0,0,'Données projet'!$E$13+1,1))</f>
        <v>112.78807760743126</v>
      </c>
      <c r="CZ33" s="59">
        <f t="shared" si="42"/>
        <v>37.867745922003564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135</v>
      </c>
      <c r="DM33" s="12">
        <f>VLOOKUP(A33,'Données projet'!$A$165:$I$185,9,0)</f>
        <v>9.9</v>
      </c>
      <c r="DN33" s="12">
        <f t="array" ref="DN33">INDEX(DM:DM,MIN(IF(ISNUMBER(DM33:DM229),ROW(DM33:DM229),"")))</f>
        <v>9.9</v>
      </c>
      <c r="DO33" s="12">
        <f>IF('Données projet'!$A$166&gt;35,DO32+DN33-DW32,IF(A33&lt;'Données projet'!$A$166,$DL$205^A33,IF(A33='Données projet'!$A$166,'Données projet'!$B$166,DO32+DN33-DW32)))</f>
        <v>135.00000000000003</v>
      </c>
      <c r="DP33" s="17">
        <f>DO33*VLOOKUP('Données projet'!$B$14,Paramètres!$A$1:$I$89,3,0)*VLOOKUP('Données projet'!$B$14,Paramètres!$A$1:$I$89,5,0)</f>
        <v>90.558000000000021</v>
      </c>
      <c r="DQ33" s="13">
        <f t="shared" si="43"/>
        <v>24.699752708509159</v>
      </c>
      <c r="DR33" s="20">
        <f t="shared" si="16"/>
        <v>200.74058596732016</v>
      </c>
      <c r="DS33" s="59">
        <f t="shared" si="17"/>
        <v>494.07391930065347</v>
      </c>
      <c r="DT33" s="59">
        <f ca="1">AVERAGE(OFFSET($DS$3,0,0,'Données projet'!$E$14+1,1))-AVERAGE(OFFSET($H$3,0,0,'Données projet'!$E$14+1,1))</f>
        <v>107.15837202366862</v>
      </c>
      <c r="DU33" s="59">
        <f t="shared" si="44"/>
        <v>139.67031833740026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42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0.13250000000000001</v>
      </c>
      <c r="DZ33" s="16">
        <f>IF(ISNA(VLOOKUP(A33,'Données projet'!$A$165:$I$185,7,0)),0%,VLOOKUP(A33,'Données projet'!$A$165:$I$185,7,0))</f>
        <v>0.25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5.6680532895478164</v>
      </c>
      <c r="EC33" s="21">
        <f>EXP(-LN(2)/2)*EC32+(1-EXP(-LN(2)/2))/(LN(2)/2)*DW33*DZ33*VLOOKUP('Données projet'!$B$14,Paramètres!$A$1:$I$89,3,0)*0.475*44/12</f>
        <v>6.7494755558055228</v>
      </c>
      <c r="ED33" s="22">
        <f t="shared" si="18"/>
        <v>12.417528845353338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173.1</v>
      </c>
      <c r="EH33" s="12">
        <f>VLOOKUP(A33,'Données projet'!$A$191:$I$211,9,0)</f>
        <v>6.5</v>
      </c>
      <c r="EI33" s="12">
        <f t="array" ref="EI33">INDEX(EH:EH,MIN(IF(ISNUMBER(EH33:EH229),ROW(EH33:EH229),"")))</f>
        <v>6.5</v>
      </c>
      <c r="EJ33" s="12">
        <f>IF('Données projet'!$A$192&gt;35,EJ32+EI33-ER32,IF(A33&lt;'Données projet'!$A$192,$EG$205^A33,IF(A33='Données projet'!$A$192,'Données projet'!$B$192,EJ32+EI33-ER32)))</f>
        <v>173.1</v>
      </c>
      <c r="EK33" s="17">
        <f>EJ33*VLOOKUP('Données projet'!$B$15,Paramètres!$A$1:$I$89,3,0)*VLOOKUP('Données projet'!$B$15,Paramètres!$A$1:$I$89,5,0)</f>
        <v>81.010800000000003</v>
      </c>
      <c r="EL33" s="13">
        <f t="shared" si="45"/>
        <v>22.384149091932141</v>
      </c>
      <c r="EM33" s="20">
        <f t="shared" si="19"/>
        <v>180.07953633511514</v>
      </c>
      <c r="EN33" s="59">
        <f t="shared" si="20"/>
        <v>473.41286966844848</v>
      </c>
      <c r="EO33" s="59">
        <f ca="1">AVERAGE(OFFSET($EN$3,0,0,'Données projet'!$E$15+1,1))-AVERAGE(OFFSET($H$3,0,0,'Données projet'!$E$15+1,1))</f>
        <v>123.60520571614535</v>
      </c>
      <c r="EP33" s="59">
        <f t="shared" si="46"/>
        <v>119.00926870519527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25.4</v>
      </c>
      <c r="ES33" s="16">
        <f>IF(ISNA(VLOOKUP(A33,'Données projet'!$A$191:$I$211,5,0)),0%,VLOOKUP(A33,'Données projet'!$A$191:$I$211,5,0)*VLOOKUP('Données projet'!$B$15,Paramètres!$A$1:$I$89,7,0))</f>
        <v>5.5000000000000007E-2</v>
      </c>
      <c r="ET33" s="16">
        <f>IF(ISNA(VLOOKUP(A33,'Données projet'!$A$191:$I$211,6,0)),0%,VLOOKUP(A33,'Données projet'!$A$191:$I$211,6,0)*VLOOKUP('Données projet'!$B$15,Paramètres!$A$1:$I$89,7,0))</f>
        <v>0.24750000000000003</v>
      </c>
      <c r="EU33" s="16">
        <f>IF(ISNA(VLOOKUP(A33,'Données projet'!$A$191:$I$211,7,0)),0%,VLOOKUP(A33,'Données projet'!$A$191:$I$211,7,0))</f>
        <v>0.45</v>
      </c>
      <c r="EV33" s="21">
        <f>EXP(-LN(2)/35)*EV32+(1-EXP(-LN(2)/35))/(LN(2)/35)*ER33*ES33*VLOOKUP('Données projet'!$B$15,Paramètres!$A$1:$I$89,3,0)*0.475*44/12</f>
        <v>0.86730253470854979</v>
      </c>
      <c r="EW33" s="21">
        <f>EXP(-LN(2)/25)*EW32+(1-EXP(-LN(2)/25))/(LN(2)/25)*Calculateur!ER33*Calculateur!ET33*VLOOKUP('Données projet'!$B$15,Paramètres!$A$1:$I$89,3,0)*0.475*44/12</f>
        <v>4.7767582032374722</v>
      </c>
      <c r="EX33" s="21">
        <f>EXP(-LN(2)/2)*EX32+(1-EXP(-LN(2)/2))/(LN(2)/2)*ER33*EU33*VLOOKUP('Données projet'!$B$15,Paramètres!$A$1:$I$89,3,0)*0.475*44/12</f>
        <v>6.1137104910825419</v>
      </c>
      <c r="EY33" s="22">
        <f t="shared" si="21"/>
        <v>11.757771229028563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206</v>
      </c>
      <c r="FC33" s="12">
        <f>VLOOKUP(A33,'Données projet'!$A$217:$I$237,9,0)</f>
        <v>16</v>
      </c>
      <c r="FD33" s="12">
        <f t="array" ref="FD33">INDEX(FC:FC,MIN(IF(ISNUMBER(FC33:FC229),ROW(FC33:FC229),"")))</f>
        <v>16</v>
      </c>
      <c r="FE33" s="12">
        <f>IF('Données projet'!$A$218&gt;35,FE32+FD33-FM32,IF(A33&lt;'Données projet'!$A$218,$FB$205^A33,IF(A33='Données projet'!$A$218,'Données projet'!$B$218,FE32+FD33-FM32)))</f>
        <v>206</v>
      </c>
      <c r="FF33" s="17">
        <f>FE33*VLOOKUP('Données projet'!$B$16,Paramètres!$A$1:$I$89,3,0)*VLOOKUP('Données projet'!$B$16,Paramètres!$A$1:$I$89,5,0)</f>
        <v>99.085999999999999</v>
      </c>
      <c r="FG33" s="13">
        <f t="shared" si="47"/>
        <v>26.744133425654347</v>
      </c>
      <c r="FH33" s="20">
        <f t="shared" si="22"/>
        <v>219.15414904968131</v>
      </c>
      <c r="FI33" s="59">
        <f t="shared" si="23"/>
        <v>512.48748238301459</v>
      </c>
      <c r="FJ33" s="59">
        <f ca="1">AVERAGE(OFFSET($FI$3,0,0,'Données projet'!$E$16+1,1))-AVERAGE(OFFSET($H$3,0,0,'Données projet'!$E$16+1,1))</f>
        <v>197.66963254934603</v>
      </c>
      <c r="FK33" s="59">
        <f t="shared" si="48"/>
        <v>158.08388141976138</v>
      </c>
      <c r="FL33" s="15">
        <f>IF(ISNA(VLOOKUP(A33,'Données projet'!$A$217:$I$237,3,0)),0,VLOOKUP(A33,'Données projet'!$A$217:$I$237,3,0))</f>
        <v>1</v>
      </c>
      <c r="FM33" s="15">
        <f>IF(ISNA(VLOOKUP(A33,'Données projet'!$A$217:$I$237,4,0)),0,VLOOKUP(A33,'Données projet'!$A$217:$I$237,4,0))</f>
        <v>38</v>
      </c>
      <c r="FN33" s="16">
        <f>IF(ISNA(VLOOKUP(A33,'Données projet'!$A$217:$I$237,5,0)),0%,VLOOKUP(A33,'Données projet'!$A$217:$I$237,5,0)*VLOOKUP('Données projet'!$B$16,Paramètres!$A$1:$I$89,7,0))</f>
        <v>0.11000000000000001</v>
      </c>
      <c r="FO33" s="16">
        <f>IF(ISNA(VLOOKUP(A33,'Données projet'!$A$217:$I$237,6,0)),0%,VLOOKUP(A33,'Données projet'!$A$217:$I$237,6,0)*VLOOKUP('Données projet'!$B$16,Paramètres!$A$1:$I$89,7,0))</f>
        <v>0.22000000000000003</v>
      </c>
      <c r="FP33" s="16">
        <f>IF(ISNA(VLOOKUP(A33,'Données projet'!$A$217:$I$237,7,0)),0%,VLOOKUP(A33,'Données projet'!$A$217:$I$237,7,0))</f>
        <v>0.4</v>
      </c>
      <c r="FQ33" s="21">
        <f>EXP(-LN(2)/35)*FQ32+(1-EXP(-LN(2)/35))/(LN(2)/35)*FM33*FN33*VLOOKUP('Données projet'!$B$16,Paramètres!$A$1:$I$89,3,0)*0.475*44/12</f>
        <v>2.6671639628176309</v>
      </c>
      <c r="FR33" s="21">
        <f>EXP(-LN(2)/25)*FR32+(1-EXP(-LN(2)/25))/(LN(2)/25)*Calculateur!FM33*Calculateur!FO33*VLOOKUP('Données projet'!$B$16,Paramètres!$A$1:$I$89,3,0)*0.475*44/12</f>
        <v>5.3133246440537469</v>
      </c>
      <c r="FS33" s="21">
        <f>EXP(-LN(2)/2)*FS32+(1-EXP(-LN(2)/2))/(LN(2)/2)*FM33*FP33*VLOOKUP('Données projet'!$B$16,Paramètres!$A$1:$I$89,3,0)*0.475*44/12</f>
        <v>8.2779767736754994</v>
      </c>
      <c r="FT33" s="22">
        <f t="shared" si="24"/>
        <v>16.258465380546877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164</v>
      </c>
      <c r="FX33" s="12">
        <f>VLOOKUP(A33,'Données projet'!$A$243:$I$263,9,0)</f>
        <v>10.199999999999999</v>
      </c>
      <c r="FY33" s="12">
        <f t="array" ref="FY33">INDEX(FX:FX,MIN(IF(ISNUMBER(FX33:FX229),ROW(FX33:FX229),"")))</f>
        <v>10.199999999999999</v>
      </c>
      <c r="FZ33" s="12">
        <f>IF('Données projet'!$A$244&gt;35,FZ32+FY33-GH32,IF(A33&lt;'Données projet'!$A$244,$FW$205^A33,IF(A33='Données projet'!$A$244,'Données projet'!$B$244,FZ32+FY33-GH32)))</f>
        <v>163.99999999999997</v>
      </c>
      <c r="GA33" s="17">
        <f>FZ33*VLOOKUP('Données projet'!$B$17,Paramètres!$A$1:$I$89,3,0)*VLOOKUP('Données projet'!$B$17,Paramètres!$A$1:$I$89,5,0)</f>
        <v>98.071999999999989</v>
      </c>
      <c r="GB33" s="13">
        <f t="shared" si="49"/>
        <v>26.50215899830313</v>
      </c>
      <c r="GC33" s="20">
        <f t="shared" si="25"/>
        <v>216.96666025537795</v>
      </c>
      <c r="GD33" s="59">
        <f t="shared" si="26"/>
        <v>510.29999358871123</v>
      </c>
      <c r="GE33" s="59">
        <f ca="1">AVERAGE(OFFSET($GD$3,0,0,'Données projet'!$E$17+1,1))-AVERAGE(OFFSET($H$3,0,0,'Données projet'!$E$17+1,1))</f>
        <v>165.39579887388538</v>
      </c>
      <c r="GF33" s="59">
        <f t="shared" si="50"/>
        <v>155.89639262545802</v>
      </c>
      <c r="GG33" s="15">
        <f>IF(ISNA(VLOOKUP(A33,'Données projet'!$A$243:$I$263,3,0)),0,VLOOKUP(A33,'Données projet'!$A$243:$I$263,3,0))</f>
        <v>1</v>
      </c>
      <c r="GH33" s="15">
        <f>IF(ISNA(VLOOKUP(A33,'Données projet'!$A$243:$I$263,4,0)),0,VLOOKUP(A33,'Données projet'!$A$243:$I$263,4,0))</f>
        <v>41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0.22500000000000001</v>
      </c>
      <c r="GK33" s="16">
        <f>IF(ISNA(VLOOKUP(A33,'Données projet'!$A$243:$I$263,7,0)),0%,VLOOKUP(A33,'Données projet'!$A$243:$I$263,7,0))</f>
        <v>0.5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7.2892451593954739</v>
      </c>
      <c r="GN33" s="21">
        <f>EXP(-LN(2)/2)*GN32+(1-EXP(-LN(2)/2))/(LN(2)/2)*GH33*GK33*VLOOKUP('Données projet'!$B$17,Paramètres!$A$1:$I$89,3,0)*0.475*44/12</f>
        <v>13.880035735376948</v>
      </c>
      <c r="GO33" s="21">
        <f t="shared" si="27"/>
        <v>21.16928089477242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54</v>
      </c>
      <c r="GS33" s="12">
        <f>VLOOKUP(A33,'Données projet'!$A$269:$I$289,9,0)</f>
        <v>4.8</v>
      </c>
      <c r="GT33" s="12">
        <f t="array" ref="GT33">INDEX(GS:GS,MIN(IF(ISNUMBER(GS33:GS229),ROW(GS33:GS229),"")))</f>
        <v>4.8</v>
      </c>
      <c r="GU33" s="12">
        <f>IF('Données projet'!$A$270&gt;35,GU32+GT33-HC32,IF(A33&lt;'Données projet'!$A$270,$GR$205^A33,IF(A33='Données projet'!$A$270,'Données projet'!$B$270,GU32+GT33-HC32)))</f>
        <v>53.999999999999986</v>
      </c>
      <c r="GV33" s="17">
        <f>GU33*VLOOKUP('Données projet'!$B$18,Paramètres!$A$1:$I$89,3,0)*VLOOKUP('Données projet'!$B$18,Paramètres!$A$1:$I$89,5,0)</f>
        <v>58.125599999999977</v>
      </c>
      <c r="GW33" s="13">
        <f t="shared" si="51"/>
        <v>16.693490054590161</v>
      </c>
      <c r="GX33" s="20">
        <f t="shared" si="28"/>
        <v>130.30991517841116</v>
      </c>
      <c r="GY33" s="59">
        <f t="shared" si="29"/>
        <v>423.64324851174445</v>
      </c>
      <c r="GZ33" s="59">
        <f ca="1">AVERAGE(OFFSET($GY$3,0,0,'Données projet'!$E$18+1,1))-AVERAGE(OFFSET($H$3,0,0,'Données projet'!$E$18+1,1))</f>
        <v>186.60545265015247</v>
      </c>
      <c r="HA33" s="59">
        <f t="shared" si="52"/>
        <v>69.239647548491234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17.3</v>
      </c>
      <c r="N34" s="13">
        <f>IF('Données projet'!$A$36&gt;35,N33+M34-V33,IF(A34&lt;'Données projet'!$A$36,$K$205^A34,IF(A34='Données projet'!$A$36,'Données projet'!$B$36,N33+M34-V33)))</f>
        <v>173.3</v>
      </c>
      <c r="O34" s="13">
        <f>N34*VLOOKUP('Données projet'!$B$9,Paramètres!$A$1:$I$89,3,0)*VLOOKUP('Données projet'!$B$9,Paramètres!$A$1:$I$89,5,0)</f>
        <v>96.874700000000004</v>
      </c>
      <c r="P34" s="13">
        <f t="shared" si="33"/>
        <v>26.216067605852569</v>
      </c>
      <c r="Q34" s="20">
        <f t="shared" si="2"/>
        <v>214.38308691352654</v>
      </c>
      <c r="R34" s="59">
        <f t="shared" si="0"/>
        <v>507.71642024685985</v>
      </c>
      <c r="S34" s="59">
        <f ca="1">AVERAGE(OFFSET($R$3,0,0,'Données projet'!$E$9+1,1))-AVERAGE(OFFSET($H$3,0,0,'Données projet'!$E$9+1,1))</f>
        <v>235.10258076192054</v>
      </c>
      <c r="T34" s="59">
        <f t="shared" si="34"/>
        <v>233.47316052603765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3.3587778682752387</v>
      </c>
      <c r="AA34" s="21">
        <f>EXP(-LN(2)/25)*AA33+(1-EXP(-LN(2)/25))/(LN(2)/25)*Calculateur!V34*Calculateur!X34*VLOOKUP('Données projet'!$B$9,Paramètres!$A$1:$I$89,3,0)*0.475*44/12</f>
        <v>17.930781758632694</v>
      </c>
      <c r="AB34" s="21">
        <f>EXP(-LN(2)/2)*AB33+(1-EXP(-LN(2)/2))/(LN(2)/2)*V34*Y34*VLOOKUP('Données projet'!$B$9,Paramètres!$A$1:$I$89,3,0)*0.475*44/12</f>
        <v>17.05688756243454</v>
      </c>
      <c r="AC34" s="22">
        <f t="shared" si="3"/>
        <v>38.34644718934247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12.1</v>
      </c>
      <c r="AI34" s="13">
        <f>IF('Données projet'!$A$62&gt;35,AI33+AH34-AQ33,IF(A34&lt;'Données projet'!$A$62,$AF$205^A34,IF(A34='Données projet'!$A$62,'Données projet'!$B$62,AI33+AH34-AQ33)))</f>
        <v>162.10000000000002</v>
      </c>
      <c r="AJ34" s="13">
        <f>AI34*VLOOKUP('Données projet'!$B$10,Paramètres!$A$1:$I$89,3,0)*VLOOKUP('Données projet'!$B$10,Paramètres!$A$1:$I$89,5,0)</f>
        <v>88.50660000000002</v>
      </c>
      <c r="AK34" s="13">
        <f t="shared" si="35"/>
        <v>24.204702878284657</v>
      </c>
      <c r="AL34" s="20">
        <f t="shared" si="4"/>
        <v>196.30551917967912</v>
      </c>
      <c r="AM34" s="59">
        <f t="shared" si="5"/>
        <v>489.63885251301247</v>
      </c>
      <c r="AN34" s="59">
        <f ca="1">AVERAGE(OFFSET($AM$3,0,0,'Données projet'!$E$10+1,1))-AVERAGE(OFFSET($H$3,0,0,'Données projet'!$E$10+1,1))</f>
        <v>168.72306536277267</v>
      </c>
      <c r="AO34" s="59">
        <f t="shared" si="36"/>
        <v>203.35476578922339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2.9824243227813958</v>
      </c>
      <c r="AV34" s="21">
        <f>EXP(-LN(2)/25)*AV33+(1-EXP(-LN(2)/25))/(LN(2)/25)*Calculateur!AQ34*Calculateur!AS34*VLOOKUP('Données projet'!$B$10,Paramètres!$A$1:$I$89,3,0)*0.475*44/12</f>
        <v>22.356494923472255</v>
      </c>
      <c r="AW34" s="21">
        <f>EXP(-LN(2)/2)*AW33+(1-EXP(-LN(2)/2))/(LN(2)/2)*AQ34*AT34*VLOOKUP('Données projet'!$B$10,Paramètres!$A$1:$I$89,3,0)*0.475*44/12</f>
        <v>14.158997731918637</v>
      </c>
      <c r="AX34" s="21">
        <f t="shared" si="6"/>
        <v>39.497916978172285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</v>
      </c>
      <c r="BD34" s="12">
        <f>IF('Données projet'!$A$88&gt;35,BD33+BC34-BL33,IF(A34&lt;'Données projet'!$A$88,$BA$205^A34,IF(A34='Données projet'!$A$88,'Données projet'!$B$88,BD33+BC34-BL33)))</f>
        <v>133.99999999999997</v>
      </c>
      <c r="BE34" s="13">
        <f>BD34*VLOOKUP('Données projet'!$B$11,Paramètres!$A$1:$I$89,3,0)*VLOOKUP('Données projet'!$B$11,Paramètres!$A$1:$I$89,5,0)</f>
        <v>80.131999999999991</v>
      </c>
      <c r="BF34" s="13">
        <f t="shared" si="37"/>
        <v>22.169455717453161</v>
      </c>
      <c r="BG34" s="20">
        <f t="shared" si="7"/>
        <v>178.17503537456423</v>
      </c>
      <c r="BH34" s="59">
        <f t="shared" si="8"/>
        <v>471.50836870789755</v>
      </c>
      <c r="BI34" s="59">
        <f ca="1">AVERAGE(OFFSET($BH$3,0,0,'Données projet'!$E$11+1,1))-AVERAGE(OFFSET($H$3,0,0,'Données projet'!$E$11+1,1))</f>
        <v>165.39579887388538</v>
      </c>
      <c r="BJ34" s="59">
        <f t="shared" si="38"/>
        <v>155.89639262545802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7.0899203671870614</v>
      </c>
      <c r="BR34" s="21">
        <f>EXP(-LN(2)/2)*BR33+(1-EXP(-LN(2)/2))/(LN(2)/2)*BL34*BO34*VLOOKUP('Données projet'!$B$11,Paramètres!$A$1:$I$89,3,0)*0.475*44/12</f>
        <v>9.8146673915966485</v>
      </c>
      <c r="BS34" s="22">
        <f t="shared" si="9"/>
        <v>16.904587758783709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5.2</v>
      </c>
      <c r="BY34" s="12">
        <f>IF('Données projet'!$A$114&gt;35,BY33+BX34-CG33,IF(A34&lt;'Données projet'!$A$114,$BV$205^A34,IF(A34='Données projet'!$A$114,'Données projet'!$B$114,BY33+BX34-CG33)))</f>
        <v>59.199999999999989</v>
      </c>
      <c r="BZ34" s="13">
        <f>BY34*VLOOKUP('Données projet'!$B$12,Paramètres!$A$1:$I$89,3,0)*VLOOKUP('Données projet'!$B$12,Paramètres!$A$1:$I$89,5,0)</f>
        <v>57.258239999999994</v>
      </c>
      <c r="CA34" s="13">
        <f t="shared" si="39"/>
        <v>16.473190353245219</v>
      </c>
      <c r="CB34" s="20">
        <f t="shared" si="10"/>
        <v>128.41557453190208</v>
      </c>
      <c r="CC34" s="59">
        <f t="shared" si="11"/>
        <v>421.74890786523542</v>
      </c>
      <c r="CD34" s="59">
        <f ca="1">AVERAGE(OFFSET($CC$3,0,0,'Données projet'!$E$12+1,1))-AVERAGE(OFFSET($H$3,0,0,'Données projet'!$E$12+1,1))</f>
        <v>156.26368818265388</v>
      </c>
      <c r="CE34" s="59">
        <f t="shared" si="40"/>
        <v>56.347130462109817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5.2</v>
      </c>
      <c r="CT34" s="12">
        <f>IF('Données projet'!$A$140&gt;35,CT33+CS34-DB33,IF(A34&lt;'Données projet'!$A$140,$CQ$205^A34,IF(A34='Données projet'!$A$140,'Données projet'!$B$140,CT33+CS34-DB33)))</f>
        <v>59.199999999999989</v>
      </c>
      <c r="CU34" s="17">
        <f>CT34*VLOOKUP('Données projet'!$B$13,Paramètres!$A$1:$I$89,3,0)*VLOOKUP('Données projet'!$B$13,Paramètres!$A$1:$I$89,5,0)</f>
        <v>48.023039999999995</v>
      </c>
      <c r="CV34" s="13">
        <f t="shared" si="41"/>
        <v>14.102008576602165</v>
      </c>
      <c r="CW34" s="20">
        <f t="shared" si="13"/>
        <v>108.20112627091542</v>
      </c>
      <c r="CX34" s="59">
        <f t="shared" si="14"/>
        <v>401.53445960424875</v>
      </c>
      <c r="CY34" s="59">
        <f ca="1">AVERAGE(OFFSET($CX$3,0,0,'Données projet'!$E$13+1,1))-AVERAGE(OFFSET($H$3,0,0,'Données projet'!$E$13+1,1))</f>
        <v>112.78807760743126</v>
      </c>
      <c r="CZ34" s="59">
        <f t="shared" si="42"/>
        <v>37.867745922003564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8.1</v>
      </c>
      <c r="DO34" s="12">
        <f>IF('Données projet'!$A$166&gt;35,DO33+DN34-DW33,IF(A34&lt;'Données projet'!$A$166,$DL$205^A34,IF(A34='Données projet'!$A$166,'Données projet'!$B$166,DO33+DN34-DW33)))</f>
        <v>101.10000000000002</v>
      </c>
      <c r="DP34" s="17">
        <f>DO34*VLOOKUP('Données projet'!$B$14,Paramètres!$A$1:$I$89,3,0)*VLOOKUP('Données projet'!$B$14,Paramètres!$A$1:$I$89,5,0)</f>
        <v>67.817880000000017</v>
      </c>
      <c r="DQ34" s="13">
        <f t="shared" si="43"/>
        <v>19.130565519072405</v>
      </c>
      <c r="DR34" s="20">
        <f t="shared" si="16"/>
        <v>151.43520927905112</v>
      </c>
      <c r="DS34" s="59">
        <f t="shared" si="17"/>
        <v>444.76854261238441</v>
      </c>
      <c r="DT34" s="59">
        <f ca="1">AVERAGE(OFFSET($DS$3,0,0,'Données projet'!$E$14+1,1))-AVERAGE(OFFSET($H$3,0,0,'Données projet'!$E$14+1,1))</f>
        <v>107.15837202366862</v>
      </c>
      <c r="DU34" s="59">
        <f t="shared" si="44"/>
        <v>139.67031833740026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5.5130600742751632</v>
      </c>
      <c r="EC34" s="21">
        <f>EXP(-LN(2)/2)*EC33+(1-EXP(-LN(2)/2))/(LN(2)/2)*DW34*DZ34*VLOOKUP('Données projet'!$B$14,Paramètres!$A$1:$I$89,3,0)*0.475*44/12</f>
        <v>4.7725999349629271</v>
      </c>
      <c r="ED34" s="22">
        <f t="shared" si="18"/>
        <v>10.285660009238089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7</v>
      </c>
      <c r="EJ34" s="12">
        <f>IF('Données projet'!$A$192&gt;35,EJ33+EI34-ER33,IF(A34&lt;'Données projet'!$A$192,$EG$205^A34,IF(A34='Données projet'!$A$192,'Données projet'!$B$192,EJ33+EI34-ER33)))</f>
        <v>154.69999999999999</v>
      </c>
      <c r="EK34" s="17">
        <f>EJ34*VLOOKUP('Données projet'!$B$15,Paramètres!$A$1:$I$89,3,0)*VLOOKUP('Données projet'!$B$15,Paramètres!$A$1:$I$89,5,0)</f>
        <v>72.399599999999992</v>
      </c>
      <c r="EL34" s="13">
        <f t="shared" si="45"/>
        <v>20.268188832715463</v>
      </c>
      <c r="EM34" s="20">
        <f t="shared" si="19"/>
        <v>161.3963988836461</v>
      </c>
      <c r="EN34" s="59">
        <f t="shared" si="20"/>
        <v>454.72973221697941</v>
      </c>
      <c r="EO34" s="59">
        <f ca="1">AVERAGE(OFFSET($EN$3,0,0,'Données projet'!$E$15+1,1))-AVERAGE(OFFSET($H$3,0,0,'Données projet'!$E$15+1,1))</f>
        <v>123.60520571614535</v>
      </c>
      <c r="EP34" s="59">
        <f t="shared" si="46"/>
        <v>119.00926870519527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0.85029526100522668</v>
      </c>
      <c r="EW34" s="21">
        <f>EXP(-LN(2)/25)*EW33+(1-EXP(-LN(2)/25))/(LN(2)/25)*Calculateur!ER34*Calculateur!ET34*VLOOKUP('Données projet'!$B$15,Paramètres!$A$1:$I$89,3,0)*0.475*44/12</f>
        <v>4.6461374989711475</v>
      </c>
      <c r="EX34" s="21">
        <f>EXP(-LN(2)/2)*EX33+(1-EXP(-LN(2)/2))/(LN(2)/2)*ER34*EU34*VLOOKUP('Données projet'!$B$15,Paramètres!$A$1:$I$89,3,0)*0.475*44/12</f>
        <v>4.3230461464558037</v>
      </c>
      <c r="EY34" s="22">
        <f t="shared" si="21"/>
        <v>9.8194789064321775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17.600000000000001</v>
      </c>
      <c r="FE34" s="12">
        <f>IF('Données projet'!$A$218&gt;35,FE33+FD34-FM33,IF(A34&lt;'Données projet'!$A$218,$FB$205^A34,IF(A34='Données projet'!$A$218,'Données projet'!$B$218,FE33+FD34-FM33)))</f>
        <v>185.6</v>
      </c>
      <c r="FF34" s="17">
        <f>FE34*VLOOKUP('Données projet'!$B$16,Paramètres!$A$1:$I$89,3,0)*VLOOKUP('Données projet'!$B$16,Paramètres!$A$1:$I$89,5,0)</f>
        <v>89.273600000000002</v>
      </c>
      <c r="FG34" s="13">
        <f t="shared" si="47"/>
        <v>24.389952263746558</v>
      </c>
      <c r="FH34" s="20">
        <f t="shared" si="22"/>
        <v>197.96402019269192</v>
      </c>
      <c r="FI34" s="59">
        <f t="shared" si="23"/>
        <v>491.29735352602523</v>
      </c>
      <c r="FJ34" s="59">
        <f ca="1">AVERAGE(OFFSET($FI$3,0,0,'Données projet'!$E$16+1,1))-AVERAGE(OFFSET($H$3,0,0,'Données projet'!$E$16+1,1))</f>
        <v>197.66963254934603</v>
      </c>
      <c r="FK34" s="59">
        <f t="shared" si="48"/>
        <v>158.08388141976138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2.6148625043161604</v>
      </c>
      <c r="FR34" s="21">
        <f>EXP(-LN(2)/25)*FR33+(1-EXP(-LN(2)/25))/(LN(2)/25)*Calculateur!FM34*Calculateur!FO34*VLOOKUP('Données projet'!$B$16,Paramètres!$A$1:$I$89,3,0)*0.475*44/12</f>
        <v>5.1680315022464978</v>
      </c>
      <c r="FS34" s="21">
        <f>EXP(-LN(2)/2)*FS33+(1-EXP(-LN(2)/2))/(LN(2)/2)*FM34*FP34*VLOOKUP('Données projet'!$B$16,Paramètres!$A$1:$I$89,3,0)*0.475*44/12</f>
        <v>5.8534135111706842</v>
      </c>
      <c r="FT34" s="22">
        <f t="shared" si="24"/>
        <v>13.636307517733343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11</v>
      </c>
      <c r="FZ34" s="12">
        <f>IF('Données projet'!$A$244&gt;35,FZ33+FY34-GH33,IF(A34&lt;'Données projet'!$A$244,$FW$205^A34,IF(A34='Données projet'!$A$244,'Données projet'!$B$244,FZ33+FY34-GH33)))</f>
        <v>133.99999999999997</v>
      </c>
      <c r="GA34" s="17">
        <f>FZ34*VLOOKUP('Données projet'!$B$17,Paramètres!$A$1:$I$89,3,0)*VLOOKUP('Données projet'!$B$17,Paramètres!$A$1:$I$89,5,0)</f>
        <v>80.131999999999991</v>
      </c>
      <c r="GB34" s="13">
        <f t="shared" si="49"/>
        <v>22.169455717453161</v>
      </c>
      <c r="GC34" s="20">
        <f t="shared" si="25"/>
        <v>178.17503537456423</v>
      </c>
      <c r="GD34" s="59">
        <f t="shared" si="26"/>
        <v>471.50836870789755</v>
      </c>
      <c r="GE34" s="59">
        <f ca="1">AVERAGE(OFFSET($GD$3,0,0,'Données projet'!$E$17+1,1))-AVERAGE(OFFSET($H$3,0,0,'Données projet'!$E$17+1,1))</f>
        <v>165.39579887388538</v>
      </c>
      <c r="GF34" s="59">
        <f t="shared" si="50"/>
        <v>155.89639262545802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7.0899203671870614</v>
      </c>
      <c r="GN34" s="21">
        <f>EXP(-LN(2)/2)*GN33+(1-EXP(-LN(2)/2))/(LN(2)/2)*GH34*GK34*VLOOKUP('Données projet'!$B$17,Paramètres!$A$1:$I$89,3,0)*0.475*44/12</f>
        <v>9.8146673915966485</v>
      </c>
      <c r="GO34" s="21">
        <f t="shared" si="27"/>
        <v>16.904587758783709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5.2</v>
      </c>
      <c r="GU34" s="12">
        <f>IF('Données projet'!$A$270&gt;35,GU33+GT34-HC33,IF(A34&lt;'Données projet'!$A$270,$GR$205^A34,IF(A34='Données projet'!$A$270,'Données projet'!$B$270,GU33+GT34-HC33)))</f>
        <v>59.199999999999989</v>
      </c>
      <c r="GV34" s="17">
        <f>GU34*VLOOKUP('Données projet'!$B$18,Paramètres!$A$1:$I$89,3,0)*VLOOKUP('Données projet'!$B$18,Paramètres!$A$1:$I$89,5,0)</f>
        <v>63.722879999999989</v>
      </c>
      <c r="GW34" s="13">
        <f t="shared" si="51"/>
        <v>18.106206810636149</v>
      </c>
      <c r="GX34" s="20">
        <f t="shared" si="28"/>
        <v>142.51899286185792</v>
      </c>
      <c r="GY34" s="59">
        <f t="shared" si="29"/>
        <v>435.85232619519127</v>
      </c>
      <c r="GZ34" s="59">
        <f ca="1">AVERAGE(OFFSET($GY$3,0,0,'Données projet'!$E$18+1,1))-AVERAGE(OFFSET($H$3,0,0,'Données projet'!$E$18+1,1))</f>
        <v>186.60545265015247</v>
      </c>
      <c r="HA34" s="59">
        <f t="shared" si="52"/>
        <v>69.239647548491234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17.3</v>
      </c>
      <c r="N35" s="13">
        <f>IF('Données projet'!$A$36&gt;35,N34+M35-V34,IF(A35&lt;'Données projet'!$A$36,$K$205^A35,IF(A35='Données projet'!$A$36,'Données projet'!$B$36,N34+M35-V34)))</f>
        <v>190.60000000000002</v>
      </c>
      <c r="O35" s="13">
        <f>N35*VLOOKUP('Données projet'!$B$9,Paramètres!$A$1:$I$89,3,0)*VLOOKUP('Données projet'!$B$9,Paramètres!$A$1:$I$89,5,0)</f>
        <v>106.54540000000001</v>
      </c>
      <c r="P35" s="13">
        <f t="shared" si="33"/>
        <v>28.515548485734111</v>
      </c>
      <c r="Q35" s="20">
        <f t="shared" ref="Q35:Q66" si="53">(O35+P35)*0.475*44/12</f>
        <v>235.23115194598691</v>
      </c>
      <c r="R35" s="59">
        <f t="shared" si="0"/>
        <v>528.56448527932025</v>
      </c>
      <c r="S35" s="59">
        <f ca="1">AVERAGE(OFFSET($R$3,0,0,'Données projet'!$E$9+1,1))-AVERAGE(OFFSET($H$3,0,0,'Données projet'!$E$9+1,1))</f>
        <v>235.10258076192054</v>
      </c>
      <c r="T35" s="59">
        <f t="shared" si="34"/>
        <v>233.47316052603765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3.2929142829305733</v>
      </c>
      <c r="AA35" s="21">
        <f>EXP(-LN(2)/25)*AA34+(1-EXP(-LN(2)/25))/(LN(2)/25)*Calculateur!V35*Calculateur!X35*VLOOKUP('Données projet'!$B$9,Paramètres!$A$1:$I$89,3,0)*0.475*44/12</f>
        <v>17.440463588504052</v>
      </c>
      <c r="AB35" s="21">
        <f>EXP(-LN(2)/2)*AB34+(1-EXP(-LN(2)/2))/(LN(2)/2)*V35*Y35*VLOOKUP('Données projet'!$B$9,Paramètres!$A$1:$I$89,3,0)*0.475*44/12</f>
        <v>12.061040861333945</v>
      </c>
      <c r="AC35" s="22">
        <f t="shared" si="3"/>
        <v>32.79441873276857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12.1</v>
      </c>
      <c r="AI35" s="13">
        <f>IF('Données projet'!$A$62&gt;35,AI34+AH35-AQ34,IF(A35&lt;'Données projet'!$A$62,$AF$205^A35,IF(A35='Données projet'!$A$62,'Données projet'!$B$62,AI34+AH35-AQ34)))</f>
        <v>174.20000000000002</v>
      </c>
      <c r="AJ35" s="13">
        <f>AI35*VLOOKUP('Données projet'!$B$10,Paramètres!$A$1:$I$89,3,0)*VLOOKUP('Données projet'!$B$10,Paramètres!$A$1:$I$89,5,0)</f>
        <v>95.113200000000006</v>
      </c>
      <c r="AK35" s="13">
        <f t="shared" si="35"/>
        <v>25.794411857052886</v>
      </c>
      <c r="AL35" s="20">
        <f t="shared" si="4"/>
        <v>210.58075731770046</v>
      </c>
      <c r="AM35" s="59">
        <f t="shared" si="5"/>
        <v>503.9140906510338</v>
      </c>
      <c r="AN35" s="59">
        <f ca="1">AVERAGE(OFFSET($AM$3,0,0,'Données projet'!$E$10+1,1))-AVERAGE(OFFSET($H$3,0,0,'Données projet'!$E$10+1,1))</f>
        <v>168.72306536277267</v>
      </c>
      <c r="AO35" s="59">
        <f t="shared" si="36"/>
        <v>203.35476578922339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2.9239408009108683</v>
      </c>
      <c r="AV35" s="21">
        <f>EXP(-LN(2)/25)*AV34+(1-EXP(-LN(2)/25))/(LN(2)/25)*Calculateur!AQ35*Calculateur!AS35*VLOOKUP('Données projet'!$B$10,Paramètres!$A$1:$I$89,3,0)*0.475*44/12</f>
        <v>21.745155394112935</v>
      </c>
      <c r="AW35" s="21">
        <f>EXP(-LN(2)/2)*AW34+(1-EXP(-LN(2)/2))/(LN(2)/2)*AQ35*AT35*VLOOKUP('Données projet'!$B$10,Paramètres!$A$1:$I$89,3,0)*0.475*44/12</f>
        <v>10.011923311044615</v>
      </c>
      <c r="AX35" s="21">
        <f t="shared" si="6"/>
        <v>34.681019506068424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</v>
      </c>
      <c r="BD35" s="12">
        <f>IF('Données projet'!$A$88&gt;35,BD34+BC35-BL34,IF(A35&lt;'Données projet'!$A$88,$BA$205^A35,IF(A35='Données projet'!$A$88,'Données projet'!$B$88,BD34+BC35-BL34)))</f>
        <v>144.99999999999997</v>
      </c>
      <c r="BE35" s="13">
        <f>BD35*VLOOKUP('Données projet'!$B$11,Paramètres!$A$1:$I$89,3,0)*VLOOKUP('Données projet'!$B$11,Paramètres!$A$1:$I$89,5,0)</f>
        <v>86.71</v>
      </c>
      <c r="BF35" s="13">
        <f t="shared" si="37"/>
        <v>23.770044666555087</v>
      </c>
      <c r="BG35" s="20">
        <f t="shared" si="7"/>
        <v>192.4194111275834</v>
      </c>
      <c r="BH35" s="59">
        <f t="shared" si="8"/>
        <v>485.75274446091669</v>
      </c>
      <c r="BI35" s="59">
        <f ca="1">AVERAGE(OFFSET($BH$3,0,0,'Données projet'!$E$11+1,1))-AVERAGE(OFFSET($H$3,0,0,'Données projet'!$E$11+1,1))</f>
        <v>165.39579887388538</v>
      </c>
      <c r="BJ35" s="59">
        <f t="shared" si="38"/>
        <v>155.89639262545802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6.8960461219036233</v>
      </c>
      <c r="BR35" s="21">
        <f>EXP(-LN(2)/2)*BR34+(1-EXP(-LN(2)/2))/(LN(2)/2)*BL35*BO35*VLOOKUP('Données projet'!$B$11,Paramètres!$A$1:$I$89,3,0)*0.475*44/12</f>
        <v>6.940017867688475</v>
      </c>
      <c r="BS35" s="22">
        <f t="shared" si="9"/>
        <v>13.836063989592098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5.2</v>
      </c>
      <c r="BY35" s="12">
        <f>IF('Données projet'!$A$114&gt;35,BY34+BX35-CG34,IF(A35&lt;'Données projet'!$A$114,$BV$205^A35,IF(A35='Données projet'!$A$114,'Données projet'!$B$114,BY34+BX35-CG34)))</f>
        <v>64.399999999999991</v>
      </c>
      <c r="BZ35" s="13">
        <f>BY35*VLOOKUP('Données projet'!$B$12,Paramètres!$A$1:$I$89,3,0)*VLOOKUP('Données projet'!$B$12,Paramètres!$A$1:$I$89,5,0)</f>
        <v>62.287679999999995</v>
      </c>
      <c r="CA35" s="13">
        <f t="shared" si="39"/>
        <v>17.745400652396182</v>
      </c>
      <c r="CB35" s="20">
        <f t="shared" si="10"/>
        <v>139.39094880292336</v>
      </c>
      <c r="CC35" s="59">
        <f t="shared" si="11"/>
        <v>432.72428213625665</v>
      </c>
      <c r="CD35" s="59">
        <f ca="1">AVERAGE(OFFSET($CC$3,0,0,'Données projet'!$E$12+1,1))-AVERAGE(OFFSET($H$3,0,0,'Données projet'!$E$12+1,1))</f>
        <v>156.26368818265388</v>
      </c>
      <c r="CE35" s="59">
        <f t="shared" si="40"/>
        <v>56.347130462109817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5.2</v>
      </c>
      <c r="CT35" s="12">
        <f>IF('Données projet'!$A$140&gt;35,CT34+CS35-DB34,IF(A35&lt;'Données projet'!$A$140,$CQ$205^A35,IF(A35='Données projet'!$A$140,'Données projet'!$B$140,CT34+CS35-DB34)))</f>
        <v>64.399999999999991</v>
      </c>
      <c r="CU35" s="17">
        <f>CT35*VLOOKUP('Données projet'!$B$13,Paramètres!$A$1:$I$89,3,0)*VLOOKUP('Données projet'!$B$13,Paramètres!$A$1:$I$89,5,0)</f>
        <v>52.241280000000003</v>
      </c>
      <c r="CV35" s="13">
        <f t="shared" si="41"/>
        <v>15.191094549941509</v>
      </c>
      <c r="CW35" s="20">
        <f t="shared" si="13"/>
        <v>117.4447190078148</v>
      </c>
      <c r="CX35" s="59">
        <f t="shared" si="14"/>
        <v>410.77805234114811</v>
      </c>
      <c r="CY35" s="59">
        <f ca="1">AVERAGE(OFFSET($CX$3,0,0,'Données projet'!$E$13+1,1))-AVERAGE(OFFSET($H$3,0,0,'Données projet'!$E$13+1,1))</f>
        <v>112.78807760743126</v>
      </c>
      <c r="CZ35" s="59">
        <f t="shared" si="42"/>
        <v>37.867745922003564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8.1</v>
      </c>
      <c r="DO35" s="12">
        <f>IF('Données projet'!$A$166&gt;35,DO34+DN35-DW34,IF(A35&lt;'Données projet'!$A$166,$DL$205^A35,IF(A35='Données projet'!$A$166,'Données projet'!$B$166,DO34+DN35-DW34)))</f>
        <v>109.20000000000002</v>
      </c>
      <c r="DP35" s="17">
        <f>DO35*VLOOKUP('Données projet'!$B$14,Paramètres!$A$1:$I$89,3,0)*VLOOKUP('Données projet'!$B$14,Paramètres!$A$1:$I$89,5,0)</f>
        <v>73.251360000000005</v>
      </c>
      <c r="DQ35" s="13">
        <f t="shared" si="43"/>
        <v>20.478738981277573</v>
      </c>
      <c r="DR35" s="20">
        <f t="shared" si="16"/>
        <v>163.24658905905844</v>
      </c>
      <c r="DS35" s="59">
        <f t="shared" si="17"/>
        <v>456.57992239239172</v>
      </c>
      <c r="DT35" s="59">
        <f ca="1">AVERAGE(OFFSET($DS$3,0,0,'Données projet'!$E$14+1,1))-AVERAGE(OFFSET($H$3,0,0,'Données projet'!$E$14+1,1))</f>
        <v>107.15837202366862</v>
      </c>
      <c r="DU35" s="59">
        <f t="shared" si="44"/>
        <v>139.67031833740026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5.3623051566248794</v>
      </c>
      <c r="EC35" s="21">
        <f>EXP(-LN(2)/2)*EC34+(1-EXP(-LN(2)/2))/(LN(2)/2)*DW35*DZ35*VLOOKUP('Données projet'!$B$14,Paramètres!$A$1:$I$89,3,0)*0.475*44/12</f>
        <v>3.3747377779027619</v>
      </c>
      <c r="ED35" s="22">
        <f t="shared" si="18"/>
        <v>8.7370429345276417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7</v>
      </c>
      <c r="EJ35" s="12">
        <f>IF('Données projet'!$A$192&gt;35,EJ34+EI35-ER34,IF(A35&lt;'Données projet'!$A$192,$EG$205^A35,IF(A35='Données projet'!$A$192,'Données projet'!$B$192,EJ34+EI35-ER34)))</f>
        <v>161.69999999999999</v>
      </c>
      <c r="EK35" s="17">
        <f>EJ35*VLOOKUP('Données projet'!$B$15,Paramètres!$A$1:$I$89,3,0)*VLOOKUP('Données projet'!$B$15,Paramètres!$A$1:$I$89,5,0)</f>
        <v>75.675600000000003</v>
      </c>
      <c r="EL35" s="13">
        <f t="shared" si="45"/>
        <v>21.076450566911173</v>
      </c>
      <c r="EM35" s="20">
        <f t="shared" si="19"/>
        <v>168.50982140403696</v>
      </c>
      <c r="EN35" s="59">
        <f t="shared" si="20"/>
        <v>461.84315473737024</v>
      </c>
      <c r="EO35" s="59">
        <f ca="1">AVERAGE(OFFSET($EN$3,0,0,'Données projet'!$E$15+1,1))-AVERAGE(OFFSET($H$3,0,0,'Données projet'!$E$15+1,1))</f>
        <v>123.60520571614535</v>
      </c>
      <c r="EP35" s="59">
        <f t="shared" si="46"/>
        <v>119.00926870519527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0.83362148956581306</v>
      </c>
      <c r="EW35" s="21">
        <f>EXP(-LN(2)/25)*EW34+(1-EXP(-LN(2)/25))/(LN(2)/25)*Calculateur!ER35*Calculateur!ET35*VLOOKUP('Données projet'!$B$15,Paramètres!$A$1:$I$89,3,0)*0.475*44/12</f>
        <v>4.5190886247320297</v>
      </c>
      <c r="EX35" s="21">
        <f>EXP(-LN(2)/2)*EX34+(1-EXP(-LN(2)/2))/(LN(2)/2)*ER35*EU35*VLOOKUP('Données projet'!$B$15,Paramètres!$A$1:$I$89,3,0)*0.475*44/12</f>
        <v>3.0568552455412719</v>
      </c>
      <c r="EY35" s="22">
        <f t="shared" si="21"/>
        <v>8.4095653598391138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17.600000000000001</v>
      </c>
      <c r="FE35" s="12">
        <f>IF('Données projet'!$A$218&gt;35,FE34+FD35-FM34,IF(A35&lt;'Données projet'!$A$218,$FB$205^A35,IF(A35='Données projet'!$A$218,'Données projet'!$B$218,FE34+FD35-FM34)))</f>
        <v>203.2</v>
      </c>
      <c r="FF35" s="17">
        <f>FE35*VLOOKUP('Données projet'!$B$16,Paramètres!$A$1:$I$89,3,0)*VLOOKUP('Données projet'!$B$16,Paramètres!$A$1:$I$89,5,0)</f>
        <v>97.739199999999997</v>
      </c>
      <c r="FG35" s="13">
        <f t="shared" si="47"/>
        <v>26.422678401406777</v>
      </c>
      <c r="FH35" s="20">
        <f t="shared" si="22"/>
        <v>216.24860488245011</v>
      </c>
      <c r="FI35" s="59">
        <f t="shared" si="23"/>
        <v>509.58193821578345</v>
      </c>
      <c r="FJ35" s="59">
        <f ca="1">AVERAGE(OFFSET($FI$3,0,0,'Données projet'!$E$16+1,1))-AVERAGE(OFFSET($H$3,0,0,'Données projet'!$E$16+1,1))</f>
        <v>197.66963254934603</v>
      </c>
      <c r="FK35" s="59">
        <f t="shared" si="48"/>
        <v>158.08388141976138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2.5635866455151639</v>
      </c>
      <c r="FR35" s="21">
        <f>EXP(-LN(2)/25)*FR34+(1-EXP(-LN(2)/25))/(LN(2)/25)*Calculateur!FM35*Calculateur!FO35*VLOOKUP('Données projet'!$B$16,Paramètres!$A$1:$I$89,3,0)*0.475*44/12</f>
        <v>5.0267114090426022</v>
      </c>
      <c r="FS35" s="21">
        <f>EXP(-LN(2)/2)*FS34+(1-EXP(-LN(2)/2))/(LN(2)/2)*FM35*FP35*VLOOKUP('Données projet'!$B$16,Paramètres!$A$1:$I$89,3,0)*0.475*44/12</f>
        <v>4.1389883868377497</v>
      </c>
      <c r="FT35" s="22">
        <f t="shared" si="24"/>
        <v>11.729286441395516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11</v>
      </c>
      <c r="FZ35" s="12">
        <f>IF('Données projet'!$A$244&gt;35,FZ34+FY35-GH34,IF(A35&lt;'Données projet'!$A$244,$FW$205^A35,IF(A35='Données projet'!$A$244,'Données projet'!$B$244,FZ34+FY35-GH34)))</f>
        <v>144.99999999999997</v>
      </c>
      <c r="GA35" s="17">
        <f>FZ35*VLOOKUP('Données projet'!$B$17,Paramètres!$A$1:$I$89,3,0)*VLOOKUP('Données projet'!$B$17,Paramètres!$A$1:$I$89,5,0)</f>
        <v>86.71</v>
      </c>
      <c r="GB35" s="13">
        <f t="shared" si="49"/>
        <v>23.770044666555087</v>
      </c>
      <c r="GC35" s="20">
        <f t="shared" si="25"/>
        <v>192.4194111275834</v>
      </c>
      <c r="GD35" s="59">
        <f t="shared" si="26"/>
        <v>485.75274446091669</v>
      </c>
      <c r="GE35" s="59">
        <f ca="1">AVERAGE(OFFSET($GD$3,0,0,'Données projet'!$E$17+1,1))-AVERAGE(OFFSET($H$3,0,0,'Données projet'!$E$17+1,1))</f>
        <v>165.39579887388538</v>
      </c>
      <c r="GF35" s="59">
        <f t="shared" si="50"/>
        <v>155.89639262545802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6.8960461219036233</v>
      </c>
      <c r="GN35" s="21">
        <f>EXP(-LN(2)/2)*GN34+(1-EXP(-LN(2)/2))/(LN(2)/2)*GH35*GK35*VLOOKUP('Données projet'!$B$17,Paramètres!$A$1:$I$89,3,0)*0.475*44/12</f>
        <v>6.940017867688475</v>
      </c>
      <c r="GO35" s="21">
        <f t="shared" si="27"/>
        <v>13.836063989592098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5.2</v>
      </c>
      <c r="GU35" s="12">
        <f>IF('Données projet'!$A$270&gt;35,GU34+GT35-HC34,IF(A35&lt;'Données projet'!$A$270,$GR$205^A35,IF(A35='Données projet'!$A$270,'Données projet'!$B$270,GU34+GT35-HC34)))</f>
        <v>64.399999999999991</v>
      </c>
      <c r="GV35" s="17">
        <f>GU35*VLOOKUP('Données projet'!$B$18,Paramètres!$A$1:$I$89,3,0)*VLOOKUP('Données projet'!$B$18,Paramètres!$A$1:$I$89,5,0)</f>
        <v>69.320159999999987</v>
      </c>
      <c r="GW35" s="13">
        <f t="shared" si="51"/>
        <v>19.504533563930202</v>
      </c>
      <c r="GX35" s="20">
        <f t="shared" si="28"/>
        <v>154.70300795717841</v>
      </c>
      <c r="GY35" s="59">
        <f t="shared" si="29"/>
        <v>448.0363412905117</v>
      </c>
      <c r="GZ35" s="59">
        <f ca="1">AVERAGE(OFFSET($GY$3,0,0,'Données projet'!$E$18+1,1))-AVERAGE(OFFSET($H$3,0,0,'Données projet'!$E$18+1,1))</f>
        <v>186.60545265015247</v>
      </c>
      <c r="HA35" s="59">
        <f t="shared" si="52"/>
        <v>69.239647548491234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17.3</v>
      </c>
      <c r="N36" s="13">
        <f>IF('Données projet'!$A$36&gt;35,N35+M36-V35,IF(A36&lt;'Données projet'!$A$36,$K$205^A36,IF(A36='Données projet'!$A$36,'Données projet'!$B$36,N35+M36-V35)))</f>
        <v>207.90000000000003</v>
      </c>
      <c r="O36" s="13">
        <f>N36*VLOOKUP('Données projet'!$B$9,Paramètres!$A$1:$I$89,3,0)*VLOOKUP('Données projet'!$B$9,Paramètres!$A$1:$I$89,5,0)</f>
        <v>116.21610000000003</v>
      </c>
      <c r="P36" s="13">
        <f t="shared" si="33"/>
        <v>30.790827813105789</v>
      </c>
      <c r="Q36" s="20">
        <f t="shared" si="53"/>
        <v>256.03706594115931</v>
      </c>
      <c r="R36" s="59">
        <f t="shared" si="0"/>
        <v>549.37039927449268</v>
      </c>
      <c r="S36" s="59">
        <f ca="1">AVERAGE(OFFSET($R$3,0,0,'Données projet'!$E$9+1,1))-AVERAGE(OFFSET($H$3,0,0,'Données projet'!$E$9+1,1))</f>
        <v>235.10258076192054</v>
      </c>
      <c r="T36" s="59">
        <f t="shared" si="34"/>
        <v>233.47316052603765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3.2283422423216965</v>
      </c>
      <c r="AA36" s="21">
        <f>EXP(-LN(2)/25)*AA35+(1-EXP(-LN(2)/25))/(LN(2)/25)*Calculateur!V36*Calculateur!X36*VLOOKUP('Données projet'!$B$9,Paramètres!$A$1:$I$89,3,0)*0.475*44/12</f>
        <v>16.963553194522291</v>
      </c>
      <c r="AB36" s="21">
        <f>EXP(-LN(2)/2)*AB35+(1-EXP(-LN(2)/2))/(LN(2)/2)*V36*Y36*VLOOKUP('Données projet'!$B$9,Paramètres!$A$1:$I$89,3,0)*0.475*44/12</f>
        <v>8.5284437812172715</v>
      </c>
      <c r="AC36" s="22">
        <f t="shared" si="3"/>
        <v>28.720339218061255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12.1</v>
      </c>
      <c r="AI36" s="13">
        <f>IF('Données projet'!$A$62&gt;35,AI35+AH36-AQ35,IF(A36&lt;'Données projet'!$A$62,$AF$205^A36,IF(A36='Données projet'!$A$62,'Données projet'!$B$62,AI35+AH36-AQ35)))</f>
        <v>186.3</v>
      </c>
      <c r="AJ36" s="13">
        <f>AI36*VLOOKUP('Données projet'!$B$10,Paramètres!$A$1:$I$89,3,0)*VLOOKUP('Données projet'!$B$10,Paramètres!$A$1:$I$89,5,0)</f>
        <v>101.71979999999999</v>
      </c>
      <c r="AK36" s="13">
        <f t="shared" si="35"/>
        <v>27.37130868680908</v>
      </c>
      <c r="AL36" s="20">
        <f t="shared" si="4"/>
        <v>224.83368096285912</v>
      </c>
      <c r="AM36" s="59">
        <f t="shared" si="5"/>
        <v>518.16701429619241</v>
      </c>
      <c r="AN36" s="59">
        <f ca="1">AVERAGE(OFFSET($AM$3,0,0,'Données projet'!$E$10+1,1))-AVERAGE(OFFSET($H$3,0,0,'Données projet'!$E$10+1,1))</f>
        <v>168.72306536277267</v>
      </c>
      <c r="AO36" s="59">
        <f t="shared" si="36"/>
        <v>203.35476578922339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2.866604105232796</v>
      </c>
      <c r="AV36" s="21">
        <f>EXP(-LN(2)/25)*AV35+(1-EXP(-LN(2)/25))/(LN(2)/25)*Calculateur!AQ36*Calculateur!AS36*VLOOKUP('Données projet'!$B$10,Paramètres!$A$1:$I$89,3,0)*0.475*44/12</f>
        <v>21.150532976332894</v>
      </c>
      <c r="AW36" s="21">
        <f>EXP(-LN(2)/2)*AW35+(1-EXP(-LN(2)/2))/(LN(2)/2)*AQ36*AT36*VLOOKUP('Données projet'!$B$10,Paramètres!$A$1:$I$89,3,0)*0.475*44/12</f>
        <v>7.0794988659593194</v>
      </c>
      <c r="AX36" s="21">
        <f t="shared" si="6"/>
        <v>31.096635947525009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</v>
      </c>
      <c r="BD36" s="12">
        <f>IF('Données projet'!$A$88&gt;35,BD35+BC36-BL35,IF(A36&lt;'Données projet'!$A$88,$BA$205^A36,IF(A36='Données projet'!$A$88,'Données projet'!$B$88,BD35+BC36-BL35)))</f>
        <v>155.99999999999997</v>
      </c>
      <c r="BE36" s="13">
        <f>BD36*VLOOKUP('Données projet'!$B$11,Paramètres!$A$1:$I$89,3,0)*VLOOKUP('Données projet'!$B$11,Paramètres!$A$1:$I$89,5,0)</f>
        <v>93.287999999999997</v>
      </c>
      <c r="BF36" s="13">
        <f t="shared" si="37"/>
        <v>25.356547829040977</v>
      </c>
      <c r="BG36" s="20">
        <f t="shared" si="7"/>
        <v>206.63925413557968</v>
      </c>
      <c r="BH36" s="59">
        <f t="shared" si="8"/>
        <v>499.97258746891299</v>
      </c>
      <c r="BI36" s="59">
        <f ca="1">AVERAGE(OFFSET($BH$3,0,0,'Données projet'!$E$11+1,1))-AVERAGE(OFFSET($H$3,0,0,'Données projet'!$E$11+1,1))</f>
        <v>165.39579887388538</v>
      </c>
      <c r="BJ36" s="59">
        <f t="shared" si="38"/>
        <v>155.89639262545802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6.7074733780528639</v>
      </c>
      <c r="BR36" s="21">
        <f>EXP(-LN(2)/2)*BR35+(1-EXP(-LN(2)/2))/(LN(2)/2)*BL36*BO36*VLOOKUP('Données projet'!$B$11,Paramètres!$A$1:$I$89,3,0)*0.475*44/12</f>
        <v>4.9073336957983251</v>
      </c>
      <c r="BS36" s="22">
        <f t="shared" si="9"/>
        <v>11.614807073851189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5.2</v>
      </c>
      <c r="BY36" s="12">
        <f>IF('Données projet'!$A$114&gt;35,BY35+BX36-CG35,IF(A36&lt;'Données projet'!$A$114,$BV$205^A36,IF(A36='Données projet'!$A$114,'Données projet'!$B$114,BY35+BX36-CG35)))</f>
        <v>69.599999999999994</v>
      </c>
      <c r="BZ36" s="13">
        <f>BY36*VLOOKUP('Données projet'!$B$12,Paramètres!$A$1:$I$89,3,0)*VLOOKUP('Données projet'!$B$12,Paramètres!$A$1:$I$89,5,0)</f>
        <v>67.317119999999989</v>
      </c>
      <c r="CA36" s="13">
        <f t="shared" si="39"/>
        <v>19.005696112952641</v>
      </c>
      <c r="CB36" s="20">
        <f t="shared" si="10"/>
        <v>150.34557139672583</v>
      </c>
      <c r="CC36" s="59">
        <f t="shared" si="11"/>
        <v>443.67890473005912</v>
      </c>
      <c r="CD36" s="59">
        <f ca="1">AVERAGE(OFFSET($CC$3,0,0,'Données projet'!$E$12+1,1))-AVERAGE(OFFSET($H$3,0,0,'Données projet'!$E$12+1,1))</f>
        <v>156.26368818265388</v>
      </c>
      <c r="CE36" s="59">
        <f t="shared" si="40"/>
        <v>56.347130462109817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5.2</v>
      </c>
      <c r="CT36" s="12">
        <f>IF('Données projet'!$A$140&gt;35,CT35+CS36-DB35,IF(A36&lt;'Données projet'!$A$140,$CQ$205^A36,IF(A36='Données projet'!$A$140,'Données projet'!$B$140,CT35+CS36-DB35)))</f>
        <v>69.599999999999994</v>
      </c>
      <c r="CU36" s="17">
        <f>CT36*VLOOKUP('Données projet'!$B$13,Paramètres!$A$1:$I$89,3,0)*VLOOKUP('Données projet'!$B$13,Paramètres!$A$1:$I$89,5,0)</f>
        <v>56.459520000000005</v>
      </c>
      <c r="CV36" s="13">
        <f t="shared" si="41"/>
        <v>16.269980728799919</v>
      </c>
      <c r="CW36" s="20">
        <f t="shared" si="13"/>
        <v>126.67054710265984</v>
      </c>
      <c r="CX36" s="59">
        <f t="shared" si="14"/>
        <v>420.00388043599315</v>
      </c>
      <c r="CY36" s="59">
        <f ca="1">AVERAGE(OFFSET($CX$3,0,0,'Données projet'!$E$13+1,1))-AVERAGE(OFFSET($H$3,0,0,'Données projet'!$E$13+1,1))</f>
        <v>112.78807760743126</v>
      </c>
      <c r="CZ36" s="59">
        <f t="shared" si="42"/>
        <v>37.867745922003564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8.1</v>
      </c>
      <c r="DO36" s="12">
        <f>IF('Données projet'!$A$166&gt;35,DO35+DN36-DW35,IF(A36&lt;'Données projet'!$A$166,$DL$205^A36,IF(A36='Données projet'!$A$166,'Données projet'!$B$166,DO35+DN36-DW35)))</f>
        <v>117.30000000000001</v>
      </c>
      <c r="DP36" s="17">
        <f>DO36*VLOOKUP('Données projet'!$B$14,Paramètres!$A$1:$I$89,3,0)*VLOOKUP('Données projet'!$B$14,Paramètres!$A$1:$I$89,5,0)</f>
        <v>78.684840000000008</v>
      </c>
      <c r="DQ36" s="13">
        <f t="shared" si="43"/>
        <v>21.815311107666922</v>
      </c>
      <c r="DR36" s="20">
        <f t="shared" si="16"/>
        <v>175.03776317918656</v>
      </c>
      <c r="DS36" s="59">
        <f t="shared" si="17"/>
        <v>468.3710965125199</v>
      </c>
      <c r="DT36" s="59">
        <f ca="1">AVERAGE(OFFSET($DS$3,0,0,'Données projet'!$E$14+1,1))-AVERAGE(OFFSET($H$3,0,0,'Données projet'!$E$14+1,1))</f>
        <v>107.15837202366862</v>
      </c>
      <c r="DU36" s="59">
        <f t="shared" si="44"/>
        <v>139.67031833740026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5.2156726401255993</v>
      </c>
      <c r="EC36" s="21">
        <f>EXP(-LN(2)/2)*EC35+(1-EXP(-LN(2)/2))/(LN(2)/2)*DW36*DZ36*VLOOKUP('Données projet'!$B$14,Paramètres!$A$1:$I$89,3,0)*0.475*44/12</f>
        <v>2.386299967481464</v>
      </c>
      <c r="ED36" s="22">
        <f t="shared" si="18"/>
        <v>7.6019726076070633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7</v>
      </c>
      <c r="EJ36" s="12">
        <f>IF('Données projet'!$A$192&gt;35,EJ35+EI36-ER35,IF(A36&lt;'Données projet'!$A$192,$EG$205^A36,IF(A36='Données projet'!$A$192,'Données projet'!$B$192,EJ35+EI36-ER35)))</f>
        <v>168.7</v>
      </c>
      <c r="EK36" s="17">
        <f>EJ36*VLOOKUP('Données projet'!$B$15,Paramètres!$A$1:$I$89,3,0)*VLOOKUP('Données projet'!$B$15,Paramètres!$A$1:$I$89,5,0)</f>
        <v>78.951599999999999</v>
      </c>
      <c r="EL36" s="13">
        <f t="shared" si="45"/>
        <v>21.880648405433348</v>
      </c>
      <c r="EM36" s="20">
        <f t="shared" si="19"/>
        <v>175.61616597279638</v>
      </c>
      <c r="EN36" s="59">
        <f t="shared" si="20"/>
        <v>468.94949930612972</v>
      </c>
      <c r="EO36" s="59">
        <f ca="1">AVERAGE(OFFSET($EN$3,0,0,'Données projet'!$E$15+1,1))-AVERAGE(OFFSET($H$3,0,0,'Données projet'!$E$15+1,1))</f>
        <v>123.60520571614535</v>
      </c>
      <c r="EP36" s="59">
        <f t="shared" si="46"/>
        <v>119.00926870519527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0.81727468061432995</v>
      </c>
      <c r="EW36" s="21">
        <f>EXP(-LN(2)/25)*EW35+(1-EXP(-LN(2)/25))/(LN(2)/25)*Calculateur!ER36*Calculateur!ET36*VLOOKUP('Données projet'!$B$15,Paramètres!$A$1:$I$89,3,0)*0.475*44/12</f>
        <v>4.39551390864019</v>
      </c>
      <c r="EX36" s="21">
        <f>EXP(-LN(2)/2)*EX35+(1-EXP(-LN(2)/2))/(LN(2)/2)*ER36*EU36*VLOOKUP('Données projet'!$B$15,Paramètres!$A$1:$I$89,3,0)*0.475*44/12</f>
        <v>2.1615230732279023</v>
      </c>
      <c r="EY36" s="22">
        <f t="shared" si="21"/>
        <v>7.3743116624824214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17.600000000000001</v>
      </c>
      <c r="FE36" s="12">
        <f>IF('Données projet'!$A$218&gt;35,FE35+FD36-FM35,IF(A36&lt;'Données projet'!$A$218,$FB$205^A36,IF(A36='Données projet'!$A$218,'Données projet'!$B$218,FE35+FD36-FM35)))</f>
        <v>220.79999999999998</v>
      </c>
      <c r="FF36" s="17">
        <f>FE36*VLOOKUP('Données projet'!$B$16,Paramètres!$A$1:$I$89,3,0)*VLOOKUP('Données projet'!$B$16,Paramètres!$A$1:$I$89,5,0)</f>
        <v>106.20480000000001</v>
      </c>
      <c r="FG36" s="13">
        <f t="shared" si="47"/>
        <v>28.434986851787247</v>
      </c>
      <c r="FH36" s="20">
        <f t="shared" si="22"/>
        <v>234.49762876686279</v>
      </c>
      <c r="FI36" s="59">
        <f t="shared" si="23"/>
        <v>527.83096210019607</v>
      </c>
      <c r="FJ36" s="59">
        <f ca="1">AVERAGE(OFFSET($FI$3,0,0,'Données projet'!$E$16+1,1))-AVERAGE(OFFSET($H$3,0,0,'Données projet'!$E$16+1,1))</f>
        <v>197.66963254934603</v>
      </c>
      <c r="FK36" s="59">
        <f t="shared" si="48"/>
        <v>158.08388141976138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2.5133162750300695</v>
      </c>
      <c r="FR36" s="21">
        <f>EXP(-LN(2)/25)*FR35+(1-EXP(-LN(2)/25))/(LN(2)/25)*Calculateur!FM36*Calculateur!FO36*VLOOKUP('Données projet'!$B$16,Paramètres!$A$1:$I$89,3,0)*0.475*44/12</f>
        <v>4.8892557212190679</v>
      </c>
      <c r="FS36" s="21">
        <f>EXP(-LN(2)/2)*FS35+(1-EXP(-LN(2)/2))/(LN(2)/2)*FM36*FP36*VLOOKUP('Données projet'!$B$16,Paramètres!$A$1:$I$89,3,0)*0.475*44/12</f>
        <v>2.9267067555853421</v>
      </c>
      <c r="FT36" s="22">
        <f t="shared" si="24"/>
        <v>10.32927875183448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11</v>
      </c>
      <c r="FZ36" s="12">
        <f>IF('Données projet'!$A$244&gt;35,FZ35+FY36-GH35,IF(A36&lt;'Données projet'!$A$244,$FW$205^A36,IF(A36='Données projet'!$A$244,'Données projet'!$B$244,FZ35+FY36-GH35)))</f>
        <v>155.99999999999997</v>
      </c>
      <c r="GA36" s="17">
        <f>FZ36*VLOOKUP('Données projet'!$B$17,Paramètres!$A$1:$I$89,3,0)*VLOOKUP('Données projet'!$B$17,Paramètres!$A$1:$I$89,5,0)</f>
        <v>93.287999999999997</v>
      </c>
      <c r="GB36" s="13">
        <f t="shared" si="49"/>
        <v>25.356547829040977</v>
      </c>
      <c r="GC36" s="20">
        <f t="shared" si="25"/>
        <v>206.63925413557968</v>
      </c>
      <c r="GD36" s="59">
        <f t="shared" si="26"/>
        <v>499.97258746891299</v>
      </c>
      <c r="GE36" s="59">
        <f ca="1">AVERAGE(OFFSET($GD$3,0,0,'Données projet'!$E$17+1,1))-AVERAGE(OFFSET($H$3,0,0,'Données projet'!$E$17+1,1))</f>
        <v>165.39579887388538</v>
      </c>
      <c r="GF36" s="59">
        <f t="shared" si="50"/>
        <v>155.89639262545802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6.7074733780528639</v>
      </c>
      <c r="GN36" s="21">
        <f>EXP(-LN(2)/2)*GN35+(1-EXP(-LN(2)/2))/(LN(2)/2)*GH36*GK36*VLOOKUP('Données projet'!$B$17,Paramètres!$A$1:$I$89,3,0)*0.475*44/12</f>
        <v>4.9073336957983251</v>
      </c>
      <c r="GO36" s="21">
        <f t="shared" si="27"/>
        <v>11.614807073851189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5.2</v>
      </c>
      <c r="GU36" s="12">
        <f>IF('Données projet'!$A$270&gt;35,GU35+GT36-HC35,IF(A36&lt;'Données projet'!$A$270,$GR$205^A36,IF(A36='Données projet'!$A$270,'Données projet'!$B$270,GU35+GT36-HC35)))</f>
        <v>69.599999999999994</v>
      </c>
      <c r="GV36" s="17">
        <f>GU36*VLOOKUP('Données projet'!$B$18,Paramètres!$A$1:$I$89,3,0)*VLOOKUP('Données projet'!$B$18,Paramètres!$A$1:$I$89,5,0)</f>
        <v>74.917439999999999</v>
      </c>
      <c r="GW36" s="13">
        <f t="shared" si="51"/>
        <v>20.88976433963396</v>
      </c>
      <c r="GX36" s="20">
        <f t="shared" si="28"/>
        <v>166.86421422486248</v>
      </c>
      <c r="GY36" s="59">
        <f t="shared" si="29"/>
        <v>460.19754755819577</v>
      </c>
      <c r="GZ36" s="59">
        <f ca="1">AVERAGE(OFFSET($GY$3,0,0,'Données projet'!$E$18+1,1))-AVERAGE(OFFSET($H$3,0,0,'Données projet'!$E$18+1,1))</f>
        <v>186.60545265015247</v>
      </c>
      <c r="HA36" s="59">
        <f t="shared" si="52"/>
        <v>69.239647548491234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17.3</v>
      </c>
      <c r="N37" s="13">
        <f>IF('Données projet'!$A$36&gt;35,N36+M37-V36,IF(A37&lt;'Données projet'!$A$36,$K$205^A37,IF(A37='Données projet'!$A$36,'Données projet'!$B$36,N36+M37-V36)))</f>
        <v>225.20000000000005</v>
      </c>
      <c r="O37" s="13">
        <f>N37*VLOOKUP('Données projet'!$B$9,Paramètres!$A$1:$I$89,3,0)*VLOOKUP('Données projet'!$B$9,Paramètres!$A$1:$I$89,5,0)</f>
        <v>125.88680000000002</v>
      </c>
      <c r="P37" s="13">
        <f t="shared" si="33"/>
        <v>33.044148434351406</v>
      </c>
      <c r="Q37" s="20">
        <f t="shared" si="53"/>
        <v>276.8047351898287</v>
      </c>
      <c r="R37" s="59">
        <f t="shared" si="0"/>
        <v>570.13806852316202</v>
      </c>
      <c r="S37" s="59">
        <f ca="1">AVERAGE(OFFSET($R$3,0,0,'Données projet'!$E$9+1,1))-AVERAGE(OFFSET($H$3,0,0,'Données projet'!$E$9+1,1))</f>
        <v>235.10258076192054</v>
      </c>
      <c r="T37" s="59">
        <f t="shared" si="34"/>
        <v>233.47316052603765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3.1650364200441041</v>
      </c>
      <c r="AA37" s="21">
        <f>EXP(-LN(2)/25)*AA36+(1-EXP(-LN(2)/25))/(LN(2)/25)*Calculateur!V37*Calculateur!X37*VLOOKUP('Données projet'!$B$9,Paramètres!$A$1:$I$89,3,0)*0.475*44/12</f>
        <v>16.499683940343587</v>
      </c>
      <c r="AB37" s="21">
        <f>EXP(-LN(2)/2)*AB36+(1-EXP(-LN(2)/2))/(LN(2)/2)*V37*Y37*VLOOKUP('Données projet'!$B$9,Paramètres!$A$1:$I$89,3,0)*0.475*44/12</f>
        <v>6.0305204306669733</v>
      </c>
      <c r="AC37" s="22">
        <f t="shared" si="3"/>
        <v>25.695240791054665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12.1</v>
      </c>
      <c r="AI37" s="13">
        <f>IF('Données projet'!$A$62&gt;35,AI36+AH37-AQ36,IF(A37&lt;'Données projet'!$A$62,$AF$205^A37,IF(A37='Données projet'!$A$62,'Données projet'!$B$62,AI36+AH37-AQ36)))</f>
        <v>198.4</v>
      </c>
      <c r="AJ37" s="13">
        <f>AI37*VLOOKUP('Données projet'!$B$10,Paramètres!$A$1:$I$89,3,0)*VLOOKUP('Données projet'!$B$10,Paramètres!$A$1:$I$89,5,0)</f>
        <v>108.32640000000001</v>
      </c>
      <c r="AK37" s="13">
        <f t="shared" si="35"/>
        <v>28.936320206966883</v>
      </c>
      <c r="AL37" s="20">
        <f t="shared" si="4"/>
        <v>239.06590436046736</v>
      </c>
      <c r="AM37" s="59">
        <f t="shared" si="5"/>
        <v>532.39923769380061</v>
      </c>
      <c r="AN37" s="59">
        <f ca="1">AVERAGE(OFFSET($AM$3,0,0,'Données projet'!$E$10+1,1))-AVERAGE(OFFSET($H$3,0,0,'Données projet'!$E$10+1,1))</f>
        <v>168.72306536277267</v>
      </c>
      <c r="AO37" s="59">
        <f t="shared" si="36"/>
        <v>203.35476578922339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2.8103917471850393</v>
      </c>
      <c r="AV37" s="21">
        <f>EXP(-LN(2)/25)*AV36+(1-EXP(-LN(2)/25))/(LN(2)/25)*Calculateur!AQ37*Calculateur!AS37*VLOOKUP('Données projet'!$B$10,Paramètres!$A$1:$I$89,3,0)*0.475*44/12</f>
        <v>20.572170539836883</v>
      </c>
      <c r="AW37" s="21">
        <f>EXP(-LN(2)/2)*AW36+(1-EXP(-LN(2)/2))/(LN(2)/2)*AQ37*AT37*VLOOKUP('Données projet'!$B$10,Paramètres!$A$1:$I$89,3,0)*0.475*44/12</f>
        <v>5.0059616555223085</v>
      </c>
      <c r="AX37" s="21">
        <f t="shared" si="6"/>
        <v>28.388523942544232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</v>
      </c>
      <c r="BD37" s="12">
        <f>IF('Données projet'!$A$88&gt;35,BD36+BC37-BL36,IF(A37&lt;'Données projet'!$A$88,$BA$205^A37,IF(A37='Données projet'!$A$88,'Données projet'!$B$88,BD36+BC37-BL36)))</f>
        <v>166.99999999999997</v>
      </c>
      <c r="BE37" s="13">
        <f>BD37*VLOOKUP('Données projet'!$B$11,Paramètres!$A$1:$I$89,3,0)*VLOOKUP('Données projet'!$B$11,Paramètres!$A$1:$I$89,5,0)</f>
        <v>99.866</v>
      </c>
      <c r="BF37" s="13">
        <f t="shared" si="37"/>
        <v>26.93007140526165</v>
      </c>
      <c r="BG37" s="20">
        <f t="shared" si="7"/>
        <v>220.83649103083067</v>
      </c>
      <c r="BH37" s="59">
        <f t="shared" si="8"/>
        <v>514.16982436416401</v>
      </c>
      <c r="BI37" s="59">
        <f ca="1">AVERAGE(OFFSET($BH$3,0,0,'Données projet'!$E$11+1,1))-AVERAGE(OFFSET($H$3,0,0,'Données projet'!$E$11+1,1))</f>
        <v>165.39579887388538</v>
      </c>
      <c r="BJ37" s="59">
        <f t="shared" si="38"/>
        <v>155.89639262545802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6.5240571657993138</v>
      </c>
      <c r="BR37" s="21">
        <f>EXP(-LN(2)/2)*BR36+(1-EXP(-LN(2)/2))/(LN(2)/2)*BL37*BO37*VLOOKUP('Données projet'!$B$11,Paramètres!$A$1:$I$89,3,0)*0.475*44/12</f>
        <v>3.4700089338442379</v>
      </c>
      <c r="BS37" s="22">
        <f t="shared" si="9"/>
        <v>9.9940660996435522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5.2</v>
      </c>
      <c r="BY37" s="12">
        <f>IF('Données projet'!$A$114&gt;35,BY36+BX37-CG36,IF(A37&lt;'Données projet'!$A$114,$BV$205^A37,IF(A37='Données projet'!$A$114,'Données projet'!$B$114,BY36+BX37-CG36)))</f>
        <v>74.8</v>
      </c>
      <c r="BZ37" s="13">
        <f>BY37*VLOOKUP('Données projet'!$B$12,Paramètres!$A$1:$I$89,3,0)*VLOOKUP('Données projet'!$B$12,Paramètres!$A$1:$I$89,5,0)</f>
        <v>72.346559999999997</v>
      </c>
      <c r="CA37" s="13">
        <f t="shared" si="39"/>
        <v>20.255068147402529</v>
      </c>
      <c r="CB37" s="20">
        <f t="shared" si="10"/>
        <v>161.28116902339272</v>
      </c>
      <c r="CC37" s="59">
        <f t="shared" si="11"/>
        <v>454.61450235672601</v>
      </c>
      <c r="CD37" s="59">
        <f ca="1">AVERAGE(OFFSET($CC$3,0,0,'Données projet'!$E$12+1,1))-AVERAGE(OFFSET($H$3,0,0,'Données projet'!$E$12+1,1))</f>
        <v>156.26368818265388</v>
      </c>
      <c r="CE37" s="59">
        <f t="shared" si="40"/>
        <v>56.347130462109817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5.2</v>
      </c>
      <c r="CT37" s="12">
        <f>IF('Données projet'!$A$140&gt;35,CT36+CS37-DB36,IF(A37&lt;'Données projet'!$A$140,$CQ$205^A37,IF(A37='Données projet'!$A$140,'Données projet'!$B$140,CT36+CS37-DB36)))</f>
        <v>74.8</v>
      </c>
      <c r="CU37" s="17">
        <f>CT37*VLOOKUP('Données projet'!$B$13,Paramètres!$A$1:$I$89,3,0)*VLOOKUP('Données projet'!$B$13,Paramètres!$A$1:$I$89,5,0)</f>
        <v>60.677760000000006</v>
      </c>
      <c r="CV37" s="13">
        <f t="shared" si="41"/>
        <v>17.339515819900729</v>
      </c>
      <c r="CW37" s="20">
        <f t="shared" si="13"/>
        <v>135.88008871966042</v>
      </c>
      <c r="CX37" s="59">
        <f t="shared" si="14"/>
        <v>429.21342205299374</v>
      </c>
      <c r="CY37" s="59">
        <f ca="1">AVERAGE(OFFSET($CX$3,0,0,'Données projet'!$E$13+1,1))-AVERAGE(OFFSET($H$3,0,0,'Données projet'!$E$13+1,1))</f>
        <v>112.78807760743126</v>
      </c>
      <c r="CZ37" s="59">
        <f t="shared" si="42"/>
        <v>37.867745922003564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8.1</v>
      </c>
      <c r="DO37" s="12">
        <f>IF('Données projet'!$A$166&gt;35,DO36+DN37-DW36,IF(A37&lt;'Données projet'!$A$166,$DL$205^A37,IF(A37='Données projet'!$A$166,'Données projet'!$B$166,DO36+DN37-DW36)))</f>
        <v>125.4</v>
      </c>
      <c r="DP37" s="17">
        <f>DO37*VLOOKUP('Données projet'!$B$14,Paramètres!$A$1:$I$89,3,0)*VLOOKUP('Données projet'!$B$14,Paramètres!$A$1:$I$89,5,0)</f>
        <v>84.118320000000011</v>
      </c>
      <c r="DQ37" s="13">
        <f t="shared" si="43"/>
        <v>23.141174145643006</v>
      </c>
      <c r="DR37" s="20">
        <f t="shared" si="16"/>
        <v>186.81028563699491</v>
      </c>
      <c r="DS37" s="59">
        <f t="shared" si="17"/>
        <v>480.14361897032825</v>
      </c>
      <c r="DT37" s="59">
        <f ca="1">AVERAGE(OFFSET($DS$3,0,0,'Données projet'!$E$14+1,1))-AVERAGE(OFFSET($H$3,0,0,'Données projet'!$E$14+1,1))</f>
        <v>107.15837202366862</v>
      </c>
      <c r="DU37" s="59">
        <f t="shared" si="44"/>
        <v>139.67031833740026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5.0730497975010609</v>
      </c>
      <c r="EC37" s="21">
        <f>EXP(-LN(2)/2)*EC36+(1-EXP(-LN(2)/2))/(LN(2)/2)*DW37*DZ37*VLOOKUP('Données projet'!$B$14,Paramètres!$A$1:$I$89,3,0)*0.475*44/12</f>
        <v>1.6873688889513812</v>
      </c>
      <c r="ED37" s="22">
        <f t="shared" si="18"/>
        <v>6.760418686452442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7</v>
      </c>
      <c r="EJ37" s="12">
        <f>IF('Données projet'!$A$192&gt;35,EJ36+EI37-ER36,IF(A37&lt;'Données projet'!$A$192,$EG$205^A37,IF(A37='Données projet'!$A$192,'Données projet'!$B$192,EJ36+EI37-ER36)))</f>
        <v>175.7</v>
      </c>
      <c r="EK37" s="17">
        <f>EJ37*VLOOKUP('Données projet'!$B$15,Paramètres!$A$1:$I$89,3,0)*VLOOKUP('Données projet'!$B$15,Paramètres!$A$1:$I$89,5,0)</f>
        <v>82.227599999999995</v>
      </c>
      <c r="EL37" s="13">
        <f t="shared" si="45"/>
        <v>22.68097025884375</v>
      </c>
      <c r="EM37" s="20">
        <f t="shared" si="19"/>
        <v>182.71575986748618</v>
      </c>
      <c r="EN37" s="59">
        <f t="shared" si="20"/>
        <v>476.04909320081947</v>
      </c>
      <c r="EO37" s="59">
        <f ca="1">AVERAGE(OFFSET($EN$3,0,0,'Données projet'!$E$15+1,1))-AVERAGE(OFFSET($H$3,0,0,'Données projet'!$E$15+1,1))</f>
        <v>123.60520571614535</v>
      </c>
      <c r="EP37" s="59">
        <f t="shared" si="46"/>
        <v>119.00926870519527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0.80124842261581652</v>
      </c>
      <c r="EW37" s="21">
        <f>EXP(-LN(2)/25)*EW36+(1-EXP(-LN(2)/25))/(LN(2)/25)*Calculateur!ER37*Calculateur!ET37*VLOOKUP('Données projet'!$B$15,Paramètres!$A$1:$I$89,3,0)*0.475*44/12</f>
        <v>4.2753183496583933</v>
      </c>
      <c r="EX37" s="21">
        <f>EXP(-LN(2)/2)*EX36+(1-EXP(-LN(2)/2))/(LN(2)/2)*ER37*EU37*VLOOKUP('Données projet'!$B$15,Paramètres!$A$1:$I$89,3,0)*0.475*44/12</f>
        <v>1.5284276227706362</v>
      </c>
      <c r="EY37" s="22">
        <f t="shared" si="21"/>
        <v>6.6049943950448462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17.600000000000001</v>
      </c>
      <c r="FE37" s="12">
        <f>IF('Données projet'!$A$218&gt;35,FE36+FD37-FM36,IF(A37&lt;'Données projet'!$A$218,$FB$205^A37,IF(A37='Données projet'!$A$218,'Données projet'!$B$218,FE36+FD37-FM36)))</f>
        <v>238.39999999999998</v>
      </c>
      <c r="FF37" s="17">
        <f>FE37*VLOOKUP('Données projet'!$B$16,Paramètres!$A$1:$I$89,3,0)*VLOOKUP('Données projet'!$B$16,Paramètres!$A$1:$I$89,5,0)</f>
        <v>114.67039999999999</v>
      </c>
      <c r="FG37" s="13">
        <f t="shared" si="47"/>
        <v>30.428690143977583</v>
      </c>
      <c r="FH37" s="20">
        <f t="shared" si="22"/>
        <v>252.7142486674276</v>
      </c>
      <c r="FI37" s="59">
        <f t="shared" si="23"/>
        <v>546.04758200076094</v>
      </c>
      <c r="FJ37" s="59">
        <f ca="1">AVERAGE(OFFSET($FI$3,0,0,'Données projet'!$E$16+1,1))-AVERAGE(OFFSET($H$3,0,0,'Données projet'!$E$16+1,1))</f>
        <v>197.66963254934603</v>
      </c>
      <c r="FK37" s="59">
        <f t="shared" si="48"/>
        <v>158.08388141976138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2.4640316758482892</v>
      </c>
      <c r="FR37" s="21">
        <f>EXP(-LN(2)/25)*FR36+(1-EXP(-LN(2)/25))/(LN(2)/25)*Calculateur!FM37*Calculateur!FO37*VLOOKUP('Données projet'!$B$16,Paramètres!$A$1:$I$89,3,0)*0.475*44/12</f>
        <v>4.7555587664075487</v>
      </c>
      <c r="FS37" s="21">
        <f>EXP(-LN(2)/2)*FS36+(1-EXP(-LN(2)/2))/(LN(2)/2)*FM37*FP37*VLOOKUP('Données projet'!$B$16,Paramètres!$A$1:$I$89,3,0)*0.475*44/12</f>
        <v>2.0694941934188749</v>
      </c>
      <c r="FT37" s="22">
        <f t="shared" si="24"/>
        <v>9.2890846356747119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11</v>
      </c>
      <c r="FZ37" s="12">
        <f>IF('Données projet'!$A$244&gt;35,FZ36+FY37-GH36,IF(A37&lt;'Données projet'!$A$244,$FW$205^A37,IF(A37='Données projet'!$A$244,'Données projet'!$B$244,FZ36+FY37-GH36)))</f>
        <v>166.99999999999997</v>
      </c>
      <c r="GA37" s="17">
        <f>FZ37*VLOOKUP('Données projet'!$B$17,Paramètres!$A$1:$I$89,3,0)*VLOOKUP('Données projet'!$B$17,Paramètres!$A$1:$I$89,5,0)</f>
        <v>99.866</v>
      </c>
      <c r="GB37" s="13">
        <f t="shared" si="49"/>
        <v>26.93007140526165</v>
      </c>
      <c r="GC37" s="20">
        <f t="shared" si="25"/>
        <v>220.83649103083067</v>
      </c>
      <c r="GD37" s="59">
        <f t="shared" si="26"/>
        <v>514.16982436416401</v>
      </c>
      <c r="GE37" s="59">
        <f ca="1">AVERAGE(OFFSET($GD$3,0,0,'Données projet'!$E$17+1,1))-AVERAGE(OFFSET($H$3,0,0,'Données projet'!$E$17+1,1))</f>
        <v>165.39579887388538</v>
      </c>
      <c r="GF37" s="59">
        <f t="shared" si="50"/>
        <v>155.89639262545802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6.5240571657993138</v>
      </c>
      <c r="GN37" s="21">
        <f>EXP(-LN(2)/2)*GN36+(1-EXP(-LN(2)/2))/(LN(2)/2)*GH37*GK37*VLOOKUP('Données projet'!$B$17,Paramètres!$A$1:$I$89,3,0)*0.475*44/12</f>
        <v>3.4700089338442379</v>
      </c>
      <c r="GO37" s="21">
        <f t="shared" si="27"/>
        <v>9.9940660996435522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5.2</v>
      </c>
      <c r="GU37" s="12">
        <f>IF('Données projet'!$A$270&gt;35,GU36+GT37-HC36,IF(A37&lt;'Données projet'!$A$270,$GR$205^A37,IF(A37='Données projet'!$A$270,'Données projet'!$B$270,GU36+GT37-HC36)))</f>
        <v>74.8</v>
      </c>
      <c r="GV37" s="17">
        <f>GU37*VLOOKUP('Données projet'!$B$18,Paramètres!$A$1:$I$89,3,0)*VLOOKUP('Données projet'!$B$18,Paramètres!$A$1:$I$89,5,0)</f>
        <v>80.514719999999997</v>
      </c>
      <c r="GW37" s="13">
        <f t="shared" si="51"/>
        <v>22.262988830706398</v>
      </c>
      <c r="GX37" s="20">
        <f t="shared" si="28"/>
        <v>179.00450954681364</v>
      </c>
      <c r="GY37" s="59">
        <f t="shared" si="29"/>
        <v>472.33784288014692</v>
      </c>
      <c r="GZ37" s="59">
        <f ca="1">AVERAGE(OFFSET($GY$3,0,0,'Données projet'!$E$18+1,1))-AVERAGE(OFFSET($H$3,0,0,'Données projet'!$E$18+1,1))</f>
        <v>186.60545265015247</v>
      </c>
      <c r="HA37" s="59">
        <f t="shared" si="52"/>
        <v>69.239647548491234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17.3</v>
      </c>
      <c r="N38" s="13">
        <f>IF('Données projet'!$A$36&gt;35,N37+M38-V37,IF(A38&lt;'Données projet'!$A$36,$K$205^A38,IF(A38='Données projet'!$A$36,'Données projet'!$B$36,N37+M38-V37)))</f>
        <v>242.50000000000006</v>
      </c>
      <c r="O38" s="13">
        <f>N38*VLOOKUP('Données projet'!$B$9,Paramètres!$A$1:$I$89,3,0)*VLOOKUP('Données projet'!$B$9,Paramètres!$A$1:$I$89,5,0)</f>
        <v>135.55750000000003</v>
      </c>
      <c r="P38" s="13">
        <f t="shared" si="33"/>
        <v>35.277389028132369</v>
      </c>
      <c r="Q38" s="20">
        <f t="shared" si="53"/>
        <v>297.53743172399726</v>
      </c>
      <c r="R38" s="59">
        <f t="shared" si="0"/>
        <v>590.87076505733057</v>
      </c>
      <c r="S38" s="59">
        <f ca="1">AVERAGE(OFFSET($R$3,0,0,'Données projet'!$E$9+1,1))-AVERAGE(OFFSET($H$3,0,0,'Données projet'!$E$9+1,1))</f>
        <v>235.10258076192054</v>
      </c>
      <c r="T38" s="59">
        <f t="shared" si="34"/>
        <v>233.47316052603765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3.1029719863286362</v>
      </c>
      <c r="AA38" s="21">
        <f>EXP(-LN(2)/25)*AA37+(1-EXP(-LN(2)/25))/(LN(2)/25)*Calculateur!V38*Calculateur!X38*VLOOKUP('Données projet'!$B$9,Paramètres!$A$1:$I$89,3,0)*0.475*44/12</f>
        <v>16.048499215314223</v>
      </c>
      <c r="AB38" s="21">
        <f>EXP(-LN(2)/2)*AB37+(1-EXP(-LN(2)/2))/(LN(2)/2)*V38*Y38*VLOOKUP('Données projet'!$B$9,Paramètres!$A$1:$I$89,3,0)*0.475*44/12</f>
        <v>4.2642218906086358</v>
      </c>
      <c r="AC38" s="22">
        <f t="shared" si="3"/>
        <v>23.415693092251495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12.1</v>
      </c>
      <c r="AI38" s="13">
        <f>IF('Données projet'!$A$62&gt;35,AI37+AH38-AQ37,IF(A38&lt;'Données projet'!$A$62,$AF$205^A38,IF(A38='Données projet'!$A$62,'Données projet'!$B$62,AI37+AH38-AQ37)))</f>
        <v>210.5</v>
      </c>
      <c r="AJ38" s="13">
        <f>AI38*VLOOKUP('Données projet'!$B$10,Paramètres!$A$1:$I$89,3,0)*VLOOKUP('Données projet'!$B$10,Paramètres!$A$1:$I$89,5,0)</f>
        <v>114.93299999999999</v>
      </c>
      <c r="AK38" s="13">
        <f t="shared" si="35"/>
        <v>30.490253816842159</v>
      </c>
      <c r="AL38" s="20">
        <f t="shared" si="4"/>
        <v>253.27883373100008</v>
      </c>
      <c r="AM38" s="59">
        <f t="shared" si="5"/>
        <v>546.61216706433333</v>
      </c>
      <c r="AN38" s="59">
        <f ca="1">AVERAGE(OFFSET($AM$3,0,0,'Données projet'!$E$10+1,1))-AVERAGE(OFFSET($H$3,0,0,'Données projet'!$E$10+1,1))</f>
        <v>168.72306536277267</v>
      </c>
      <c r="AO38" s="59">
        <f t="shared" si="36"/>
        <v>203.35476578922339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2.7552816791924464</v>
      </c>
      <c r="AV38" s="21">
        <f>EXP(-LN(2)/25)*AV37+(1-EXP(-LN(2)/25))/(LN(2)/25)*Calculateur!AQ38*Calculateur!AS38*VLOOKUP('Données projet'!$B$10,Paramètres!$A$1:$I$89,3,0)*0.475*44/12</f>
        <v>20.009623454581611</v>
      </c>
      <c r="AW38" s="21">
        <f>EXP(-LN(2)/2)*AW37+(1-EXP(-LN(2)/2))/(LN(2)/2)*AQ38*AT38*VLOOKUP('Données projet'!$B$10,Paramètres!$A$1:$I$89,3,0)*0.475*44/12</f>
        <v>3.5397494329796606</v>
      </c>
      <c r="AX38" s="21">
        <f t="shared" si="6"/>
        <v>26.304654566753719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</v>
      </c>
      <c r="BD38" s="12">
        <f>IF('Données projet'!$A$88&gt;35,BD37+BC38-BL37,IF(A38&lt;'Données projet'!$A$88,$BA$205^A38,IF(A38='Données projet'!$A$88,'Données projet'!$B$88,BD37+BC38-BL37)))</f>
        <v>177.99999999999997</v>
      </c>
      <c r="BE38" s="13">
        <f>BD38*VLOOKUP('Données projet'!$B$11,Paramètres!$A$1:$I$89,3,0)*VLOOKUP('Données projet'!$B$11,Paramètres!$A$1:$I$89,5,0)</f>
        <v>106.444</v>
      </c>
      <c r="BF38" s="13">
        <f t="shared" si="37"/>
        <v>28.491567625901922</v>
      </c>
      <c r="BG38" s="20">
        <f t="shared" si="7"/>
        <v>235.01278028177913</v>
      </c>
      <c r="BH38" s="59">
        <f t="shared" si="8"/>
        <v>528.34611361511247</v>
      </c>
      <c r="BI38" s="59">
        <f ca="1">AVERAGE(OFFSET($BH$3,0,0,'Données projet'!$E$11+1,1))-AVERAGE(OFFSET($H$3,0,0,'Données projet'!$E$11+1,1))</f>
        <v>165.39579887388538</v>
      </c>
      <c r="BJ38" s="59">
        <f t="shared" si="38"/>
        <v>155.89639262545802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6.3456564795152763</v>
      </c>
      <c r="BR38" s="21">
        <f>EXP(-LN(2)/2)*BR37+(1-EXP(-LN(2)/2))/(LN(2)/2)*BL38*BO38*VLOOKUP('Données projet'!$B$11,Paramètres!$A$1:$I$89,3,0)*0.475*44/12</f>
        <v>2.4536668478991626</v>
      </c>
      <c r="BS38" s="22">
        <f t="shared" si="9"/>
        <v>8.799323327414438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5.2</v>
      </c>
      <c r="BY38" s="12">
        <f>IF('Données projet'!$A$114&gt;35,BY37+BX38-CG37,IF(A38&lt;'Données projet'!$A$114,$BV$205^A38,IF(A38='Données projet'!$A$114,'Données projet'!$B$114,BY37+BX38-CG37)))</f>
        <v>80</v>
      </c>
      <c r="BZ38" s="13">
        <f>BY38*VLOOKUP('Données projet'!$B$12,Paramètres!$A$1:$I$89,3,0)*VLOOKUP('Données projet'!$B$12,Paramètres!$A$1:$I$89,5,0)</f>
        <v>77.376000000000005</v>
      </c>
      <c r="CA38" s="13">
        <f t="shared" si="39"/>
        <v>21.494362519405076</v>
      </c>
      <c r="CB38" s="20">
        <f t="shared" si="10"/>
        <v>172.19921472129715</v>
      </c>
      <c r="CC38" s="59">
        <f t="shared" si="11"/>
        <v>465.53254805463047</v>
      </c>
      <c r="CD38" s="59">
        <f ca="1">AVERAGE(OFFSET($CC$3,0,0,'Données projet'!$E$12+1,1))-AVERAGE(OFFSET($H$3,0,0,'Données projet'!$E$12+1,1))</f>
        <v>156.26368818265388</v>
      </c>
      <c r="CE38" s="59">
        <f t="shared" si="40"/>
        <v>56.347130462109817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5.2</v>
      </c>
      <c r="CT38" s="12">
        <f>IF('Données projet'!$A$140&gt;35,CT37+CS38-DB37,IF(A38&lt;'Données projet'!$A$140,$CQ$205^A38,IF(A38='Données projet'!$A$140,'Données projet'!$B$140,CT37+CS38-DB37)))</f>
        <v>80</v>
      </c>
      <c r="CU38" s="17">
        <f>CT38*VLOOKUP('Données projet'!$B$13,Paramètres!$A$1:$I$89,3,0)*VLOOKUP('Données projet'!$B$13,Paramètres!$A$1:$I$89,5,0)</f>
        <v>64.896000000000001</v>
      </c>
      <c r="CV38" s="13">
        <f t="shared" si="41"/>
        <v>18.400423846102964</v>
      </c>
      <c r="CW38" s="20">
        <f t="shared" si="13"/>
        <v>145.07460486529598</v>
      </c>
      <c r="CX38" s="59">
        <f t="shared" si="14"/>
        <v>438.40793819862927</v>
      </c>
      <c r="CY38" s="59">
        <f ca="1">AVERAGE(OFFSET($CX$3,0,0,'Données projet'!$E$13+1,1))-AVERAGE(OFFSET($H$3,0,0,'Données projet'!$E$13+1,1))</f>
        <v>112.78807760743126</v>
      </c>
      <c r="CZ38" s="59">
        <f t="shared" si="42"/>
        <v>37.867745922003564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8.1</v>
      </c>
      <c r="DO38" s="12">
        <f>IF('Données projet'!$A$166&gt;35,DO37+DN38-DW37,IF(A38&lt;'Données projet'!$A$166,$DL$205^A38,IF(A38='Données projet'!$A$166,'Données projet'!$B$166,DO37+DN38-DW37)))</f>
        <v>133.5</v>
      </c>
      <c r="DP38" s="17">
        <f>DO38*VLOOKUP('Données projet'!$B$14,Paramètres!$A$1:$I$89,3,0)*VLOOKUP('Données projet'!$B$14,Paramètres!$A$1:$I$89,5,0)</f>
        <v>89.5518</v>
      </c>
      <c r="DQ38" s="13">
        <f t="shared" si="43"/>
        <v>24.457098558491616</v>
      </c>
      <c r="DR38" s="20">
        <f t="shared" si="16"/>
        <v>198.56549832270625</v>
      </c>
      <c r="DS38" s="59">
        <f t="shared" si="17"/>
        <v>491.89883165603953</v>
      </c>
      <c r="DT38" s="59">
        <f ca="1">AVERAGE(OFFSET($DS$3,0,0,'Données projet'!$E$14+1,1))-AVERAGE(OFFSET($H$3,0,0,'Données projet'!$E$14+1,1))</f>
        <v>107.15837202366862</v>
      </c>
      <c r="DU38" s="59">
        <f t="shared" si="44"/>
        <v>139.67031833740026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4.9343269840083002</v>
      </c>
      <c r="EC38" s="21">
        <f>EXP(-LN(2)/2)*EC37+(1-EXP(-LN(2)/2))/(LN(2)/2)*DW38*DZ38*VLOOKUP('Données projet'!$B$14,Paramètres!$A$1:$I$89,3,0)*0.475*44/12</f>
        <v>1.1931499837407322</v>
      </c>
      <c r="ED38" s="22">
        <f t="shared" si="18"/>
        <v>6.1274769677490326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7</v>
      </c>
      <c r="EJ38" s="12">
        <f>IF('Données projet'!$A$192&gt;35,EJ37+EI38-ER37,IF(A38&lt;'Données projet'!$A$192,$EG$205^A38,IF(A38='Données projet'!$A$192,'Données projet'!$B$192,EJ37+EI38-ER37)))</f>
        <v>182.7</v>
      </c>
      <c r="EK38" s="17">
        <f>EJ38*VLOOKUP('Données projet'!$B$15,Paramètres!$A$1:$I$89,3,0)*VLOOKUP('Données projet'!$B$15,Paramètres!$A$1:$I$89,5,0)</f>
        <v>85.503599999999992</v>
      </c>
      <c r="EL38" s="13">
        <f t="shared" si="45"/>
        <v>23.477588217192526</v>
      </c>
      <c r="EM38" s="20">
        <f t="shared" si="19"/>
        <v>189.8089028116103</v>
      </c>
      <c r="EN38" s="59">
        <f t="shared" si="20"/>
        <v>483.14223614494358</v>
      </c>
      <c r="EO38" s="59">
        <f ca="1">AVERAGE(OFFSET($EN$3,0,0,'Données projet'!$E$15+1,1))-AVERAGE(OFFSET($H$3,0,0,'Données projet'!$E$15+1,1))</f>
        <v>123.60520571614535</v>
      </c>
      <c r="EP38" s="59">
        <f t="shared" si="46"/>
        <v>119.00926870519527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0.78553642976160176</v>
      </c>
      <c r="EW38" s="21">
        <f>EXP(-LN(2)/25)*EW37+(1-EXP(-LN(2)/25))/(LN(2)/25)*Calculateur!ER38*Calculateur!ET38*VLOOKUP('Données projet'!$B$15,Paramètres!$A$1:$I$89,3,0)*0.475*44/12</f>
        <v>4.158409544557764</v>
      </c>
      <c r="EX38" s="21">
        <f>EXP(-LN(2)/2)*EX37+(1-EXP(-LN(2)/2))/(LN(2)/2)*ER38*EU38*VLOOKUP('Données projet'!$B$15,Paramètres!$A$1:$I$89,3,0)*0.475*44/12</f>
        <v>1.0807615366139514</v>
      </c>
      <c r="EY38" s="22">
        <f t="shared" si="21"/>
        <v>6.0247075109333172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17.600000000000001</v>
      </c>
      <c r="FE38" s="12">
        <f>IF('Données projet'!$A$218&gt;35,FE37+FD38-FM37,IF(A38&lt;'Données projet'!$A$218,$FB$205^A38,IF(A38='Données projet'!$A$218,'Données projet'!$B$218,FE37+FD38-FM37)))</f>
        <v>255.99999999999997</v>
      </c>
      <c r="FF38" s="17">
        <f>FE38*VLOOKUP('Données projet'!$B$16,Paramètres!$A$1:$I$89,3,0)*VLOOKUP('Données projet'!$B$16,Paramètres!$A$1:$I$89,5,0)</f>
        <v>123.13599999999998</v>
      </c>
      <c r="FG38" s="13">
        <f t="shared" si="47"/>
        <v>32.405318005412667</v>
      </c>
      <c r="FH38" s="20">
        <f t="shared" si="22"/>
        <v>270.90112885942705</v>
      </c>
      <c r="FI38" s="59">
        <f t="shared" si="23"/>
        <v>564.23446219276036</v>
      </c>
      <c r="FJ38" s="59">
        <f ca="1">AVERAGE(OFFSET($FI$3,0,0,'Données projet'!$E$16+1,1))-AVERAGE(OFFSET($H$3,0,0,'Données projet'!$E$16+1,1))</f>
        <v>197.66963254934603</v>
      </c>
      <c r="FK38" s="59">
        <f t="shared" si="48"/>
        <v>158.08388141976138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2.4157135175958264</v>
      </c>
      <c r="FR38" s="21">
        <f>EXP(-LN(2)/25)*FR37+(1-EXP(-LN(2)/25))/(LN(2)/25)*Calculateur!FM38*Calculateur!FO38*VLOOKUP('Données projet'!$B$16,Paramètres!$A$1:$I$89,3,0)*0.475*44/12</f>
        <v>4.6255177618561678</v>
      </c>
      <c r="FS38" s="21">
        <f>EXP(-LN(2)/2)*FS37+(1-EXP(-LN(2)/2))/(LN(2)/2)*FM38*FP38*VLOOKUP('Données projet'!$B$16,Paramètres!$A$1:$I$89,3,0)*0.475*44/12</f>
        <v>1.4633533777926711</v>
      </c>
      <c r="FT38" s="22">
        <f t="shared" si="24"/>
        <v>8.5045846572446653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11</v>
      </c>
      <c r="FZ38" s="12">
        <f>IF('Données projet'!$A$244&gt;35,FZ37+FY38-GH37,IF(A38&lt;'Données projet'!$A$244,$FW$205^A38,IF(A38='Données projet'!$A$244,'Données projet'!$B$244,FZ37+FY38-GH37)))</f>
        <v>177.99999999999997</v>
      </c>
      <c r="GA38" s="17">
        <f>FZ38*VLOOKUP('Données projet'!$B$17,Paramètres!$A$1:$I$89,3,0)*VLOOKUP('Données projet'!$B$17,Paramètres!$A$1:$I$89,5,0)</f>
        <v>106.444</v>
      </c>
      <c r="GB38" s="13">
        <f t="shared" si="49"/>
        <v>28.491567625901922</v>
      </c>
      <c r="GC38" s="20">
        <f t="shared" si="25"/>
        <v>235.01278028177913</v>
      </c>
      <c r="GD38" s="59">
        <f t="shared" si="26"/>
        <v>528.34611361511247</v>
      </c>
      <c r="GE38" s="59">
        <f ca="1">AVERAGE(OFFSET($GD$3,0,0,'Données projet'!$E$17+1,1))-AVERAGE(OFFSET($H$3,0,0,'Données projet'!$E$17+1,1))</f>
        <v>165.39579887388538</v>
      </c>
      <c r="GF38" s="59">
        <f t="shared" si="50"/>
        <v>155.89639262545802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6.3456564795152763</v>
      </c>
      <c r="GN38" s="21">
        <f>EXP(-LN(2)/2)*GN37+(1-EXP(-LN(2)/2))/(LN(2)/2)*GH38*GK38*VLOOKUP('Données projet'!$B$17,Paramètres!$A$1:$I$89,3,0)*0.475*44/12</f>
        <v>2.4536668478991626</v>
      </c>
      <c r="GO38" s="21">
        <f t="shared" si="27"/>
        <v>8.799323327414438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5.2</v>
      </c>
      <c r="GU38" s="12">
        <f>IF('Données projet'!$A$270&gt;35,GU37+GT38-HC37,IF(A38&lt;'Données projet'!$A$270,$GR$205^A38,IF(A38='Données projet'!$A$270,'Données projet'!$B$270,GU37+GT38-HC37)))</f>
        <v>80</v>
      </c>
      <c r="GV38" s="17">
        <f>GU38*VLOOKUP('Données projet'!$B$18,Paramètres!$A$1:$I$89,3,0)*VLOOKUP('Données projet'!$B$18,Paramètres!$A$1:$I$89,5,0)</f>
        <v>86.111999999999995</v>
      </c>
      <c r="GW38" s="13">
        <f t="shared" si="51"/>
        <v>23.625136642852297</v>
      </c>
      <c r="GX38" s="20">
        <f t="shared" si="28"/>
        <v>191.12551298630106</v>
      </c>
      <c r="GY38" s="59">
        <f t="shared" si="29"/>
        <v>484.4588463196344</v>
      </c>
      <c r="GZ38" s="59">
        <f ca="1">AVERAGE(OFFSET($GY$3,0,0,'Données projet'!$E$18+1,1))-AVERAGE(OFFSET($H$3,0,0,'Données projet'!$E$18+1,1))</f>
        <v>186.60545265015247</v>
      </c>
      <c r="HA38" s="59">
        <f t="shared" si="52"/>
        <v>69.239647548491234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0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17.3</v>
      </c>
      <c r="N39" s="13">
        <f>IF('Données projet'!$A$36&gt;35,N38+M39-V38,IF(A39&lt;'Données projet'!$A$36,$K$205^A39,IF(A39='Données projet'!$A$36,'Données projet'!$B$36,N38+M39-V38)))</f>
        <v>259.80000000000007</v>
      </c>
      <c r="O39" s="13">
        <f>N39*VLOOKUP('Données projet'!$B$9,Paramètres!$A$1:$I$89,3,0)*VLOOKUP('Données projet'!$B$9,Paramètres!$A$1:$I$89,5,0)</f>
        <v>145.22820000000004</v>
      </c>
      <c r="P39" s="13">
        <f t="shared" si="33"/>
        <v>37.492145033971944</v>
      </c>
      <c r="Q39" s="20">
        <f t="shared" si="53"/>
        <v>318.2379342675012</v>
      </c>
      <c r="R39" s="59">
        <f t="shared" si="0"/>
        <v>611.57126760083452</v>
      </c>
      <c r="S39" s="59">
        <f ca="1">AVERAGE(OFFSET($R$3,0,0,'Données projet'!$E$9+1,1))-AVERAGE(OFFSET($H$3,0,0,'Données projet'!$E$9+1,1))</f>
        <v>235.10258076192054</v>
      </c>
      <c r="T39" s="59">
        <f t="shared" si="34"/>
        <v>233.47316052603765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3.0421245983027618</v>
      </c>
      <c r="AA39" s="21">
        <f>EXP(-LN(2)/25)*AA38+(1-EXP(-LN(2)/25))/(LN(2)/25)*Calculateur!V39*Calculateur!X39*VLOOKUP('Données projet'!$B$9,Paramètres!$A$1:$I$89,3,0)*0.475*44/12</f>
        <v>15.609652160317561</v>
      </c>
      <c r="AB39" s="21">
        <f>EXP(-LN(2)/2)*AB38+(1-EXP(-LN(2)/2))/(LN(2)/2)*V39*Y39*VLOOKUP('Données projet'!$B$9,Paramètres!$A$1:$I$89,3,0)*0.475*44/12</f>
        <v>3.0152602153334866</v>
      </c>
      <c r="AC39" s="22">
        <f t="shared" si="3"/>
        <v>21.66703697395381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12.1</v>
      </c>
      <c r="AI39" s="13">
        <f>IF('Données projet'!$A$62&gt;35,AI38+AH39-AQ38,IF(A39&lt;'Données projet'!$A$62,$AF$205^A39,IF(A39='Données projet'!$A$62,'Données projet'!$B$62,AI38+AH39-AQ38)))</f>
        <v>222.6</v>
      </c>
      <c r="AJ39" s="13">
        <f>AI39*VLOOKUP('Données projet'!$B$10,Paramètres!$A$1:$I$89,3,0)*VLOOKUP('Données projet'!$B$10,Paramètres!$A$1:$I$89,5,0)</f>
        <v>121.53959999999999</v>
      </c>
      <c r="AK39" s="13">
        <f t="shared" si="35"/>
        <v>32.03381885060562</v>
      </c>
      <c r="AL39" s="20">
        <f t="shared" si="4"/>
        <v>267.47370449813809</v>
      </c>
      <c r="AM39" s="59">
        <f t="shared" si="5"/>
        <v>560.80703783147146</v>
      </c>
      <c r="AN39" s="59">
        <f ca="1">AVERAGE(OFFSET($AM$3,0,0,'Données projet'!$E$10+1,1))-AVERAGE(OFFSET($H$3,0,0,'Données projet'!$E$10+1,1))</f>
        <v>168.72306536277267</v>
      </c>
      <c r="AO39" s="59">
        <f t="shared" si="36"/>
        <v>203.35476578922339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2.7012522860193657</v>
      </c>
      <c r="AV39" s="21">
        <f>EXP(-LN(2)/25)*AV38+(1-EXP(-LN(2)/25))/(LN(2)/25)*Calculateur!AQ39*Calculateur!AS39*VLOOKUP('Données projet'!$B$10,Paramètres!$A$1:$I$89,3,0)*0.475*44/12</f>
        <v>19.46245924895571</v>
      </c>
      <c r="AW39" s="21">
        <f>EXP(-LN(2)/2)*AW38+(1-EXP(-LN(2)/2))/(LN(2)/2)*AQ39*AT39*VLOOKUP('Données projet'!$B$10,Paramètres!$A$1:$I$89,3,0)*0.475*44/12</f>
        <v>2.5029808277611547</v>
      </c>
      <c r="AX39" s="21">
        <f t="shared" si="6"/>
        <v>24.666692362736228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</v>
      </c>
      <c r="BD39" s="12">
        <f>IF('Données projet'!$A$88&gt;35,BD38+BC39-BL38,IF(A39&lt;'Données projet'!$A$88,$BA$205^A39,IF(A39='Données projet'!$A$88,'Données projet'!$B$88,BD38+BC39-BL38)))</f>
        <v>188.99999999999997</v>
      </c>
      <c r="BE39" s="13">
        <f>BD39*VLOOKUP('Données projet'!$B$11,Paramètres!$A$1:$I$89,3,0)*VLOOKUP('Données projet'!$B$11,Paramètres!$A$1:$I$89,5,0)</f>
        <v>113.02200000000001</v>
      </c>
      <c r="BF39" s="13">
        <f t="shared" si="37"/>
        <v>30.041864379091852</v>
      </c>
      <c r="BG39" s="20">
        <f t="shared" si="7"/>
        <v>249.16956379358496</v>
      </c>
      <c r="BH39" s="59">
        <f t="shared" si="8"/>
        <v>542.50289712691824</v>
      </c>
      <c r="BI39" s="59">
        <f ca="1">AVERAGE(OFFSET($BH$3,0,0,'Données projet'!$E$11+1,1))-AVERAGE(OFFSET($H$3,0,0,'Données projet'!$E$11+1,1))</f>
        <v>165.39579887388538</v>
      </c>
      <c r="BJ39" s="59">
        <f t="shared" si="38"/>
        <v>155.89639262545802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6.1721341693793601</v>
      </c>
      <c r="BR39" s="21">
        <f>EXP(-LN(2)/2)*BR38+(1-EXP(-LN(2)/2))/(LN(2)/2)*BL39*BO39*VLOOKUP('Données projet'!$B$11,Paramètres!$A$1:$I$89,3,0)*0.475*44/12</f>
        <v>1.735004466922119</v>
      </c>
      <c r="BS39" s="22">
        <f t="shared" si="9"/>
        <v>7.9071386363014788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5.2</v>
      </c>
      <c r="BY39" s="12">
        <f>IF('Données projet'!$A$114&gt;35,BY38+BX39-CG38,IF(A39&lt;'Données projet'!$A$114,$BV$205^A39,IF(A39='Données projet'!$A$114,'Données projet'!$B$114,BY38+BX39-CG38)))</f>
        <v>85.2</v>
      </c>
      <c r="BZ39" s="13">
        <f>BY39*VLOOKUP('Données projet'!$B$12,Paramètres!$A$1:$I$89,3,0)*VLOOKUP('Données projet'!$B$12,Paramètres!$A$1:$I$89,5,0)</f>
        <v>82.405439999999999</v>
      </c>
      <c r="CA39" s="13">
        <f t="shared" si="39"/>
        <v>22.724308825697463</v>
      </c>
      <c r="CB39" s="20">
        <f t="shared" si="10"/>
        <v>183.10097920475641</v>
      </c>
      <c r="CC39" s="59">
        <f t="shared" si="11"/>
        <v>476.43431253808973</v>
      </c>
      <c r="CD39" s="59">
        <f ca="1">AVERAGE(OFFSET($CC$3,0,0,'Données projet'!$E$12+1,1))-AVERAGE(OFFSET($H$3,0,0,'Données projet'!$E$12+1,1))</f>
        <v>156.26368818265388</v>
      </c>
      <c r="CE39" s="59">
        <f t="shared" si="40"/>
        <v>56.347130462109817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5.2</v>
      </c>
      <c r="CT39" s="12">
        <f>IF('Données projet'!$A$140&gt;35,CT38+CS39-DB38,IF(A39&lt;'Données projet'!$A$140,$CQ$205^A39,IF(A39='Données projet'!$A$140,'Données projet'!$B$140,CT38+CS39-DB38)))</f>
        <v>85.2</v>
      </c>
      <c r="CU39" s="17">
        <f>CT39*VLOOKUP('Données projet'!$B$13,Paramètres!$A$1:$I$89,3,0)*VLOOKUP('Données projet'!$B$13,Paramètres!$A$1:$I$89,5,0)</f>
        <v>69.114240000000009</v>
      </c>
      <c r="CV39" s="13">
        <f t="shared" si="41"/>
        <v>19.453329384627168</v>
      </c>
      <c r="CW39" s="20">
        <f t="shared" si="13"/>
        <v>154.25518334489234</v>
      </c>
      <c r="CX39" s="59">
        <f t="shared" si="14"/>
        <v>447.58851667822569</v>
      </c>
      <c r="CY39" s="59">
        <f ca="1">AVERAGE(OFFSET($CX$3,0,0,'Données projet'!$E$13+1,1))-AVERAGE(OFFSET($H$3,0,0,'Données projet'!$E$13+1,1))</f>
        <v>112.78807760743126</v>
      </c>
      <c r="CZ39" s="59">
        <f t="shared" si="42"/>
        <v>37.867745922003564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8.1</v>
      </c>
      <c r="DO39" s="12">
        <f>IF('Données projet'!$A$166&gt;35,DO38+DN39-DW38,IF(A39&lt;'Données projet'!$A$166,$DL$205^A39,IF(A39='Données projet'!$A$166,'Données projet'!$B$166,DO38+DN39-DW38)))</f>
        <v>141.6</v>
      </c>
      <c r="DP39" s="17">
        <f>DO39*VLOOKUP('Données projet'!$B$14,Paramètres!$A$1:$I$89,3,0)*VLOOKUP('Données projet'!$B$14,Paramètres!$A$1:$I$89,5,0)</f>
        <v>94.985280000000003</v>
      </c>
      <c r="DQ39" s="13">
        <f t="shared" si="43"/>
        <v>25.763756032325077</v>
      </c>
      <c r="DR39" s="20">
        <f t="shared" si="16"/>
        <v>210.30457108963284</v>
      </c>
      <c r="DS39" s="59">
        <f t="shared" si="17"/>
        <v>503.63790442296613</v>
      </c>
      <c r="DT39" s="59">
        <f ca="1">AVERAGE(OFFSET($DS$3,0,0,'Données projet'!$E$14+1,1))-AVERAGE(OFFSET($H$3,0,0,'Données projet'!$E$14+1,1))</f>
        <v>107.15837202366862</v>
      </c>
      <c r="DU39" s="59">
        <f t="shared" si="44"/>
        <v>139.67031833740026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4.7993975531456146</v>
      </c>
      <c r="EC39" s="21">
        <f>EXP(-LN(2)/2)*EC38+(1-EXP(-LN(2)/2))/(LN(2)/2)*DW39*DZ39*VLOOKUP('Données projet'!$B$14,Paramètres!$A$1:$I$89,3,0)*0.475*44/12</f>
        <v>0.84368444447569069</v>
      </c>
      <c r="ED39" s="22">
        <f t="shared" si="18"/>
        <v>5.6430819976213051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7</v>
      </c>
      <c r="EJ39" s="12">
        <f>IF('Données projet'!$A$192&gt;35,EJ38+EI39-ER38,IF(A39&lt;'Données projet'!$A$192,$EG$205^A39,IF(A39='Données projet'!$A$192,'Données projet'!$B$192,EJ38+EI39-ER38)))</f>
        <v>189.7</v>
      </c>
      <c r="EK39" s="17">
        <f>EJ39*VLOOKUP('Données projet'!$B$15,Paramètres!$A$1:$I$89,3,0)*VLOOKUP('Données projet'!$B$15,Paramètres!$A$1:$I$89,5,0)</f>
        <v>88.779599999999988</v>
      </c>
      <c r="EL39" s="13">
        <f t="shared" si="45"/>
        <v>24.270660436720163</v>
      </c>
      <c r="EM39" s="20">
        <f t="shared" si="19"/>
        <v>196.89587026062091</v>
      </c>
      <c r="EN39" s="59">
        <f t="shared" si="20"/>
        <v>490.22920359395425</v>
      </c>
      <c r="EO39" s="59">
        <f ca="1">AVERAGE(OFFSET($EN$3,0,0,'Données projet'!$E$15+1,1))-AVERAGE(OFFSET($H$3,0,0,'Données projet'!$E$15+1,1))</f>
        <v>123.60520571614535</v>
      </c>
      <c r="EP39" s="59">
        <f t="shared" si="46"/>
        <v>119.00926870519527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0.77013253950388871</v>
      </c>
      <c r="EW39" s="21">
        <f>EXP(-LN(2)/25)*EW38+(1-EXP(-LN(2)/25))/(LN(2)/25)*Calculateur!ER39*Calculateur!ET39*VLOOKUP('Données projet'!$B$15,Paramètres!$A$1:$I$89,3,0)*0.475*44/12</f>
        <v>4.0446976168805779</v>
      </c>
      <c r="EX39" s="21">
        <f>EXP(-LN(2)/2)*EX38+(1-EXP(-LN(2)/2))/(LN(2)/2)*ER39*EU39*VLOOKUP('Données projet'!$B$15,Paramètres!$A$1:$I$89,3,0)*0.475*44/12</f>
        <v>0.76421381138531819</v>
      </c>
      <c r="EY39" s="22">
        <f t="shared" si="21"/>
        <v>5.5790439677697847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17.600000000000001</v>
      </c>
      <c r="FE39" s="12">
        <f>IF('Données projet'!$A$218&gt;35,FE38+FD39-FM38,IF(A39&lt;'Données projet'!$A$218,$FB$205^A39,IF(A39='Données projet'!$A$218,'Données projet'!$B$218,FE38+FD39-FM38)))</f>
        <v>273.59999999999997</v>
      </c>
      <c r="FF39" s="17">
        <f>FE39*VLOOKUP('Données projet'!$B$16,Paramètres!$A$1:$I$89,3,0)*VLOOKUP('Données projet'!$B$16,Paramètres!$A$1:$I$89,5,0)</f>
        <v>131.60159999999999</v>
      </c>
      <c r="FG39" s="13">
        <f t="shared" si="47"/>
        <v>34.366177918726088</v>
      </c>
      <c r="FH39" s="20">
        <f t="shared" si="22"/>
        <v>289.06054654178126</v>
      </c>
      <c r="FI39" s="59">
        <f t="shared" si="23"/>
        <v>582.39387987511464</v>
      </c>
      <c r="FJ39" s="59">
        <f ca="1">AVERAGE(OFFSET($FI$3,0,0,'Données projet'!$E$16+1,1))-AVERAGE(OFFSET($H$3,0,0,'Données projet'!$E$16+1,1))</f>
        <v>197.66963254934603</v>
      </c>
      <c r="FK39" s="59">
        <f t="shared" si="48"/>
        <v>158.08388141976138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2.3683428489555278</v>
      </c>
      <c r="FR39" s="21">
        <f>EXP(-LN(2)/25)*FR38+(1-EXP(-LN(2)/25))/(LN(2)/25)*Calculateur!FM39*Calculateur!FO39*VLOOKUP('Données projet'!$B$16,Paramètres!$A$1:$I$89,3,0)*0.475*44/12</f>
        <v>4.4990327354128032</v>
      </c>
      <c r="FS39" s="21">
        <f>EXP(-LN(2)/2)*FS38+(1-EXP(-LN(2)/2))/(LN(2)/2)*FM39*FP39*VLOOKUP('Données projet'!$B$16,Paramètres!$A$1:$I$89,3,0)*0.475*44/12</f>
        <v>1.0347470967094374</v>
      </c>
      <c r="FT39" s="22">
        <f t="shared" si="24"/>
        <v>7.9021226810777678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</v>
      </c>
      <c r="FZ39" s="12">
        <f>IF('Données projet'!$A$244&gt;35,FZ38+FY39-GH38,IF(A39&lt;'Données projet'!$A$244,$FW$205^A39,IF(A39='Données projet'!$A$244,'Données projet'!$B$244,FZ38+FY39-GH38)))</f>
        <v>188.99999999999997</v>
      </c>
      <c r="GA39" s="17">
        <f>FZ39*VLOOKUP('Données projet'!$B$17,Paramètres!$A$1:$I$89,3,0)*VLOOKUP('Données projet'!$B$17,Paramètres!$A$1:$I$89,5,0)</f>
        <v>113.02200000000001</v>
      </c>
      <c r="GB39" s="13">
        <f t="shared" si="49"/>
        <v>30.041864379091852</v>
      </c>
      <c r="GC39" s="20">
        <f t="shared" si="25"/>
        <v>249.16956379358496</v>
      </c>
      <c r="GD39" s="59">
        <f t="shared" si="26"/>
        <v>542.50289712691824</v>
      </c>
      <c r="GE39" s="59">
        <f ca="1">AVERAGE(OFFSET($GD$3,0,0,'Données projet'!$E$17+1,1))-AVERAGE(OFFSET($H$3,0,0,'Données projet'!$E$17+1,1))</f>
        <v>165.39579887388538</v>
      </c>
      <c r="GF39" s="59">
        <f t="shared" si="50"/>
        <v>155.89639262545802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6.1721341693793601</v>
      </c>
      <c r="GN39" s="21">
        <f>EXP(-LN(2)/2)*GN38+(1-EXP(-LN(2)/2))/(LN(2)/2)*GH39*GK39*VLOOKUP('Données projet'!$B$17,Paramètres!$A$1:$I$89,3,0)*0.475*44/12</f>
        <v>1.735004466922119</v>
      </c>
      <c r="GO39" s="21">
        <f t="shared" si="27"/>
        <v>7.9071386363014788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5.2</v>
      </c>
      <c r="GU39" s="12">
        <f>IF('Données projet'!$A$270&gt;35,GU38+GT39-HC38,IF(A39&lt;'Données projet'!$A$270,$GR$205^A39,IF(A39='Données projet'!$A$270,'Données projet'!$B$270,GU38+GT39-HC38)))</f>
        <v>85.2</v>
      </c>
      <c r="GV39" s="17">
        <f>GU39*VLOOKUP('Données projet'!$B$18,Paramètres!$A$1:$I$89,3,0)*VLOOKUP('Données projet'!$B$18,Paramètres!$A$1:$I$89,5,0)</f>
        <v>91.709279999999993</v>
      </c>
      <c r="GW39" s="13">
        <f t="shared" si="51"/>
        <v>24.977009699022066</v>
      </c>
      <c r="GX39" s="20">
        <f t="shared" si="28"/>
        <v>203.22862122579673</v>
      </c>
      <c r="GY39" s="59">
        <f t="shared" si="29"/>
        <v>496.56195455913007</v>
      </c>
      <c r="GZ39" s="59">
        <f ca="1">AVERAGE(OFFSET($GY$3,0,0,'Données projet'!$E$18+1,1))-AVERAGE(OFFSET($H$3,0,0,'Données projet'!$E$18+1,1))</f>
        <v>186.60545265015247</v>
      </c>
      <c r="HA39" s="59">
        <f t="shared" si="52"/>
        <v>69.239647548491234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0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17.3</v>
      </c>
      <c r="N40" s="13">
        <f>IF('Données projet'!$A$36&gt;35,N39+M40-V39,IF(A40&lt;'Données projet'!$A$36,$K$205^A40,IF(A40='Données projet'!$A$36,'Données projet'!$B$36,N39+M40-V39)))</f>
        <v>277.10000000000008</v>
      </c>
      <c r="O40" s="13">
        <f>N40*VLOOKUP('Données projet'!$B$9,Paramètres!$A$1:$I$89,3,0)*VLOOKUP('Données projet'!$B$9,Paramètres!$A$1:$I$89,5,0)</f>
        <v>154.89890000000005</v>
      </c>
      <c r="P40" s="13">
        <f t="shared" si="33"/>
        <v>39.689787391068471</v>
      </c>
      <c r="Q40" s="20">
        <f t="shared" si="53"/>
        <v>338.90863053944435</v>
      </c>
      <c r="R40" s="59">
        <f t="shared" si="0"/>
        <v>632.24196387277766</v>
      </c>
      <c r="S40" s="59">
        <f ca="1">AVERAGE(OFFSET($R$3,0,0,'Données projet'!$E$9+1,1))-AVERAGE(OFFSET($H$3,0,0,'Données projet'!$E$9+1,1))</f>
        <v>235.10258076192054</v>
      </c>
      <c r="T40" s="59">
        <f t="shared" si="34"/>
        <v>233.47316052603765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2.9824703904428329</v>
      </c>
      <c r="AA40" s="21">
        <f>EXP(-LN(2)/25)*AA39+(1-EXP(-LN(2)/25))/(LN(2)/25)*Calculateur!V40*Calculateur!X40*VLOOKUP('Données projet'!$B$9,Paramètres!$A$1:$I$89,3,0)*0.475*44/12</f>
        <v>15.182805401117745</v>
      </c>
      <c r="AB40" s="21">
        <f>EXP(-LN(2)/2)*AB39+(1-EXP(-LN(2)/2))/(LN(2)/2)*V40*Y40*VLOOKUP('Données projet'!$B$9,Paramètres!$A$1:$I$89,3,0)*0.475*44/12</f>
        <v>2.1321109453043179</v>
      </c>
      <c r="AC40" s="22">
        <f t="shared" si="3"/>
        <v>20.297386736864897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12.1</v>
      </c>
      <c r="AI40" s="13">
        <f>IF('Données projet'!$A$62&gt;35,AI39+AH40-AQ39,IF(A40&lt;'Données projet'!$A$62,$AF$205^A40,IF(A40='Données projet'!$A$62,'Données projet'!$B$62,AI39+AH40-AQ39)))</f>
        <v>234.7</v>
      </c>
      <c r="AJ40" s="13">
        <f>AI40*VLOOKUP('Données projet'!$B$10,Paramètres!$A$1:$I$89,3,0)*VLOOKUP('Données projet'!$B$10,Paramètres!$A$1:$I$89,5,0)</f>
        <v>128.14619999999999</v>
      </c>
      <c r="AK40" s="13">
        <f t="shared" si="35"/>
        <v>33.567643171710863</v>
      </c>
      <c r="AL40" s="20">
        <f t="shared" si="4"/>
        <v>281.65161019072974</v>
      </c>
      <c r="AM40" s="59">
        <f t="shared" si="5"/>
        <v>574.98494352406306</v>
      </c>
      <c r="AN40" s="59">
        <f ca="1">AVERAGE(OFFSET($AM$3,0,0,'Données projet'!$E$10+1,1))-AVERAGE(OFFSET($H$3,0,0,'Données projet'!$E$10+1,1))</f>
        <v>168.72306536277267</v>
      </c>
      <c r="AO40" s="59">
        <f t="shared" si="36"/>
        <v>203.35476578922339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2.6482823762917334</v>
      </c>
      <c r="AV40" s="21">
        <f>EXP(-LN(2)/25)*AV39+(1-EXP(-LN(2)/25))/(LN(2)/25)*Calculateur!AQ40*Calculateur!AS40*VLOOKUP('Données projet'!$B$10,Paramètres!$A$1:$I$89,3,0)*0.475*44/12</f>
        <v>18.930257277306765</v>
      </c>
      <c r="AW40" s="21">
        <f>EXP(-LN(2)/2)*AW39+(1-EXP(-LN(2)/2))/(LN(2)/2)*AQ40*AT40*VLOOKUP('Données projet'!$B$10,Paramètres!$A$1:$I$89,3,0)*0.475*44/12</f>
        <v>1.7698747164898305</v>
      </c>
      <c r="AX40" s="21">
        <f t="shared" si="6"/>
        <v>23.348414370088328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</v>
      </c>
      <c r="BD40" s="12">
        <f>IF('Données projet'!$A$88&gt;35,BD39+BC40-BL39,IF(A40&lt;'Données projet'!$A$88,$BA$205^A40,IF(A40='Données projet'!$A$88,'Données projet'!$B$88,BD39+BC40-BL39)))</f>
        <v>199.99999999999997</v>
      </c>
      <c r="BE40" s="13">
        <f>BD40*VLOOKUP('Données projet'!$B$11,Paramètres!$A$1:$I$89,3,0)*VLOOKUP('Données projet'!$B$11,Paramètres!$A$1:$I$89,5,0)</f>
        <v>119.59999999999998</v>
      </c>
      <c r="BF40" s="13">
        <f t="shared" si="37"/>
        <v>31.581687741452679</v>
      </c>
      <c r="BG40" s="20">
        <f t="shared" si="7"/>
        <v>263.3081061496967</v>
      </c>
      <c r="BH40" s="59">
        <f t="shared" si="8"/>
        <v>556.64143948303001</v>
      </c>
      <c r="BI40" s="59">
        <f ca="1">AVERAGE(OFFSET($BH$3,0,0,'Données projet'!$E$11+1,1))-AVERAGE(OFFSET($H$3,0,0,'Données projet'!$E$11+1,1))</f>
        <v>165.39579887388538</v>
      </c>
      <c r="BJ40" s="59">
        <f t="shared" si="38"/>
        <v>155.89639262545802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6.0033568359392522</v>
      </c>
      <c r="BR40" s="21">
        <f>EXP(-LN(2)/2)*BR39+(1-EXP(-LN(2)/2))/(LN(2)/2)*BL40*BO40*VLOOKUP('Données projet'!$B$11,Paramètres!$A$1:$I$89,3,0)*0.475*44/12</f>
        <v>1.2268334239495813</v>
      </c>
      <c r="BS40" s="22">
        <f t="shared" si="9"/>
        <v>7.2301902598888335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5.2</v>
      </c>
      <c r="BY40" s="12">
        <f>IF('Données projet'!$A$114&gt;35,BY39+BX40-CG39,IF(A40&lt;'Données projet'!$A$114,$BV$205^A40,IF(A40='Données projet'!$A$114,'Données projet'!$B$114,BY39+BX40-CG39)))</f>
        <v>90.4</v>
      </c>
      <c r="BZ40" s="13">
        <f>BY40*VLOOKUP('Données projet'!$B$12,Paramètres!$A$1:$I$89,3,0)*VLOOKUP('Données projet'!$B$12,Paramètres!$A$1:$I$89,5,0)</f>
        <v>87.434880000000007</v>
      </c>
      <c r="CA40" s="13">
        <f t="shared" si="39"/>
        <v>23.945542571874331</v>
      </c>
      <c r="CB40" s="20">
        <f t="shared" si="10"/>
        <v>193.98756931268113</v>
      </c>
      <c r="CC40" s="59">
        <f t="shared" si="11"/>
        <v>487.32090264601447</v>
      </c>
      <c r="CD40" s="59">
        <f ca="1">AVERAGE(OFFSET($CC$3,0,0,'Données projet'!$E$12+1,1))-AVERAGE(OFFSET($H$3,0,0,'Données projet'!$E$12+1,1))</f>
        <v>156.26368818265388</v>
      </c>
      <c r="CE40" s="59">
        <f t="shared" si="40"/>
        <v>56.347130462109817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5.2</v>
      </c>
      <c r="CT40" s="12">
        <f>IF('Données projet'!$A$140&gt;35,CT39+CS40-DB39,IF(A40&lt;'Données projet'!$A$140,$CQ$205^A40,IF(A40='Données projet'!$A$140,'Données projet'!$B$140,CT39+CS40-DB39)))</f>
        <v>90.4</v>
      </c>
      <c r="CU40" s="17">
        <f>CT40*VLOOKUP('Données projet'!$B$13,Paramètres!$A$1:$I$89,3,0)*VLOOKUP('Données projet'!$B$13,Paramètres!$A$1:$I$89,5,0)</f>
        <v>73.332480000000004</v>
      </c>
      <c r="CV40" s="13">
        <f t="shared" si="41"/>
        <v>20.498776465206138</v>
      </c>
      <c r="CW40" s="20">
        <f t="shared" si="13"/>
        <v>163.42277167690068</v>
      </c>
      <c r="CX40" s="59">
        <f t="shared" si="14"/>
        <v>456.75610501023402</v>
      </c>
      <c r="CY40" s="59">
        <f ca="1">AVERAGE(OFFSET($CX$3,0,0,'Données projet'!$E$13+1,1))-AVERAGE(OFFSET($H$3,0,0,'Données projet'!$E$13+1,1))</f>
        <v>112.78807760743126</v>
      </c>
      <c r="CZ40" s="59">
        <f t="shared" si="42"/>
        <v>37.867745922003564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8.1</v>
      </c>
      <c r="DO40" s="12">
        <f>IF('Données projet'!$A$166&gt;35,DO39+DN40-DW39,IF(A40&lt;'Données projet'!$A$166,$DL$205^A40,IF(A40='Données projet'!$A$166,'Données projet'!$B$166,DO39+DN40-DW39)))</f>
        <v>149.69999999999999</v>
      </c>
      <c r="DP40" s="17">
        <f>DO40*VLOOKUP('Données projet'!$B$14,Paramètres!$A$1:$I$89,3,0)*VLOOKUP('Données projet'!$B$14,Paramètres!$A$1:$I$89,5,0)</f>
        <v>100.41875999999999</v>
      </c>
      <c r="DQ40" s="13">
        <f t="shared" si="43"/>
        <v>27.061737067333461</v>
      </c>
      <c r="DR40" s="20">
        <f t="shared" si="16"/>
        <v>222.02853239227241</v>
      </c>
      <c r="DS40" s="59">
        <f t="shared" si="17"/>
        <v>515.36186572560575</v>
      </c>
      <c r="DT40" s="59">
        <f ca="1">AVERAGE(OFFSET($DS$3,0,0,'Données projet'!$E$14+1,1))-AVERAGE(OFFSET($H$3,0,0,'Données projet'!$E$14+1,1))</f>
        <v>107.15837202366862</v>
      </c>
      <c r="DU40" s="59">
        <f t="shared" si="44"/>
        <v>139.67031833740026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4.6681577746654996</v>
      </c>
      <c r="EC40" s="21">
        <f>EXP(-LN(2)/2)*EC39+(1-EXP(-LN(2)/2))/(LN(2)/2)*DW40*DZ40*VLOOKUP('Données projet'!$B$14,Paramètres!$A$1:$I$89,3,0)*0.475*44/12</f>
        <v>0.59657499187036611</v>
      </c>
      <c r="ED40" s="22">
        <f t="shared" si="18"/>
        <v>5.2647327665358654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7</v>
      </c>
      <c r="EJ40" s="12">
        <f>IF('Données projet'!$A$192&gt;35,EJ39+EI40-ER39,IF(A40&lt;'Données projet'!$A$192,$EG$205^A40,IF(A40='Données projet'!$A$192,'Données projet'!$B$192,EJ39+EI40-ER39)))</f>
        <v>196.7</v>
      </c>
      <c r="EK40" s="17">
        <f>EJ40*VLOOKUP('Données projet'!$B$15,Paramètres!$A$1:$I$89,3,0)*VLOOKUP('Données projet'!$B$15,Paramètres!$A$1:$I$89,5,0)</f>
        <v>92.055599999999998</v>
      </c>
      <c r="EL40" s="13">
        <f t="shared" si="45"/>
        <v>25.060332740251528</v>
      </c>
      <c r="EM40" s="20">
        <f t="shared" si="19"/>
        <v>203.97691618927138</v>
      </c>
      <c r="EN40" s="59">
        <f t="shared" si="20"/>
        <v>497.31024952260469</v>
      </c>
      <c r="EO40" s="59">
        <f ca="1">AVERAGE(OFFSET($EN$3,0,0,'Données projet'!$E$15+1,1))-AVERAGE(OFFSET($H$3,0,0,'Données projet'!$E$15+1,1))</f>
        <v>123.60520571614535</v>
      </c>
      <c r="EP40" s="59">
        <f t="shared" si="46"/>
        <v>119.00926870519527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0.75503071013868417</v>
      </c>
      <c r="EW40" s="21">
        <f>EXP(-LN(2)/25)*EW39+(1-EXP(-LN(2)/25))/(LN(2)/25)*Calculateur!ER40*Calculateur!ET40*VLOOKUP('Données projet'!$B$15,Paramètres!$A$1:$I$89,3,0)*0.475*44/12</f>
        <v>3.934095147845575</v>
      </c>
      <c r="EX40" s="21">
        <f>EXP(-LN(2)/2)*EX39+(1-EXP(-LN(2)/2))/(LN(2)/2)*ER40*EU40*VLOOKUP('Données projet'!$B$15,Paramètres!$A$1:$I$89,3,0)*0.475*44/12</f>
        <v>0.54038076830697568</v>
      </c>
      <c r="EY40" s="22">
        <f t="shared" si="21"/>
        <v>5.2295066262912346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17.600000000000001</v>
      </c>
      <c r="FE40" s="12">
        <f>IF('Données projet'!$A$218&gt;35,FE39+FD40-FM39,IF(A40&lt;'Données projet'!$A$218,$FB$205^A40,IF(A40='Données projet'!$A$218,'Données projet'!$B$218,FE39+FD40-FM39)))</f>
        <v>291.2</v>
      </c>
      <c r="FF40" s="17">
        <f>FE40*VLOOKUP('Données projet'!$B$16,Paramètres!$A$1:$I$89,3,0)*VLOOKUP('Données projet'!$B$16,Paramètres!$A$1:$I$89,5,0)</f>
        <v>140.06720000000001</v>
      </c>
      <c r="FG40" s="13">
        <f t="shared" si="47"/>
        <v>36.312399641368494</v>
      </c>
      <c r="FH40" s="20">
        <f t="shared" si="22"/>
        <v>307.19446937538345</v>
      </c>
      <c r="FI40" s="59">
        <f t="shared" si="23"/>
        <v>600.52780270871676</v>
      </c>
      <c r="FJ40" s="59">
        <f ca="1">AVERAGE(OFFSET($FI$3,0,0,'Données projet'!$E$16+1,1))-AVERAGE(OFFSET($H$3,0,0,'Données projet'!$E$16+1,1))</f>
        <v>197.66963254934603</v>
      </c>
      <c r="FK40" s="59">
        <f t="shared" si="48"/>
        <v>158.08388141976138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2.3219010902340105</v>
      </c>
      <c r="FR40" s="21">
        <f>EXP(-LN(2)/25)*FR39+(1-EXP(-LN(2)/25))/(LN(2)/25)*Calculateur!FM40*Calculateur!FO40*VLOOKUP('Données projet'!$B$16,Paramètres!$A$1:$I$89,3,0)*0.475*44/12</f>
        <v>4.3760064486690915</v>
      </c>
      <c r="FS40" s="21">
        <f>EXP(-LN(2)/2)*FS39+(1-EXP(-LN(2)/2))/(LN(2)/2)*FM40*FP40*VLOOKUP('Données projet'!$B$16,Paramètres!$A$1:$I$89,3,0)*0.475*44/12</f>
        <v>0.73167668889633553</v>
      </c>
      <c r="FT40" s="22">
        <f t="shared" si="24"/>
        <v>7.4295842277994382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</v>
      </c>
      <c r="FZ40" s="12">
        <f>IF('Données projet'!$A$244&gt;35,FZ39+FY40-GH39,IF(A40&lt;'Données projet'!$A$244,$FW$205^A40,IF(A40='Données projet'!$A$244,'Données projet'!$B$244,FZ39+FY40-GH39)))</f>
        <v>199.99999999999997</v>
      </c>
      <c r="GA40" s="17">
        <f>FZ40*VLOOKUP('Données projet'!$B$17,Paramètres!$A$1:$I$89,3,0)*VLOOKUP('Données projet'!$B$17,Paramètres!$A$1:$I$89,5,0)</f>
        <v>119.59999999999998</v>
      </c>
      <c r="GB40" s="13">
        <f t="shared" si="49"/>
        <v>31.581687741452679</v>
      </c>
      <c r="GC40" s="20">
        <f t="shared" si="25"/>
        <v>263.3081061496967</v>
      </c>
      <c r="GD40" s="59">
        <f t="shared" si="26"/>
        <v>556.64143948303001</v>
      </c>
      <c r="GE40" s="59">
        <f ca="1">AVERAGE(OFFSET($GD$3,0,0,'Données projet'!$E$17+1,1))-AVERAGE(OFFSET($H$3,0,0,'Données projet'!$E$17+1,1))</f>
        <v>165.39579887388538</v>
      </c>
      <c r="GF40" s="59">
        <f t="shared" si="50"/>
        <v>155.89639262545802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6.0033568359392522</v>
      </c>
      <c r="GN40" s="21">
        <f>EXP(-LN(2)/2)*GN39+(1-EXP(-LN(2)/2))/(LN(2)/2)*GH40*GK40*VLOOKUP('Données projet'!$B$17,Paramètres!$A$1:$I$89,3,0)*0.475*44/12</f>
        <v>1.2268334239495813</v>
      </c>
      <c r="GO40" s="21">
        <f t="shared" si="27"/>
        <v>7.2301902598888335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5.2</v>
      </c>
      <c r="GU40" s="12">
        <f>IF('Données projet'!$A$270&gt;35,GU39+GT40-HC39,IF(A40&lt;'Données projet'!$A$270,$GR$205^A40,IF(A40='Données projet'!$A$270,'Données projet'!$B$270,GU39+GT40-HC39)))</f>
        <v>90.4</v>
      </c>
      <c r="GV40" s="17">
        <f>GU40*VLOOKUP('Données projet'!$B$18,Paramètres!$A$1:$I$89,3,0)*VLOOKUP('Données projet'!$B$18,Paramètres!$A$1:$I$89,5,0)</f>
        <v>97.306560000000005</v>
      </c>
      <c r="GW40" s="13">
        <f t="shared" si="51"/>
        <v>26.319306503602476</v>
      </c>
      <c r="GX40" s="20">
        <f t="shared" si="28"/>
        <v>215.31505082710763</v>
      </c>
      <c r="GY40" s="59">
        <f t="shared" si="29"/>
        <v>508.64838416044097</v>
      </c>
      <c r="GZ40" s="59">
        <f ca="1">AVERAGE(OFFSET($GY$3,0,0,'Données projet'!$E$18+1,1))-AVERAGE(OFFSET($H$3,0,0,'Données projet'!$E$18+1,1))</f>
        <v>186.60545265015247</v>
      </c>
      <c r="HA40" s="59">
        <f t="shared" si="52"/>
        <v>69.239647548491234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0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17.3</v>
      </c>
      <c r="N41" s="13">
        <f>IF('Données projet'!$A$36&gt;35,N40+M41-V40,IF(A41&lt;'Données projet'!$A$36,$K$205^A41,IF(A41='Données projet'!$A$36,'Données projet'!$B$36,N40+M41-V40)))</f>
        <v>294.40000000000009</v>
      </c>
      <c r="O41" s="13">
        <f>N41*VLOOKUP('Données projet'!$B$9,Paramètres!$A$1:$I$89,3,0)*VLOOKUP('Données projet'!$B$9,Paramètres!$A$1:$I$89,5,0)</f>
        <v>164.56960000000007</v>
      </c>
      <c r="P41" s="13">
        <f t="shared" si="33"/>
        <v>41.871506181639091</v>
      </c>
      <c r="Q41" s="20">
        <f t="shared" si="53"/>
        <v>359.55159326635481</v>
      </c>
      <c r="R41" s="59">
        <f t="shared" si="0"/>
        <v>652.88492659968813</v>
      </c>
      <c r="S41" s="59">
        <f ca="1">AVERAGE(OFFSET($R$3,0,0,'Données projet'!$E$9+1,1))-AVERAGE(OFFSET($H$3,0,0,'Données projet'!$E$9+1,1))</f>
        <v>235.10258076192054</v>
      </c>
      <c r="T41" s="59">
        <f t="shared" si="34"/>
        <v>233.47316052603765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2.9239859652135634</v>
      </c>
      <c r="AA41" s="21">
        <f>EXP(-LN(2)/25)*AA40+(1-EXP(-LN(2)/25))/(LN(2)/25)*Calculateur!V41*Calculateur!X41*VLOOKUP('Données projet'!$B$9,Paramètres!$A$1:$I$89,3,0)*0.475*44/12</f>
        <v>14.767630788995145</v>
      </c>
      <c r="AB41" s="21">
        <f>EXP(-LN(2)/2)*AB40+(1-EXP(-LN(2)/2))/(LN(2)/2)*V41*Y41*VLOOKUP('Données projet'!$B$9,Paramètres!$A$1:$I$89,3,0)*0.475*44/12</f>
        <v>1.5076301076667433</v>
      </c>
      <c r="AC41" s="22">
        <f t="shared" si="3"/>
        <v>19.199246861875451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12.1</v>
      </c>
      <c r="AI41" s="13">
        <f>IF('Données projet'!$A$62&gt;35,AI40+AH41-AQ40,IF(A41&lt;'Données projet'!$A$62,$AF$205^A41,IF(A41='Données projet'!$A$62,'Données projet'!$B$62,AI40+AH41-AQ40)))</f>
        <v>246.79999999999998</v>
      </c>
      <c r="AJ41" s="13">
        <f>AI41*VLOOKUP('Données projet'!$B$10,Paramètres!$A$1:$I$89,3,0)*VLOOKUP('Données projet'!$B$10,Paramètres!$A$1:$I$89,5,0)</f>
        <v>134.75280000000001</v>
      </c>
      <c r="AK41" s="13">
        <f t="shared" si="35"/>
        <v>35.092286247742877</v>
      </c>
      <c r="AL41" s="20">
        <f t="shared" si="4"/>
        <v>295.81352521481881</v>
      </c>
      <c r="AM41" s="59">
        <f t="shared" si="5"/>
        <v>589.14685854815207</v>
      </c>
      <c r="AN41" s="59">
        <f ca="1">AVERAGE(OFFSET($AM$3,0,0,'Données projet'!$E$10+1,1))-AVERAGE(OFFSET($H$3,0,0,'Données projet'!$E$10+1,1))</f>
        <v>168.72306536277267</v>
      </c>
      <c r="AO41" s="59">
        <f t="shared" si="36"/>
        <v>203.35476578922339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2.5963511741854051</v>
      </c>
      <c r="AV41" s="21">
        <f>EXP(-LN(2)/25)*AV40+(1-EXP(-LN(2)/25))/(LN(2)/25)*Calculateur!AQ41*Calculateur!AS41*VLOOKUP('Données projet'!$B$10,Paramètres!$A$1:$I$89,3,0)*0.475*44/12</f>
        <v>18.412608396559847</v>
      </c>
      <c r="AW41" s="21">
        <f>EXP(-LN(2)/2)*AW40+(1-EXP(-LN(2)/2))/(LN(2)/2)*AQ41*AT41*VLOOKUP('Données projet'!$B$10,Paramètres!$A$1:$I$89,3,0)*0.475*44/12</f>
        <v>1.2514904138805776</v>
      </c>
      <c r="AX41" s="21">
        <f t="shared" si="6"/>
        <v>22.260449984625829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</v>
      </c>
      <c r="BD41" s="12">
        <f>IF('Données projet'!$A$88&gt;35,BD40+BC41-BL40,IF(A41&lt;'Données projet'!$A$88,$BA$205^A41,IF(A41='Données projet'!$A$88,'Données projet'!$B$88,BD40+BC41-BL40)))</f>
        <v>210.99999999999997</v>
      </c>
      <c r="BE41" s="13">
        <f>BD41*VLOOKUP('Données projet'!$B$11,Paramètres!$A$1:$I$89,3,0)*VLOOKUP('Données projet'!$B$11,Paramètres!$A$1:$I$89,5,0)</f>
        <v>126.17799999999998</v>
      </c>
      <c r="BF41" s="13">
        <f t="shared" si="37"/>
        <v>33.111679410346248</v>
      </c>
      <c r="BG41" s="20">
        <f t="shared" si="7"/>
        <v>277.42952497301968</v>
      </c>
      <c r="BH41" s="59">
        <f t="shared" si="8"/>
        <v>570.762858306353</v>
      </c>
      <c r="BI41" s="59">
        <f ca="1">AVERAGE(OFFSET($BH$3,0,0,'Données projet'!$E$11+1,1))-AVERAGE(OFFSET($H$3,0,0,'Données projet'!$E$11+1,1))</f>
        <v>165.39579887388538</v>
      </c>
      <c r="BJ41" s="59">
        <f t="shared" si="38"/>
        <v>155.89639262545802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5.8391947275576781</v>
      </c>
      <c r="BR41" s="21">
        <f>EXP(-LN(2)/2)*BR40+(1-EXP(-LN(2)/2))/(LN(2)/2)*BL41*BO41*VLOOKUP('Données projet'!$B$11,Paramètres!$A$1:$I$89,3,0)*0.475*44/12</f>
        <v>0.86750223346105948</v>
      </c>
      <c r="BS41" s="22">
        <f t="shared" si="9"/>
        <v>6.7066969610187375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5.2</v>
      </c>
      <c r="BY41" s="12">
        <f>IF('Données projet'!$A$114&gt;35,BY40+BX41-CG40,IF(A41&lt;'Données projet'!$A$114,$BV$205^A41,IF(A41='Données projet'!$A$114,'Données projet'!$B$114,BY40+BX41-CG40)))</f>
        <v>95.600000000000009</v>
      </c>
      <c r="BZ41" s="13">
        <f>BY41*VLOOKUP('Données projet'!$B$12,Paramètres!$A$1:$I$89,3,0)*VLOOKUP('Données projet'!$B$12,Paramètres!$A$1:$I$89,5,0)</f>
        <v>92.464320000000015</v>
      </c>
      <c r="CA41" s="13">
        <f t="shared" si="39"/>
        <v>25.158622022619586</v>
      </c>
      <c r="CB41" s="20">
        <f t="shared" si="10"/>
        <v>204.85995735606244</v>
      </c>
      <c r="CC41" s="59">
        <f t="shared" si="11"/>
        <v>498.19329068939578</v>
      </c>
      <c r="CD41" s="59">
        <f ca="1">AVERAGE(OFFSET($CC$3,0,0,'Données projet'!$E$12+1,1))-AVERAGE(OFFSET($H$3,0,0,'Données projet'!$E$12+1,1))</f>
        <v>156.26368818265388</v>
      </c>
      <c r="CE41" s="59">
        <f t="shared" si="40"/>
        <v>56.347130462109817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5.2</v>
      </c>
      <c r="CT41" s="12">
        <f>IF('Données projet'!$A$140&gt;35,CT40+CS41-DB40,IF(A41&lt;'Données projet'!$A$140,$CQ$205^A41,IF(A41='Données projet'!$A$140,'Données projet'!$B$140,CT40+CS41-DB40)))</f>
        <v>95.600000000000009</v>
      </c>
      <c r="CU41" s="17">
        <f>CT41*VLOOKUP('Données projet'!$B$13,Paramètres!$A$1:$I$89,3,0)*VLOOKUP('Données projet'!$B$13,Paramètres!$A$1:$I$89,5,0)</f>
        <v>77.550720000000013</v>
      </c>
      <c r="CV41" s="13">
        <f t="shared" si="41"/>
        <v>21.537242994862879</v>
      </c>
      <c r="CW41" s="20">
        <f t="shared" si="13"/>
        <v>172.57820221605286</v>
      </c>
      <c r="CX41" s="59">
        <f t="shared" si="14"/>
        <v>465.91153554938614</v>
      </c>
      <c r="CY41" s="59">
        <f ca="1">AVERAGE(OFFSET($CX$3,0,0,'Données projet'!$E$13+1,1))-AVERAGE(OFFSET($H$3,0,0,'Données projet'!$E$13+1,1))</f>
        <v>112.78807760743126</v>
      </c>
      <c r="CZ41" s="59">
        <f t="shared" si="42"/>
        <v>37.867745922003564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8.1</v>
      </c>
      <c r="DO41" s="12">
        <f>IF('Données projet'!$A$166&gt;35,DO40+DN41-DW40,IF(A41&lt;'Données projet'!$A$166,$DL$205^A41,IF(A41='Données projet'!$A$166,'Données projet'!$B$166,DO40+DN41-DW40)))</f>
        <v>157.79999999999998</v>
      </c>
      <c r="DP41" s="17">
        <f>DO41*VLOOKUP('Données projet'!$B$14,Paramètres!$A$1:$I$89,3,0)*VLOOKUP('Données projet'!$B$14,Paramètres!$A$1:$I$89,5,0)</f>
        <v>105.85223999999998</v>
      </c>
      <c r="DQ41" s="13">
        <f t="shared" si="43"/>
        <v>28.351564652835101</v>
      </c>
      <c r="DR41" s="20">
        <f t="shared" si="16"/>
        <v>233.73829310368777</v>
      </c>
      <c r="DS41" s="59">
        <f t="shared" si="17"/>
        <v>527.07162643702111</v>
      </c>
      <c r="DT41" s="59">
        <f ca="1">AVERAGE(OFFSET($DS$3,0,0,'Données projet'!$E$14+1,1))-AVERAGE(OFFSET($H$3,0,0,'Données projet'!$E$14+1,1))</f>
        <v>107.15837202366862</v>
      </c>
      <c r="DU41" s="59">
        <f t="shared" si="44"/>
        <v>139.67031833740026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4.540506754829523</v>
      </c>
      <c r="EC41" s="21">
        <f>EXP(-LN(2)/2)*EC40+(1-EXP(-LN(2)/2))/(LN(2)/2)*DW41*DZ41*VLOOKUP('Données projet'!$B$14,Paramètres!$A$1:$I$89,3,0)*0.475*44/12</f>
        <v>0.42184222223784534</v>
      </c>
      <c r="ED41" s="22">
        <f t="shared" si="18"/>
        <v>4.9623489770673688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7</v>
      </c>
      <c r="EJ41" s="12">
        <f>IF('Données projet'!$A$192&gt;35,EJ40+EI41-ER40,IF(A41&lt;'Données projet'!$A$192,$EG$205^A41,IF(A41='Données projet'!$A$192,'Données projet'!$B$192,EJ40+EI41-ER40)))</f>
        <v>203.7</v>
      </c>
      <c r="EK41" s="17">
        <f>EJ41*VLOOKUP('Données projet'!$B$15,Paramètres!$A$1:$I$89,3,0)*VLOOKUP('Données projet'!$B$15,Paramètres!$A$1:$I$89,5,0)</f>
        <v>95.331599999999995</v>
      </c>
      <c r="EL41" s="13">
        <f t="shared" si="45"/>
        <v>25.84673998337389</v>
      </c>
      <c r="EM41" s="20">
        <f t="shared" si="19"/>
        <v>211.05227547104286</v>
      </c>
      <c r="EN41" s="59">
        <f t="shared" si="20"/>
        <v>504.38560880437615</v>
      </c>
      <c r="EO41" s="59">
        <f ca="1">AVERAGE(OFFSET($EN$3,0,0,'Données projet'!$E$15+1,1))-AVERAGE(OFFSET($H$3,0,0,'Données projet'!$E$15+1,1))</f>
        <v>123.60520571614535</v>
      </c>
      <c r="EP41" s="59">
        <f t="shared" si="46"/>
        <v>119.00926870519527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0.74022501843612487</v>
      </c>
      <c r="EW41" s="21">
        <f>EXP(-LN(2)/25)*EW40+(1-EXP(-LN(2)/25))/(LN(2)/25)*Calculateur!ER41*Calculateur!ET41*VLOOKUP('Données projet'!$B$15,Paramètres!$A$1:$I$89,3,0)*0.475*44/12</f>
        <v>3.8265171091426655</v>
      </c>
      <c r="EX41" s="21">
        <f>EXP(-LN(2)/2)*EX40+(1-EXP(-LN(2)/2))/(LN(2)/2)*ER41*EU41*VLOOKUP('Données projet'!$B$15,Paramètres!$A$1:$I$89,3,0)*0.475*44/12</f>
        <v>0.38210690569265909</v>
      </c>
      <c r="EY41" s="22">
        <f t="shared" si="21"/>
        <v>4.9488490332714496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17.600000000000001</v>
      </c>
      <c r="FE41" s="12">
        <f>IF('Données projet'!$A$218&gt;35,FE40+FD41-FM40,IF(A41&lt;'Données projet'!$A$218,$FB$205^A41,IF(A41='Données projet'!$A$218,'Données projet'!$B$218,FE40+FD41-FM40)))</f>
        <v>308.8</v>
      </c>
      <c r="FF41" s="17">
        <f>FE41*VLOOKUP('Données projet'!$B$16,Paramètres!$A$1:$I$89,3,0)*VLOOKUP('Données projet'!$B$16,Paramètres!$A$1:$I$89,5,0)</f>
        <v>148.53280000000001</v>
      </c>
      <c r="FG41" s="13">
        <f t="shared" si="47"/>
        <v>38.24496865062055</v>
      </c>
      <c r="FH41" s="20">
        <f t="shared" si="22"/>
        <v>325.3046137331641</v>
      </c>
      <c r="FI41" s="59">
        <f t="shared" si="23"/>
        <v>618.63794706649742</v>
      </c>
      <c r="FJ41" s="59">
        <f ca="1">AVERAGE(OFFSET($FI$3,0,0,'Données projet'!$E$16+1,1))-AVERAGE(OFFSET($H$3,0,0,'Données projet'!$E$16+1,1))</f>
        <v>197.66963254934603</v>
      </c>
      <c r="FK41" s="59">
        <f t="shared" si="48"/>
        <v>158.08388141976138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2.2763700260743467</v>
      </c>
      <c r="FR41" s="21">
        <f>EXP(-LN(2)/25)*FR40+(1-EXP(-LN(2)/25))/(LN(2)/25)*Calculateur!FM41*Calculateur!FO41*VLOOKUP('Données projet'!$B$16,Paramètres!$A$1:$I$89,3,0)*0.475*44/12</f>
        <v>4.2563443222060577</v>
      </c>
      <c r="FS41" s="21">
        <f>EXP(-LN(2)/2)*FS40+(1-EXP(-LN(2)/2))/(LN(2)/2)*FM41*FP41*VLOOKUP('Données projet'!$B$16,Paramètres!$A$1:$I$89,3,0)*0.475*44/12</f>
        <v>0.51737354835471872</v>
      </c>
      <c r="FT41" s="22">
        <f t="shared" si="24"/>
        <v>7.050087896635123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</v>
      </c>
      <c r="FZ41" s="12">
        <f>IF('Données projet'!$A$244&gt;35,FZ40+FY41-GH40,IF(A41&lt;'Données projet'!$A$244,$FW$205^A41,IF(A41='Données projet'!$A$244,'Données projet'!$B$244,FZ40+FY41-GH40)))</f>
        <v>210.99999999999997</v>
      </c>
      <c r="GA41" s="17">
        <f>FZ41*VLOOKUP('Données projet'!$B$17,Paramètres!$A$1:$I$89,3,0)*VLOOKUP('Données projet'!$B$17,Paramètres!$A$1:$I$89,5,0)</f>
        <v>126.17799999999998</v>
      </c>
      <c r="GB41" s="13">
        <f t="shared" si="49"/>
        <v>33.111679410346248</v>
      </c>
      <c r="GC41" s="20">
        <f t="shared" si="25"/>
        <v>277.42952497301968</v>
      </c>
      <c r="GD41" s="59">
        <f t="shared" si="26"/>
        <v>570.762858306353</v>
      </c>
      <c r="GE41" s="59">
        <f ca="1">AVERAGE(OFFSET($GD$3,0,0,'Données projet'!$E$17+1,1))-AVERAGE(OFFSET($H$3,0,0,'Données projet'!$E$17+1,1))</f>
        <v>165.39579887388538</v>
      </c>
      <c r="GF41" s="59">
        <f t="shared" si="50"/>
        <v>155.89639262545802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5.8391947275576781</v>
      </c>
      <c r="GN41" s="21">
        <f>EXP(-LN(2)/2)*GN40+(1-EXP(-LN(2)/2))/(LN(2)/2)*GH41*GK41*VLOOKUP('Données projet'!$B$17,Paramètres!$A$1:$I$89,3,0)*0.475*44/12</f>
        <v>0.86750223346105948</v>
      </c>
      <c r="GO41" s="21">
        <f t="shared" si="27"/>
        <v>6.7066969610187375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5.2</v>
      </c>
      <c r="GU41" s="12">
        <f>IF('Données projet'!$A$270&gt;35,GU40+GT41-HC40,IF(A41&lt;'Données projet'!$A$270,$GR$205^A41,IF(A41='Données projet'!$A$270,'Données projet'!$B$270,GU40+GT41-HC40)))</f>
        <v>95.600000000000009</v>
      </c>
      <c r="GV41" s="17">
        <f>GU41*VLOOKUP('Données projet'!$B$18,Paramètres!$A$1:$I$89,3,0)*VLOOKUP('Données projet'!$B$18,Paramètres!$A$1:$I$89,5,0)</f>
        <v>102.90384</v>
      </c>
      <c r="GW41" s="13">
        <f t="shared" si="51"/>
        <v>27.652640663041698</v>
      </c>
      <c r="GX41" s="20">
        <f t="shared" si="28"/>
        <v>227.38587048813096</v>
      </c>
      <c r="GY41" s="59">
        <f t="shared" si="29"/>
        <v>520.71920382146425</v>
      </c>
      <c r="GZ41" s="59">
        <f ca="1">AVERAGE(OFFSET($GY$3,0,0,'Données projet'!$E$18+1,1))-AVERAGE(OFFSET($H$3,0,0,'Données projet'!$E$18+1,1))</f>
        <v>186.60545265015247</v>
      </c>
      <c r="HA41" s="59">
        <f t="shared" si="52"/>
        <v>69.239647548491234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0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17.3</v>
      </c>
      <c r="N42" s="13">
        <f>IF('Données projet'!$A$36&gt;35,N41+M42-V41,IF(A42&lt;'Données projet'!$A$36,$K$205^A42,IF(A42='Données projet'!$A$36,'Données projet'!$B$36,N41+M42-V41)))</f>
        <v>311.7000000000001</v>
      </c>
      <c r="O42" s="13">
        <f>N42*VLOOKUP('Données projet'!$B$9,Paramètres!$A$1:$I$89,3,0)*VLOOKUP('Données projet'!$B$9,Paramètres!$A$1:$I$89,5,0)</f>
        <v>174.24030000000005</v>
      </c>
      <c r="P42" s="13">
        <f t="shared" si="33"/>
        <v>44.038343719759652</v>
      </c>
      <c r="Q42" s="20">
        <f t="shared" si="53"/>
        <v>380.16863781191483</v>
      </c>
      <c r="R42" s="59">
        <f t="shared" si="0"/>
        <v>673.50197114524815</v>
      </c>
      <c r="S42" s="59">
        <f ca="1">AVERAGE(OFFSET($R$3,0,0,'Données projet'!$E$9+1,1))-AVERAGE(OFFSET($H$3,0,0,'Données projet'!$E$9+1,1))</f>
        <v>235.10258076192054</v>
      </c>
      <c r="T42" s="59">
        <f t="shared" si="34"/>
        <v>233.47316052603765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2.8666483838910626</v>
      </c>
      <c r="AA42" s="21">
        <f>EXP(-LN(2)/25)*AA41+(1-EXP(-LN(2)/25))/(LN(2)/25)*Calculateur!V42*Calculateur!X42*VLOOKUP('Données projet'!$B$9,Paramètres!$A$1:$I$89,3,0)*0.475*44/12</f>
        <v>14.363809148474122</v>
      </c>
      <c r="AB42" s="21">
        <f>EXP(-LN(2)/2)*AB41+(1-EXP(-LN(2)/2))/(LN(2)/2)*V42*Y42*VLOOKUP('Données projet'!$B$9,Paramètres!$A$1:$I$89,3,0)*0.475*44/12</f>
        <v>1.0660554726521589</v>
      </c>
      <c r="AC42" s="22">
        <f t="shared" si="3"/>
        <v>18.296513005017346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12.1</v>
      </c>
      <c r="AI42" s="13">
        <f>IF('Données projet'!$A$62&gt;35,AI41+AH42-AQ41,IF(A42&lt;'Données projet'!$A$62,$AF$205^A42,IF(A42='Données projet'!$A$62,'Données projet'!$B$62,AI41+AH42-AQ41)))</f>
        <v>258.89999999999998</v>
      </c>
      <c r="AJ42" s="13">
        <f>AI42*VLOOKUP('Données projet'!$B$10,Paramètres!$A$1:$I$89,3,0)*VLOOKUP('Données projet'!$B$10,Paramètres!$A$1:$I$89,5,0)</f>
        <v>141.35939999999999</v>
      </c>
      <c r="AK42" s="13">
        <f t="shared" si="35"/>
        <v>36.60824958838036</v>
      </c>
      <c r="AL42" s="20">
        <f t="shared" si="4"/>
        <v>309.96032303309579</v>
      </c>
      <c r="AM42" s="59">
        <f t="shared" si="5"/>
        <v>603.2936563664291</v>
      </c>
      <c r="AN42" s="59">
        <f ca="1">AVERAGE(OFFSET($AM$3,0,0,'Données projet'!$E$10+1,1))-AVERAGE(OFFSET($H$3,0,0,'Données projet'!$E$10+1,1))</f>
        <v>168.72306536277267</v>
      </c>
      <c r="AO42" s="59">
        <f t="shared" si="36"/>
        <v>203.35476578922339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2.5454383112774761</v>
      </c>
      <c r="AV42" s="21">
        <f>EXP(-LN(2)/25)*AV41+(1-EXP(-LN(2)/25))/(LN(2)/25)*Calculateur!AQ42*Calculateur!AS42*VLOOKUP('Données projet'!$B$10,Paramètres!$A$1:$I$89,3,0)*0.475*44/12</f>
        <v>17.909114651678927</v>
      </c>
      <c r="AW42" s="21">
        <f>EXP(-LN(2)/2)*AW41+(1-EXP(-LN(2)/2))/(LN(2)/2)*AQ42*AT42*VLOOKUP('Données projet'!$B$10,Paramètres!$A$1:$I$89,3,0)*0.475*44/12</f>
        <v>0.88493735824491548</v>
      </c>
      <c r="AX42" s="21">
        <f t="shared" si="6"/>
        <v>21.339490321201318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</v>
      </c>
      <c r="BD42" s="12">
        <f>IF('Données projet'!$A$88&gt;35,BD41+BC42-BL41,IF(A42&lt;'Données projet'!$A$88,$BA$205^A42,IF(A42='Données projet'!$A$88,'Données projet'!$B$88,BD41+BC42-BL41)))</f>
        <v>221.99999999999997</v>
      </c>
      <c r="BE42" s="13">
        <f>BD42*VLOOKUP('Données projet'!$B$11,Paramètres!$A$1:$I$89,3,0)*VLOOKUP('Données projet'!$B$11,Paramètres!$A$1:$I$89,5,0)</f>
        <v>132.756</v>
      </c>
      <c r="BF42" s="13">
        <f t="shared" si="37"/>
        <v>34.632410397339967</v>
      </c>
      <c r="BG42" s="20">
        <f t="shared" si="7"/>
        <v>291.53481477536712</v>
      </c>
      <c r="BH42" s="59">
        <f t="shared" si="8"/>
        <v>584.86814810870044</v>
      </c>
      <c r="BI42" s="59">
        <f ca="1">AVERAGE(OFFSET($BH$3,0,0,'Données projet'!$E$11+1,1))-AVERAGE(OFFSET($H$3,0,0,'Données projet'!$E$11+1,1))</f>
        <v>165.39579887388538</v>
      </c>
      <c r="BJ42" s="59">
        <f t="shared" si="38"/>
        <v>155.89639262545802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5.679521640662708</v>
      </c>
      <c r="BR42" s="21">
        <f>EXP(-LN(2)/2)*BR41+(1-EXP(-LN(2)/2))/(LN(2)/2)*BL42*BO42*VLOOKUP('Données projet'!$B$11,Paramètres!$A$1:$I$89,3,0)*0.475*44/12</f>
        <v>0.61341671197479064</v>
      </c>
      <c r="BS42" s="22">
        <f t="shared" si="9"/>
        <v>6.2929383526374991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5.2</v>
      </c>
      <c r="BY42" s="12">
        <f>IF('Données projet'!$A$114&gt;35,BY41+BX42-CG41,IF(A42&lt;'Données projet'!$A$114,$BV$205^A42,IF(A42='Données projet'!$A$114,'Données projet'!$B$114,BY41+BX42-CG41)))</f>
        <v>100.80000000000001</v>
      </c>
      <c r="BZ42" s="13">
        <f>BY42*VLOOKUP('Données projet'!$B$12,Paramètres!$A$1:$I$89,3,0)*VLOOKUP('Données projet'!$B$12,Paramètres!$A$1:$I$89,5,0)</f>
        <v>97.493760000000023</v>
      </c>
      <c r="CA42" s="13">
        <f t="shared" si="39"/>
        <v>26.364041280888873</v>
      </c>
      <c r="CB42" s="20">
        <f t="shared" si="10"/>
        <v>215.71900389754816</v>
      </c>
      <c r="CC42" s="59">
        <f t="shared" si="11"/>
        <v>509.05233723088145</v>
      </c>
      <c r="CD42" s="59">
        <f ca="1">AVERAGE(OFFSET($CC$3,0,0,'Données projet'!$E$12+1,1))-AVERAGE(OFFSET($H$3,0,0,'Données projet'!$E$12+1,1))</f>
        <v>156.26368818265388</v>
      </c>
      <c r="CE42" s="59">
        <f t="shared" si="40"/>
        <v>56.347130462109817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5.2</v>
      </c>
      <c r="CT42" s="12">
        <f>IF('Données projet'!$A$140&gt;35,CT41+CS42-DB41,IF(A42&lt;'Données projet'!$A$140,$CQ$205^A42,IF(A42='Données projet'!$A$140,'Données projet'!$B$140,CT41+CS42-DB41)))</f>
        <v>100.80000000000001</v>
      </c>
      <c r="CU42" s="17">
        <f>CT42*VLOOKUP('Données projet'!$B$13,Paramètres!$A$1:$I$89,3,0)*VLOOKUP('Données projet'!$B$13,Paramètres!$A$1:$I$89,5,0)</f>
        <v>81.768960000000021</v>
      </c>
      <c r="CV42" s="13">
        <f t="shared" si="41"/>
        <v>22.569151954451023</v>
      </c>
      <c r="CW42" s="20">
        <f t="shared" si="13"/>
        <v>181.72221165400222</v>
      </c>
      <c r="CX42" s="59">
        <f t="shared" si="14"/>
        <v>475.05554498733557</v>
      </c>
      <c r="CY42" s="59">
        <f ca="1">AVERAGE(OFFSET($CX$3,0,0,'Données projet'!$E$13+1,1))-AVERAGE(OFFSET($H$3,0,0,'Données projet'!$E$13+1,1))</f>
        <v>112.78807760743126</v>
      </c>
      <c r="CZ42" s="59">
        <f t="shared" si="42"/>
        <v>37.867745922003564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8.1</v>
      </c>
      <c r="DO42" s="12">
        <f>IF('Données projet'!$A$166&gt;35,DO41+DN42-DW41,IF(A42&lt;'Données projet'!$A$166,$DL$205^A42,IF(A42='Données projet'!$A$166,'Données projet'!$B$166,DO41+DN42-DW41)))</f>
        <v>165.89999999999998</v>
      </c>
      <c r="DP42" s="17">
        <f>DO42*VLOOKUP('Données projet'!$B$14,Paramètres!$A$1:$I$89,3,0)*VLOOKUP('Données projet'!$B$14,Paramètres!$A$1:$I$89,5,0)</f>
        <v>111.28571999999998</v>
      </c>
      <c r="DQ42" s="13">
        <f t="shared" si="43"/>
        <v>29.633705054578822</v>
      </c>
      <c r="DR42" s="20">
        <f t="shared" si="16"/>
        <v>245.4346653033914</v>
      </c>
      <c r="DS42" s="59">
        <f t="shared" si="17"/>
        <v>538.76799863672477</v>
      </c>
      <c r="DT42" s="59">
        <f ca="1">AVERAGE(OFFSET($DS$3,0,0,'Données projet'!$E$14+1,1))-AVERAGE(OFFSET($H$3,0,0,'Données projet'!$E$14+1,1))</f>
        <v>107.15837202366862</v>
      </c>
      <c r="DU42" s="59">
        <f t="shared" si="44"/>
        <v>139.67031833740026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4.4163463588438372</v>
      </c>
      <c r="EC42" s="21">
        <f>EXP(-LN(2)/2)*EC41+(1-EXP(-LN(2)/2))/(LN(2)/2)*DW42*DZ42*VLOOKUP('Données projet'!$B$14,Paramètres!$A$1:$I$89,3,0)*0.475*44/12</f>
        <v>0.29828749593518306</v>
      </c>
      <c r="ED42" s="22">
        <f t="shared" si="18"/>
        <v>4.7146338547790201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7</v>
      </c>
      <c r="EJ42" s="12">
        <f>IF('Données projet'!$A$192&gt;35,EJ41+EI42-ER41,IF(A42&lt;'Données projet'!$A$192,$EG$205^A42,IF(A42='Données projet'!$A$192,'Données projet'!$B$192,EJ41+EI42-ER41)))</f>
        <v>210.7</v>
      </c>
      <c r="EK42" s="17">
        <f>EJ42*VLOOKUP('Données projet'!$B$15,Paramètres!$A$1:$I$89,3,0)*VLOOKUP('Données projet'!$B$15,Paramètres!$A$1:$I$89,5,0)</f>
        <v>98.607599999999991</v>
      </c>
      <c r="EL42" s="13">
        <f t="shared" si="45"/>
        <v>26.630007227548578</v>
      </c>
      <c r="EM42" s="20">
        <f t="shared" si="19"/>
        <v>218.12216592131372</v>
      </c>
      <c r="EN42" s="59">
        <f t="shared" si="20"/>
        <v>511.45549925464707</v>
      </c>
      <c r="EO42" s="59">
        <f ca="1">AVERAGE(OFFSET($EN$3,0,0,'Données projet'!$E$15+1,1))-AVERAGE(OFFSET($H$3,0,0,'Données projet'!$E$15+1,1))</f>
        <v>123.60520571614535</v>
      </c>
      <c r="EP42" s="59">
        <f t="shared" si="46"/>
        <v>119.00926870519527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0.72570965731727255</v>
      </c>
      <c r="EW42" s="21">
        <f>EXP(-LN(2)/25)*EW41+(1-EXP(-LN(2)/25))/(LN(2)/25)*Calculateur!ER42*Calculateur!ET42*VLOOKUP('Données projet'!$B$15,Paramètres!$A$1:$I$89,3,0)*0.475*44/12</f>
        <v>3.7218807975653703</v>
      </c>
      <c r="EX42" s="21">
        <f>EXP(-LN(2)/2)*EX41+(1-EXP(-LN(2)/2))/(LN(2)/2)*ER42*EU42*VLOOKUP('Données projet'!$B$15,Paramètres!$A$1:$I$89,3,0)*0.475*44/12</f>
        <v>0.27019038415348784</v>
      </c>
      <c r="EY42" s="22">
        <f t="shared" si="21"/>
        <v>4.7177808390361307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17.600000000000001</v>
      </c>
      <c r="FE42" s="12">
        <f>IF('Données projet'!$A$218&gt;35,FE41+FD42-FM41,IF(A42&lt;'Données projet'!$A$218,$FB$205^A42,IF(A42='Données projet'!$A$218,'Données projet'!$B$218,FE41+FD42-FM41)))</f>
        <v>326.40000000000003</v>
      </c>
      <c r="FF42" s="17">
        <f>FE42*VLOOKUP('Données projet'!$B$16,Paramètres!$A$1:$I$89,3,0)*VLOOKUP('Données projet'!$B$16,Paramètres!$A$1:$I$89,5,0)</f>
        <v>156.99840000000003</v>
      </c>
      <c r="FG42" s="13">
        <f t="shared" si="47"/>
        <v>40.164751744651213</v>
      </c>
      <c r="FH42" s="20">
        <f t="shared" si="22"/>
        <v>343.39248928860093</v>
      </c>
      <c r="FI42" s="59">
        <f t="shared" si="23"/>
        <v>636.72582262193419</v>
      </c>
      <c r="FJ42" s="59">
        <f ca="1">AVERAGE(OFFSET($FI$3,0,0,'Données projet'!$E$16+1,1))-AVERAGE(OFFSET($H$3,0,0,'Données projet'!$E$16+1,1))</f>
        <v>197.66963254934603</v>
      </c>
      <c r="FK42" s="59">
        <f t="shared" si="48"/>
        <v>158.08388141976138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2.2317317983116469</v>
      </c>
      <c r="FR42" s="21">
        <f>EXP(-LN(2)/25)*FR41+(1-EXP(-LN(2)/25))/(LN(2)/25)*Calculateur!FM42*Calculateur!FO42*VLOOKUP('Données projet'!$B$16,Paramètres!$A$1:$I$89,3,0)*0.475*44/12</f>
        <v>4.1399543628839135</v>
      </c>
      <c r="FS42" s="21">
        <f>EXP(-LN(2)/2)*FS41+(1-EXP(-LN(2)/2))/(LN(2)/2)*FM42*FP42*VLOOKUP('Données projet'!$B$16,Paramètres!$A$1:$I$89,3,0)*0.475*44/12</f>
        <v>0.36583834444816776</v>
      </c>
      <c r="FT42" s="22">
        <f t="shared" si="24"/>
        <v>6.7375245056437283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</v>
      </c>
      <c r="FZ42" s="12">
        <f>IF('Données projet'!$A$244&gt;35,FZ41+FY42-GH41,IF(A42&lt;'Données projet'!$A$244,$FW$205^A42,IF(A42='Données projet'!$A$244,'Données projet'!$B$244,FZ41+FY42-GH41)))</f>
        <v>221.99999999999997</v>
      </c>
      <c r="GA42" s="17">
        <f>FZ42*VLOOKUP('Données projet'!$B$17,Paramètres!$A$1:$I$89,3,0)*VLOOKUP('Données projet'!$B$17,Paramètres!$A$1:$I$89,5,0)</f>
        <v>132.756</v>
      </c>
      <c r="GB42" s="13">
        <f t="shared" si="49"/>
        <v>34.632410397339967</v>
      </c>
      <c r="GC42" s="20">
        <f t="shared" si="25"/>
        <v>291.53481477536712</v>
      </c>
      <c r="GD42" s="59">
        <f t="shared" si="26"/>
        <v>584.86814810870044</v>
      </c>
      <c r="GE42" s="59">
        <f ca="1">AVERAGE(OFFSET($GD$3,0,0,'Données projet'!$E$17+1,1))-AVERAGE(OFFSET($H$3,0,0,'Données projet'!$E$17+1,1))</f>
        <v>165.39579887388538</v>
      </c>
      <c r="GF42" s="59">
        <f t="shared" si="50"/>
        <v>155.89639262545802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5.679521640662708</v>
      </c>
      <c r="GN42" s="21">
        <f>EXP(-LN(2)/2)*GN41+(1-EXP(-LN(2)/2))/(LN(2)/2)*GH42*GK42*VLOOKUP('Données projet'!$B$17,Paramètres!$A$1:$I$89,3,0)*0.475*44/12</f>
        <v>0.61341671197479064</v>
      </c>
      <c r="GO42" s="21">
        <f t="shared" si="27"/>
        <v>6.2929383526374991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5.2</v>
      </c>
      <c r="GU42" s="12">
        <f>IF('Données projet'!$A$270&gt;35,GU41+GT42-HC41,IF(A42&lt;'Données projet'!$A$270,$GR$205^A42,IF(A42='Données projet'!$A$270,'Données projet'!$B$270,GU41+GT42-HC41)))</f>
        <v>100.80000000000001</v>
      </c>
      <c r="GV42" s="17">
        <f>GU42*VLOOKUP('Données projet'!$B$18,Paramètres!$A$1:$I$89,3,0)*VLOOKUP('Données projet'!$B$18,Paramètres!$A$1:$I$89,5,0)</f>
        <v>108.50112000000001</v>
      </c>
      <c r="GW42" s="13">
        <f t="shared" si="51"/>
        <v>28.977555261594119</v>
      </c>
      <c r="GX42" s="20">
        <f t="shared" si="28"/>
        <v>239.44202608060974</v>
      </c>
      <c r="GY42" s="59">
        <f t="shared" si="29"/>
        <v>532.77535941394308</v>
      </c>
      <c r="GZ42" s="59">
        <f ca="1">AVERAGE(OFFSET($GY$3,0,0,'Données projet'!$E$18+1,1))-AVERAGE(OFFSET($H$3,0,0,'Données projet'!$E$18+1,1))</f>
        <v>186.60545265015247</v>
      </c>
      <c r="HA42" s="59">
        <f t="shared" si="52"/>
        <v>69.239647548491234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0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329</v>
      </c>
      <c r="L43" s="12">
        <f>VLOOKUP(A43,'Données projet'!$A$35:$I$55,9,0)</f>
        <v>17.3</v>
      </c>
      <c r="M43" s="12">
        <f t="array" ref="M43">INDEX(L:L,MIN(IF(ISNUMBER(L43:L239),ROW(L43:L239),"")))</f>
        <v>17.3</v>
      </c>
      <c r="N43" s="13">
        <f>IF('Données projet'!$A$36&gt;35,N42+M43-V42,IF(A43&lt;'Données projet'!$A$36,$K$205^A43,IF(A43='Données projet'!$A$36,'Données projet'!$B$36,N42+M43-V42)))</f>
        <v>329.00000000000011</v>
      </c>
      <c r="O43" s="13">
        <f>N43*VLOOKUP('Données projet'!$B$9,Paramètres!$A$1:$I$89,3,0)*VLOOKUP('Données projet'!$B$9,Paramètres!$A$1:$I$89,5,0)</f>
        <v>183.91100000000009</v>
      </c>
      <c r="P43" s="13">
        <f t="shared" si="33"/>
        <v>46.191220083623499</v>
      </c>
      <c r="Q43" s="20">
        <f t="shared" si="53"/>
        <v>400.76136664564439</v>
      </c>
      <c r="R43" s="59">
        <f t="shared" si="0"/>
        <v>694.0946999789777</v>
      </c>
      <c r="S43" s="59">
        <f ca="1">AVERAGE(OFFSET($R$3,0,0,'Données projet'!$E$9+1,1))-AVERAGE(OFFSET($H$3,0,0,'Données projet'!$E$9+1,1))</f>
        <v>235.10258076192054</v>
      </c>
      <c r="T43" s="59">
        <f t="shared" si="34"/>
        <v>233.47316052603765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84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2.8104351575658248</v>
      </c>
      <c r="AA43" s="21">
        <f>EXP(-LN(2)/25)*AA42+(1-EXP(-LN(2)/25))/(LN(2)/25)*Calculateur!V43*Calculateur!X43*VLOOKUP('Données projet'!$B$9,Paramètres!$A$1:$I$89,3,0)*0.475*44/12</f>
        <v>13.971030031949203</v>
      </c>
      <c r="AB43" s="21">
        <f>EXP(-LN(2)/2)*AB42+(1-EXP(-LN(2)/2))/(LN(2)/2)*V43*Y43*VLOOKUP('Données projet'!$B$9,Paramètres!$A$1:$I$89,3,0)*0.475*44/12</f>
        <v>0.75381505383337166</v>
      </c>
      <c r="AC43" s="22">
        <f t="shared" si="3"/>
        <v>17.535280243348399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271</v>
      </c>
      <c r="AG43" s="12">
        <f>VLOOKUP(A43,'Données projet'!$A$61:$I$81,9,0)</f>
        <v>12.1</v>
      </c>
      <c r="AH43" s="12">
        <f t="array" ref="AH43">INDEX(AG:AG,MIN(IF(ISNUMBER(AG43:AG239),ROW(AG43:AG239),"")))</f>
        <v>12.1</v>
      </c>
      <c r="AI43" s="13">
        <f>IF('Données projet'!$A$62&gt;35,AI42+AH43-AQ42,IF(A43&lt;'Données projet'!$A$62,$AF$205^A43,IF(A43='Données projet'!$A$62,'Données projet'!$B$62,AI42+AH43-AQ42)))</f>
        <v>271</v>
      </c>
      <c r="AJ43" s="13">
        <f>AI43*VLOOKUP('Données projet'!$B$10,Paramètres!$A$1:$I$89,3,0)*VLOOKUP('Données projet'!$B$10,Paramètres!$A$1:$I$89,5,0)</f>
        <v>147.96600000000001</v>
      </c>
      <c r="AK43" s="13">
        <f t="shared" si="35"/>
        <v>38.115985176802688</v>
      </c>
      <c r="AL43" s="20">
        <f t="shared" si="4"/>
        <v>324.09279084959798</v>
      </c>
      <c r="AM43" s="59">
        <f t="shared" si="5"/>
        <v>617.42612418293129</v>
      </c>
      <c r="AN43" s="59">
        <f ca="1">AVERAGE(OFFSET($AM$3,0,0,'Données projet'!$E$10+1,1))-AVERAGE(OFFSET($H$3,0,0,'Données projet'!$E$10+1,1))</f>
        <v>168.72306536277267</v>
      </c>
      <c r="AO43" s="59">
        <f t="shared" si="36"/>
        <v>203.35476578922339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68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2.4955238185573916</v>
      </c>
      <c r="AV43" s="21">
        <f>EXP(-LN(2)/25)*AV42+(1-EXP(-LN(2)/25))/(LN(2)/25)*Calculateur!AQ43*Calculateur!AS43*VLOOKUP('Données projet'!$B$10,Paramètres!$A$1:$I$89,3,0)*0.475*44/12</f>
        <v>17.419388969729358</v>
      </c>
      <c r="AW43" s="21">
        <f>EXP(-LN(2)/2)*AW42+(1-EXP(-LN(2)/2))/(LN(2)/2)*AQ43*AT43*VLOOKUP('Données projet'!$B$10,Paramètres!$A$1:$I$89,3,0)*0.475*44/12</f>
        <v>0.6257452069402889</v>
      </c>
      <c r="AX43" s="21">
        <f t="shared" si="6"/>
        <v>20.540657995227036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233</v>
      </c>
      <c r="BB43" s="12">
        <f>VLOOKUP(A43,'Données projet'!$A$87:$I$107,9,0)</f>
        <v>11</v>
      </c>
      <c r="BC43" s="12">
        <f t="array" ref="BC43">INDEX(BB:BB,MIN(IF(ISNUMBER(BB43:BB239),ROW(BB43:BB239),"")))</f>
        <v>11</v>
      </c>
      <c r="BD43" s="12">
        <f>IF('Données projet'!$A$88&gt;35,BD42+BC43-BL42,IF(A43&lt;'Données projet'!$A$88,$BA$205^A43,IF(A43='Données projet'!$A$88,'Données projet'!$B$88,BD42+BC43-BL42)))</f>
        <v>232.99999999999997</v>
      </c>
      <c r="BE43" s="13">
        <f>BD43*VLOOKUP('Données projet'!$B$11,Paramètres!$A$1:$I$89,3,0)*VLOOKUP('Données projet'!$B$11,Paramètres!$A$1:$I$89,5,0)</f>
        <v>139.334</v>
      </c>
      <c r="BF43" s="13">
        <f t="shared" si="37"/>
        <v>36.144391930570897</v>
      </c>
      <c r="BG43" s="20">
        <f t="shared" si="7"/>
        <v>305.62486594574432</v>
      </c>
      <c r="BH43" s="59">
        <f t="shared" si="8"/>
        <v>598.95819927907769</v>
      </c>
      <c r="BI43" s="59">
        <f ca="1">AVERAGE(OFFSET($BH$3,0,0,'Données projet'!$E$11+1,1))-AVERAGE(OFFSET($H$3,0,0,'Données projet'!$E$11+1,1))</f>
        <v>165.39579887388538</v>
      </c>
      <c r="BJ43" s="59">
        <f t="shared" si="38"/>
        <v>155.89639262545802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5.5242148227257237</v>
      </c>
      <c r="BR43" s="21">
        <f>EXP(-LN(2)/2)*BR42+(1-EXP(-LN(2)/2))/(LN(2)/2)*BL43*BO43*VLOOKUP('Données projet'!$B$11,Paramètres!$A$1:$I$89,3,0)*0.475*44/12</f>
        <v>0.43375111673052974</v>
      </c>
      <c r="BS43" s="22">
        <f t="shared" si="9"/>
        <v>5.9579659394562539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106</v>
      </c>
      <c r="BW43" s="12">
        <f>VLOOKUP(A43,'Données projet'!$A$113:$I$133,9,0)</f>
        <v>5.2</v>
      </c>
      <c r="BX43" s="12">
        <f t="array" ref="BX43">INDEX(BW:BW,MIN(IF(ISNUMBER(BW43:BW239),ROW(BW43:BW239),"")))</f>
        <v>5.2</v>
      </c>
      <c r="BY43" s="12">
        <f>IF('Données projet'!$A$114&gt;35,BY42+BX43-CG42,IF(A43&lt;'Données projet'!$A$114,$BV$205^A43,IF(A43='Données projet'!$A$114,'Données projet'!$B$114,BY42+BX43-CG42)))</f>
        <v>106.00000000000001</v>
      </c>
      <c r="BZ43" s="13">
        <f>BY43*VLOOKUP('Données projet'!$B$12,Paramètres!$A$1:$I$89,3,0)*VLOOKUP('Données projet'!$B$12,Paramètres!$A$1:$I$89,5,0)</f>
        <v>102.52320000000002</v>
      </c>
      <c r="CA43" s="13">
        <f t="shared" si="39"/>
        <v>27.562240591342476</v>
      </c>
      <c r="CB43" s="20">
        <f t="shared" si="10"/>
        <v>226.56547569658815</v>
      </c>
      <c r="CC43" s="59">
        <f t="shared" si="11"/>
        <v>519.89880902992149</v>
      </c>
      <c r="CD43" s="59">
        <f ca="1">AVERAGE(OFFSET($CC$3,0,0,'Données projet'!$E$12+1,1))-AVERAGE(OFFSET($H$3,0,0,'Données projet'!$E$12+1,1))</f>
        <v>156.26368818265388</v>
      </c>
      <c r="CE43" s="59">
        <f t="shared" si="40"/>
        <v>56.347130462109817</v>
      </c>
      <c r="CF43" s="15">
        <f>IF(ISNA(VLOOKUP(A43,'Données projet'!$A$113:$I$133,3,0)),0,VLOOKUP(A43,'Données projet'!$A$113:$I$133,3,0))</f>
        <v>1</v>
      </c>
      <c r="CG43" s="15">
        <f>IF(ISNA(VLOOKUP(A43,'Données projet'!$A$113:$I$133,4,0)),0,VLOOKUP(A43,'Données projet'!$A$113:$I$133,4,0))</f>
        <v>27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106</v>
      </c>
      <c r="CR43" s="12">
        <f>VLOOKUP(A43,'Données projet'!$A$139:$I$159,9,0)</f>
        <v>5.2</v>
      </c>
      <c r="CS43" s="12">
        <f t="array" ref="CS43">INDEX(CR:CR,MIN(IF(ISNUMBER(CR43:CR239),ROW(CR43:CR239),"")))</f>
        <v>5.2</v>
      </c>
      <c r="CT43" s="12">
        <f>IF('Données projet'!$A$140&gt;35,CT42+CS43-DB42,IF(A43&lt;'Données projet'!$A$140,$CQ$205^A43,IF(A43='Données projet'!$A$140,'Données projet'!$B$140,CT42+CS43-DB42)))</f>
        <v>106.00000000000001</v>
      </c>
      <c r="CU43" s="17">
        <f>CT43*VLOOKUP('Données projet'!$B$13,Paramètres!$A$1:$I$89,3,0)*VLOOKUP('Données projet'!$B$13,Paramètres!$A$1:$I$89,5,0)</f>
        <v>85.987200000000016</v>
      </c>
      <c r="CV43" s="13">
        <f t="shared" si="41"/>
        <v>23.594880218992525</v>
      </c>
      <c r="CW43" s="20">
        <f t="shared" si="13"/>
        <v>190.85545638141204</v>
      </c>
      <c r="CX43" s="59">
        <f t="shared" si="14"/>
        <v>484.18878971474533</v>
      </c>
      <c r="CY43" s="59">
        <f ca="1">AVERAGE(OFFSET($CX$3,0,0,'Données projet'!$E$13+1,1))-AVERAGE(OFFSET($H$3,0,0,'Données projet'!$E$13+1,1))</f>
        <v>112.78807760743126</v>
      </c>
      <c r="CZ43" s="59">
        <f t="shared" si="42"/>
        <v>37.867745922003564</v>
      </c>
      <c r="DA43" s="15">
        <f>IF(ISNA(VLOOKUP(A43,'Données projet'!$A$139:$I$159,3,0)),0,VLOOKUP(A43,'Données projet'!$A$139:$I$159,3,0))</f>
        <v>1</v>
      </c>
      <c r="DB43" s="15">
        <f>IF(ISNA(VLOOKUP(A43,'Données projet'!$A$139:$I$159,4,0)),0,VLOOKUP(A43,'Données projet'!$A$139:$I$159,4,0))</f>
        <v>27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174</v>
      </c>
      <c r="DM43" s="12">
        <f>VLOOKUP(A43,'Données projet'!$A$165:$I$185,9,0)</f>
        <v>8.1</v>
      </c>
      <c r="DN43" s="12">
        <f t="array" ref="DN43">INDEX(DM:DM,MIN(IF(ISNUMBER(DM43:DM239),ROW(DM43:DM239),"")))</f>
        <v>8.1</v>
      </c>
      <c r="DO43" s="12">
        <f>IF('Données projet'!$A$166&gt;35,DO42+DN43-DW42,IF(A43&lt;'Données projet'!$A$166,$DL$205^A43,IF(A43='Données projet'!$A$166,'Données projet'!$B$166,DO42+DN43-DW42)))</f>
        <v>173.99999999999997</v>
      </c>
      <c r="DP43" s="17">
        <f>DO43*VLOOKUP('Données projet'!$B$14,Paramètres!$A$1:$I$89,3,0)*VLOOKUP('Données projet'!$B$14,Paramètres!$A$1:$I$89,5,0)</f>
        <v>116.71919999999999</v>
      </c>
      <c r="DQ43" s="13">
        <f t="shared" si="43"/>
        <v>30.908576435525887</v>
      </c>
      <c r="DR43" s="20">
        <f t="shared" si="16"/>
        <v>257.1183772918742</v>
      </c>
      <c r="DS43" s="59">
        <f t="shared" si="17"/>
        <v>550.45171062520751</v>
      </c>
      <c r="DT43" s="59">
        <f ca="1">AVERAGE(OFFSET($DS$3,0,0,'Données projet'!$E$14+1,1))-AVERAGE(OFFSET($H$3,0,0,'Données projet'!$E$14+1,1))</f>
        <v>107.15837202366862</v>
      </c>
      <c r="DU43" s="59">
        <f t="shared" si="44"/>
        <v>139.67031833740026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42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4.2955811354156914</v>
      </c>
      <c r="EC43" s="21">
        <f>EXP(-LN(2)/2)*EC42+(1-EXP(-LN(2)/2))/(LN(2)/2)*DW43*DZ43*VLOOKUP('Données projet'!$B$14,Paramètres!$A$1:$I$89,3,0)*0.475*44/12</f>
        <v>0.21092111111892267</v>
      </c>
      <c r="ED43" s="22">
        <f t="shared" si="18"/>
        <v>4.5065022465346143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217.7</v>
      </c>
      <c r="EH43" s="12">
        <f>VLOOKUP(A43,'Données projet'!$A$191:$I$211,9,0)</f>
        <v>7</v>
      </c>
      <c r="EI43" s="12">
        <f t="array" ref="EI43">INDEX(EH:EH,MIN(IF(ISNUMBER(EH43:EH239),ROW(EH43:EH239),"")))</f>
        <v>7</v>
      </c>
      <c r="EJ43" s="12">
        <f>IF('Données projet'!$A$192&gt;35,EJ42+EI43-ER42,IF(A43&lt;'Données projet'!$A$192,$EG$205^A43,IF(A43='Données projet'!$A$192,'Données projet'!$B$192,EJ42+EI43-ER42)))</f>
        <v>217.7</v>
      </c>
      <c r="EK43" s="17">
        <f>EJ43*VLOOKUP('Données projet'!$B$15,Paramètres!$A$1:$I$89,3,0)*VLOOKUP('Données projet'!$B$15,Paramètres!$A$1:$I$89,5,0)</f>
        <v>101.8836</v>
      </c>
      <c r="EL43" s="13">
        <f t="shared" si="45"/>
        <v>27.410250752947974</v>
      </c>
      <c r="EM43" s="20">
        <f t="shared" si="19"/>
        <v>225.18679006138439</v>
      </c>
      <c r="EN43" s="59">
        <f t="shared" si="20"/>
        <v>518.52012339471776</v>
      </c>
      <c r="EO43" s="59">
        <f ca="1">AVERAGE(OFFSET($EN$3,0,0,'Données projet'!$E$15+1,1))-AVERAGE(OFFSET($H$3,0,0,'Données projet'!$E$15+1,1))</f>
        <v>123.60520571614535</v>
      </c>
      <c r="EP43" s="59">
        <f t="shared" si="46"/>
        <v>119.00926870519527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46.3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0.71147893357646486</v>
      </c>
      <c r="EW43" s="21">
        <f>EXP(-LN(2)/25)*EW42+(1-EXP(-LN(2)/25))/(LN(2)/25)*Calculateur!ER43*Calculateur!ET43*VLOOKUP('Données projet'!$B$15,Paramètres!$A$1:$I$89,3,0)*0.475*44/12</f>
        <v>3.6201057714307407</v>
      </c>
      <c r="EX43" s="21">
        <f>EXP(-LN(2)/2)*EX42+(1-EXP(-LN(2)/2))/(LN(2)/2)*ER43*EU43*VLOOKUP('Données projet'!$B$15,Paramètres!$A$1:$I$89,3,0)*0.475*44/12</f>
        <v>0.19105345284632955</v>
      </c>
      <c r="EY43" s="22">
        <f t="shared" si="21"/>
        <v>4.5226381578535353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344</v>
      </c>
      <c r="FC43" s="12">
        <f>VLOOKUP(A43,'Données projet'!$A$217:$I$237,9,0)</f>
        <v>17.600000000000001</v>
      </c>
      <c r="FD43" s="12">
        <f t="array" ref="FD43">INDEX(FC:FC,MIN(IF(ISNUMBER(FC43:FC239),ROW(FC43:FC239),"")))</f>
        <v>17.600000000000001</v>
      </c>
      <c r="FE43" s="12">
        <f>IF('Données projet'!$A$218&gt;35,FE42+FD43-FM42,IF(A43&lt;'Données projet'!$A$218,$FB$205^A43,IF(A43='Données projet'!$A$218,'Données projet'!$B$218,FE42+FD43-FM42)))</f>
        <v>344.00000000000006</v>
      </c>
      <c r="FF43" s="17">
        <f>FE43*VLOOKUP('Données projet'!$B$16,Paramètres!$A$1:$I$89,3,0)*VLOOKUP('Données projet'!$B$16,Paramètres!$A$1:$I$89,5,0)</f>
        <v>165.46400000000003</v>
      </c>
      <c r="FG43" s="13">
        <f t="shared" si="47"/>
        <v>42.072516963924798</v>
      </c>
      <c r="FH43" s="20">
        <f t="shared" si="22"/>
        <v>361.45943371216907</v>
      </c>
      <c r="FI43" s="59">
        <f t="shared" si="23"/>
        <v>654.79276704550239</v>
      </c>
      <c r="FJ43" s="59">
        <f ca="1">AVERAGE(OFFSET($FI$3,0,0,'Données projet'!$E$16+1,1))-AVERAGE(OFFSET($H$3,0,0,'Données projet'!$E$16+1,1))</f>
        <v>197.66963254934603</v>
      </c>
      <c r="FK43" s="59">
        <f t="shared" si="48"/>
        <v>158.08388141976138</v>
      </c>
      <c r="FL43" s="15">
        <f>IF(ISNA(VLOOKUP(A43,'Données projet'!$A$217:$I$237,3,0)),0,VLOOKUP(A43,'Données projet'!$A$217:$I$237,3,0))</f>
        <v>2</v>
      </c>
      <c r="FM43" s="15">
        <f>IF(ISNA(VLOOKUP(A43,'Données projet'!$A$217:$I$237,4,0)),0,VLOOKUP(A43,'Données projet'!$A$217:$I$237,4,0))</f>
        <v>84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2.1879688989687431</v>
      </c>
      <c r="FR43" s="21">
        <f>EXP(-LN(2)/25)*FR42+(1-EXP(-LN(2)/25))/(LN(2)/25)*Calculateur!FM43*Calculateur!FO43*VLOOKUP('Données projet'!$B$16,Paramètres!$A$1:$I$89,3,0)*0.475*44/12</f>
        <v>4.0267470931201146</v>
      </c>
      <c r="FS43" s="21">
        <f>EXP(-LN(2)/2)*FS42+(1-EXP(-LN(2)/2))/(LN(2)/2)*FM43*FP43*VLOOKUP('Données projet'!$B$16,Paramètres!$A$1:$I$89,3,0)*0.475*44/12</f>
        <v>0.25868677417735936</v>
      </c>
      <c r="FT43" s="22">
        <f t="shared" si="24"/>
        <v>6.4734027662662168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233</v>
      </c>
      <c r="FX43" s="12">
        <f>VLOOKUP(A43,'Données projet'!$A$243:$I$263,9,0)</f>
        <v>11</v>
      </c>
      <c r="FY43" s="12">
        <f t="array" ref="FY43">INDEX(FX:FX,MIN(IF(ISNUMBER(FX43:FX239),ROW(FX43:FX239),"")))</f>
        <v>11</v>
      </c>
      <c r="FZ43" s="12">
        <f>IF('Données projet'!$A$244&gt;35,FZ42+FY43-GH42,IF(A43&lt;'Données projet'!$A$244,$FW$205^A43,IF(A43='Données projet'!$A$244,'Données projet'!$B$244,FZ42+FY43-GH42)))</f>
        <v>232.99999999999997</v>
      </c>
      <c r="GA43" s="17">
        <f>FZ43*VLOOKUP('Données projet'!$B$17,Paramètres!$A$1:$I$89,3,0)*VLOOKUP('Données projet'!$B$17,Paramètres!$A$1:$I$89,5,0)</f>
        <v>139.334</v>
      </c>
      <c r="GB43" s="13">
        <f t="shared" si="49"/>
        <v>36.144391930570897</v>
      </c>
      <c r="GC43" s="20">
        <f t="shared" si="25"/>
        <v>305.62486594574432</v>
      </c>
      <c r="GD43" s="59">
        <f t="shared" si="26"/>
        <v>598.95819927907769</v>
      </c>
      <c r="GE43" s="59">
        <f ca="1">AVERAGE(OFFSET($GD$3,0,0,'Données projet'!$E$17+1,1))-AVERAGE(OFFSET($H$3,0,0,'Données projet'!$E$17+1,1))</f>
        <v>165.39579887388538</v>
      </c>
      <c r="GF43" s="59">
        <f t="shared" si="50"/>
        <v>155.89639262545802</v>
      </c>
      <c r="GG43" s="15">
        <f>IF(ISNA(VLOOKUP(A43,'Données projet'!$A$243:$I$263,3,0)),0,VLOOKUP(A43,'Données projet'!$A$243:$I$263,3,0))</f>
        <v>2</v>
      </c>
      <c r="GH43" s="15">
        <f>IF(ISNA(VLOOKUP(A43,'Données projet'!$A$243:$I$263,4,0)),0,VLOOKUP(A43,'Données projet'!$A$243:$I$263,4,0))</f>
        <v>56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5.5242148227257237</v>
      </c>
      <c r="GN43" s="21">
        <f>EXP(-LN(2)/2)*GN42+(1-EXP(-LN(2)/2))/(LN(2)/2)*GH43*GK43*VLOOKUP('Données projet'!$B$17,Paramètres!$A$1:$I$89,3,0)*0.475*44/12</f>
        <v>0.43375111673052974</v>
      </c>
      <c r="GO43" s="21">
        <f t="shared" si="27"/>
        <v>5.9579659394562539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106</v>
      </c>
      <c r="GS43" s="12">
        <f>VLOOKUP(A43,'Données projet'!$A$269:$I$289,9,0)</f>
        <v>5.2</v>
      </c>
      <c r="GT43" s="12">
        <f t="array" ref="GT43">INDEX(GS:GS,MIN(IF(ISNUMBER(GS43:GS239),ROW(GS43:GS239),"")))</f>
        <v>5.2</v>
      </c>
      <c r="GU43" s="12">
        <f>IF('Données projet'!$A$270&gt;35,GU42+GT43-HC42,IF(A43&lt;'Données projet'!$A$270,$GR$205^A43,IF(A43='Données projet'!$A$270,'Données projet'!$B$270,GU42+GT43-HC42)))</f>
        <v>106.00000000000001</v>
      </c>
      <c r="GV43" s="17">
        <f>GU43*VLOOKUP('Données projet'!$B$18,Paramètres!$A$1:$I$89,3,0)*VLOOKUP('Données projet'!$B$18,Paramètres!$A$1:$I$89,5,0)</f>
        <v>114.0984</v>
      </c>
      <c r="GW43" s="13">
        <f t="shared" si="51"/>
        <v>30.294534186150837</v>
      </c>
      <c r="GX43" s="20">
        <f t="shared" si="28"/>
        <v>251.48436037421268</v>
      </c>
      <c r="GY43" s="59">
        <f t="shared" si="29"/>
        <v>544.81769370754603</v>
      </c>
      <c r="GZ43" s="59">
        <f ca="1">AVERAGE(OFFSET($GY$3,0,0,'Données projet'!$E$18+1,1))-AVERAGE(OFFSET($H$3,0,0,'Données projet'!$E$18+1,1))</f>
        <v>186.60545265015247</v>
      </c>
      <c r="HA43" s="59">
        <f t="shared" si="52"/>
        <v>69.239647548491234</v>
      </c>
      <c r="HB43" s="15">
        <f>IF(ISNA(VLOOKUP(A43,'Données projet'!$A$269:$I$289,3,0)),0,VLOOKUP(A43,'Données projet'!$A$269:$I$289,3,0))</f>
        <v>1</v>
      </c>
      <c r="HC43" s="15">
        <f>IF(ISNA(VLOOKUP(A43,'Données projet'!$A$269:$I$289,4,0)),0,VLOOKUP(A43,'Données projet'!$A$269:$I$289,4,0))</f>
        <v>27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0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15.5</v>
      </c>
      <c r="N44" s="13">
        <f>IF('Données projet'!$A$36&gt;35,N43+M44-V43,IF(A44&lt;'Données projet'!$A$36,$K$205^A44,IF(A44='Données projet'!$A$36,'Données projet'!$B$36,N43+M44-V43)))</f>
        <v>260.50000000000011</v>
      </c>
      <c r="O44" s="13">
        <f>N44*VLOOKUP('Données projet'!$B$9,Paramètres!$A$1:$I$89,3,0)*VLOOKUP('Données projet'!$B$9,Paramètres!$A$1:$I$89,5,0)</f>
        <v>145.61950000000007</v>
      </c>
      <c r="P44" s="13">
        <f t="shared" si="33"/>
        <v>37.581390641176142</v>
      </c>
      <c r="Q44" s="20">
        <f t="shared" si="53"/>
        <v>319.07488453338192</v>
      </c>
      <c r="R44" s="59">
        <f t="shared" si="0"/>
        <v>612.40821786671518</v>
      </c>
      <c r="S44" s="59">
        <f ca="1">AVERAGE(OFFSET($R$3,0,0,'Données projet'!$E$9+1,1))-AVERAGE(OFFSET($H$3,0,0,'Données projet'!$E$9+1,1))</f>
        <v>235.10258076192054</v>
      </c>
      <c r="T44" s="59">
        <f t="shared" si="34"/>
        <v>233.47316052603765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2.7553242383221423</v>
      </c>
      <c r="AA44" s="21">
        <f>EXP(-LN(2)/25)*AA43+(1-EXP(-LN(2)/25))/(LN(2)/25)*Calculateur!V44*Calculateur!X44*VLOOKUP('Données projet'!$B$9,Paramètres!$A$1:$I$89,3,0)*0.475*44/12</f>
        <v>13.588991481021013</v>
      </c>
      <c r="AB44" s="21">
        <f>EXP(-LN(2)/2)*AB43+(1-EXP(-LN(2)/2))/(LN(2)/2)*V44*Y44*VLOOKUP('Données projet'!$B$9,Paramètres!$A$1:$I$89,3,0)*0.475*44/12</f>
        <v>0.53302773632607947</v>
      </c>
      <c r="AC44" s="22">
        <f t="shared" si="3"/>
        <v>16.877343455669237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9.9</v>
      </c>
      <c r="AI44" s="13">
        <f>IF('Données projet'!$A$62&gt;35,AI43+AH44-AQ43,IF(A44&lt;'Données projet'!$A$62,$AF$205^A44,IF(A44='Données projet'!$A$62,'Données projet'!$B$62,AI43+AH44-AQ43)))</f>
        <v>212.89999999999998</v>
      </c>
      <c r="AJ44" s="13">
        <f>AI44*VLOOKUP('Données projet'!$B$10,Paramètres!$A$1:$I$89,3,0)*VLOOKUP('Données projet'!$B$10,Paramètres!$A$1:$I$89,5,0)</f>
        <v>116.24339999999999</v>
      </c>
      <c r="AK44" s="13">
        <f t="shared" si="35"/>
        <v>30.79721879349761</v>
      </c>
      <c r="AL44" s="20">
        <f t="shared" si="4"/>
        <v>256.09574439867498</v>
      </c>
      <c r="AM44" s="59">
        <f t="shared" si="5"/>
        <v>549.4290777320083</v>
      </c>
      <c r="AN44" s="59">
        <f ca="1">AVERAGE(OFFSET($AM$3,0,0,'Données projet'!$E$10+1,1))-AVERAGE(OFFSET($H$3,0,0,'Données projet'!$E$10+1,1))</f>
        <v>168.72306536277267</v>
      </c>
      <c r="AO44" s="59">
        <f t="shared" si="36"/>
        <v>203.35476578922339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2.4465881185947138</v>
      </c>
      <c r="AV44" s="21">
        <f>EXP(-LN(2)/25)*AV43+(1-EXP(-LN(2)/25))/(LN(2)/25)*Calculateur!AQ44*Calculateur!AS44*VLOOKUP('Données projet'!$B$10,Paramètres!$A$1:$I$89,3,0)*0.475*44/12</f>
        <v>16.943054862306255</v>
      </c>
      <c r="AW44" s="21">
        <f>EXP(-LN(2)/2)*AW43+(1-EXP(-LN(2)/2))/(LN(2)/2)*AQ44*AT44*VLOOKUP('Données projet'!$B$10,Paramètres!$A$1:$I$89,3,0)*0.475*44/12</f>
        <v>0.4424686791224578</v>
      </c>
      <c r="AX44" s="21">
        <f t="shared" si="6"/>
        <v>19.832111660023429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10.7</v>
      </c>
      <c r="BD44" s="12">
        <f>IF('Données projet'!$A$88&gt;35,BD43+BC44-BL43,IF(A44&lt;'Données projet'!$A$88,$BA$205^A44,IF(A44='Données projet'!$A$88,'Données projet'!$B$88,BD43+BC44-BL43)))</f>
        <v>187.69999999999996</v>
      </c>
      <c r="BE44" s="13">
        <f>BD44*VLOOKUP('Données projet'!$B$11,Paramètres!$A$1:$I$89,3,0)*VLOOKUP('Données projet'!$B$11,Paramètres!$A$1:$I$89,5,0)</f>
        <v>112.24459999999998</v>
      </c>
      <c r="BF44" s="13">
        <f t="shared" si="37"/>
        <v>29.859206502823753</v>
      </c>
      <c r="BG44" s="20">
        <f t="shared" si="7"/>
        <v>247.49746299241795</v>
      </c>
      <c r="BH44" s="59">
        <f t="shared" si="8"/>
        <v>540.83079632575129</v>
      </c>
      <c r="BI44" s="59">
        <f ca="1">AVERAGE(OFFSET($BH$3,0,0,'Données projet'!$E$11+1,1))-AVERAGE(OFFSET($H$3,0,0,'Données projet'!$E$11+1,1))</f>
        <v>165.39579887388538</v>
      </c>
      <c r="BJ44" s="59">
        <f t="shared" si="38"/>
        <v>155.89639262545802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5.3731548778924569</v>
      </c>
      <c r="BR44" s="21">
        <f>EXP(-LN(2)/2)*BR43+(1-EXP(-LN(2)/2))/(LN(2)/2)*BL44*BO44*VLOOKUP('Données projet'!$B$11,Paramètres!$A$1:$I$89,3,0)*0.475*44/12</f>
        <v>0.30670835598739532</v>
      </c>
      <c r="BS44" s="22">
        <f t="shared" si="9"/>
        <v>5.6798632338798525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5.6</v>
      </c>
      <c r="BY44" s="12">
        <f>IF('Données projet'!$A$114&gt;35,BY43+BX44-CG43,IF(A44&lt;'Données projet'!$A$114,$BV$205^A44,IF(A44='Données projet'!$A$114,'Données projet'!$B$114,BY43+BX44-CG43)))</f>
        <v>84.600000000000009</v>
      </c>
      <c r="BZ44" s="13">
        <f>BY44*VLOOKUP('Données projet'!$B$12,Paramètres!$A$1:$I$89,3,0)*VLOOKUP('Données projet'!$B$12,Paramètres!$A$1:$I$89,5,0)</f>
        <v>81.825120000000013</v>
      </c>
      <c r="CA44" s="13">
        <f t="shared" si="39"/>
        <v>22.58284790619167</v>
      </c>
      <c r="CB44" s="20">
        <f t="shared" si="10"/>
        <v>181.84387743661719</v>
      </c>
      <c r="CC44" s="59">
        <f t="shared" si="11"/>
        <v>475.17721076995053</v>
      </c>
      <c r="CD44" s="59">
        <f ca="1">AVERAGE(OFFSET($CC$3,0,0,'Données projet'!$E$12+1,1))-AVERAGE(OFFSET($H$3,0,0,'Données projet'!$E$12+1,1))</f>
        <v>156.26368818265388</v>
      </c>
      <c r="CE44" s="59">
        <f t="shared" si="40"/>
        <v>56.347130462109817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84.600000000000009</v>
      </c>
      <c r="CU44" s="17">
        <f>CT44*VLOOKUP('Données projet'!$B$13,Paramètres!$A$1:$I$89,3,0)*VLOOKUP('Données projet'!$B$13,Paramètres!$A$1:$I$89,5,0)</f>
        <v>68.627520000000004</v>
      </c>
      <c r="CV44" s="13">
        <f t="shared" si="41"/>
        <v>19.332230613997595</v>
      </c>
      <c r="CW44" s="20">
        <f t="shared" si="13"/>
        <v>153.19656565271248</v>
      </c>
      <c r="CX44" s="59">
        <f t="shared" si="14"/>
        <v>446.52989898604579</v>
      </c>
      <c r="CY44" s="59">
        <f ca="1">AVERAGE(OFFSET($CX$3,0,0,'Données projet'!$E$13+1,1))-AVERAGE(OFFSET($H$3,0,0,'Données projet'!$E$13+1,1))</f>
        <v>112.78807760743126</v>
      </c>
      <c r="CZ44" s="59">
        <f t="shared" si="42"/>
        <v>37.867745922003564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6</v>
      </c>
      <c r="DO44" s="12">
        <f>IF('Données projet'!$A$166&gt;35,DO43+DN44-DW43,IF(A44&lt;'Données projet'!$A$166,$DL$205^A44,IF(A44='Données projet'!$A$166,'Données projet'!$B$166,DO43+DN44-DW43)))</f>
        <v>137.99999999999997</v>
      </c>
      <c r="DP44" s="17">
        <f>DO44*VLOOKUP('Données projet'!$B$14,Paramètres!$A$1:$I$89,3,0)*VLOOKUP('Données projet'!$B$14,Paramètres!$A$1:$I$89,5,0)</f>
        <v>92.570399999999992</v>
      </c>
      <c r="DQ44" s="13">
        <f t="shared" si="43"/>
        <v>25.184123943972491</v>
      </c>
      <c r="DR44" s="20">
        <f t="shared" si="16"/>
        <v>205.08912920241872</v>
      </c>
      <c r="DS44" s="59">
        <f t="shared" si="17"/>
        <v>498.42246253575206</v>
      </c>
      <c r="DT44" s="59">
        <f ca="1">AVERAGE(OFFSET($DS$3,0,0,'Données projet'!$E$14+1,1))-AVERAGE(OFFSET($H$3,0,0,'Données projet'!$E$14+1,1))</f>
        <v>107.15837202366862</v>
      </c>
      <c r="DU44" s="59">
        <f t="shared" si="44"/>
        <v>139.67031833740026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4.1781182433729551</v>
      </c>
      <c r="EC44" s="21">
        <f>EXP(-LN(2)/2)*EC43+(1-EXP(-LN(2)/2))/(LN(2)/2)*DW44*DZ44*VLOOKUP('Données projet'!$B$14,Paramètres!$A$1:$I$89,3,0)*0.475*44/12</f>
        <v>0.14914374796759153</v>
      </c>
      <c r="ED44" s="22">
        <f t="shared" si="18"/>
        <v>4.3272619913405466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7.0000000000000027</v>
      </c>
      <c r="EJ44" s="12">
        <f>IF('Données projet'!$A$192&gt;35,EJ43+EI44-ER43,IF(A44&lt;'Données projet'!$A$192,$EG$205^A44,IF(A44='Données projet'!$A$192,'Données projet'!$B$192,EJ43+EI44-ER43)))</f>
        <v>178.39999999999998</v>
      </c>
      <c r="EK44" s="17">
        <f>EJ44*VLOOKUP('Données projet'!$B$15,Paramètres!$A$1:$I$89,3,0)*VLOOKUP('Données projet'!$B$15,Paramètres!$A$1:$I$89,5,0)</f>
        <v>83.491199999999992</v>
      </c>
      <c r="EL44" s="13">
        <f t="shared" si="45"/>
        <v>22.988667039592098</v>
      </c>
      <c r="EM44" s="20">
        <f t="shared" si="19"/>
        <v>185.45243509395621</v>
      </c>
      <c r="EN44" s="59">
        <f t="shared" si="20"/>
        <v>478.78576842728955</v>
      </c>
      <c r="EO44" s="59">
        <f ca="1">AVERAGE(OFFSET($EN$3,0,0,'Données projet'!$E$15+1,1))-AVERAGE(OFFSET($H$3,0,0,'Données projet'!$E$15+1,1))</f>
        <v>123.60520571614535</v>
      </c>
      <c r="EP44" s="59">
        <f t="shared" si="46"/>
        <v>119.00926870519527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0.6975272656483299</v>
      </c>
      <c r="EW44" s="21">
        <f>EXP(-LN(2)/25)*EW43+(1-EXP(-LN(2)/25))/(LN(2)/25)*Calculateur!ER44*Calculateur!ET44*VLOOKUP('Données projet'!$B$15,Paramètres!$A$1:$I$89,3,0)*0.475*44/12</f>
        <v>3.5211137887378783</v>
      </c>
      <c r="EX44" s="21">
        <f>EXP(-LN(2)/2)*EX43+(1-EXP(-LN(2)/2))/(LN(2)/2)*ER44*EU44*VLOOKUP('Données projet'!$B$15,Paramètres!$A$1:$I$89,3,0)*0.475*44/12</f>
        <v>0.13509519207674392</v>
      </c>
      <c r="EY44" s="22">
        <f t="shared" si="21"/>
        <v>4.3537362464629519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6.9</v>
      </c>
      <c r="FE44" s="12">
        <f>IF('Données projet'!$A$218&gt;35,FE43+FD44-FM43,IF(A44&lt;'Données projet'!$A$218,$FB$205^A44,IF(A44='Données projet'!$A$218,'Données projet'!$B$218,FE43+FD44-FM43)))</f>
        <v>266.90000000000003</v>
      </c>
      <c r="FF44" s="17">
        <f>FE44*VLOOKUP('Données projet'!$B$16,Paramètres!$A$1:$I$89,3,0)*VLOOKUP('Données projet'!$B$16,Paramètres!$A$1:$I$89,5,0)</f>
        <v>128.37890000000002</v>
      </c>
      <c r="FG44" s="13">
        <f t="shared" si="47"/>
        <v>33.621497589880512</v>
      </c>
      <c r="FH44" s="20">
        <f t="shared" si="22"/>
        <v>282.15069246904187</v>
      </c>
      <c r="FI44" s="59">
        <f t="shared" si="23"/>
        <v>575.48402580237519</v>
      </c>
      <c r="FJ44" s="59">
        <f ca="1">AVERAGE(OFFSET($FI$3,0,0,'Données projet'!$E$16+1,1))-AVERAGE(OFFSET($H$3,0,0,'Données projet'!$E$16+1,1))</f>
        <v>197.66963254934603</v>
      </c>
      <c r="FK44" s="59">
        <f t="shared" si="48"/>
        <v>158.08388141976138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2.1450641633892205</v>
      </c>
      <c r="FR44" s="21">
        <f>EXP(-LN(2)/25)*FR43+(1-EXP(-LN(2)/25))/(LN(2)/25)*Calculateur!FM44*Calculateur!FO44*VLOOKUP('Données projet'!$B$16,Paramètres!$A$1:$I$89,3,0)*0.475*44/12</f>
        <v>3.9166354821013187</v>
      </c>
      <c r="FS44" s="21">
        <f>EXP(-LN(2)/2)*FS43+(1-EXP(-LN(2)/2))/(LN(2)/2)*FM44*FP44*VLOOKUP('Données projet'!$B$16,Paramètres!$A$1:$I$89,3,0)*0.475*44/12</f>
        <v>0.18291917222408388</v>
      </c>
      <c r="FT44" s="22">
        <f t="shared" si="24"/>
        <v>6.2446188177146231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10.7</v>
      </c>
      <c r="FZ44" s="12">
        <f>IF('Données projet'!$A$244&gt;35,FZ43+FY44-GH43,IF(A44&lt;'Données projet'!$A$244,$FW$205^A44,IF(A44='Données projet'!$A$244,'Données projet'!$B$244,FZ43+FY44-GH43)))</f>
        <v>187.69999999999996</v>
      </c>
      <c r="GA44" s="17">
        <f>FZ44*VLOOKUP('Données projet'!$B$17,Paramètres!$A$1:$I$89,3,0)*VLOOKUP('Données projet'!$B$17,Paramètres!$A$1:$I$89,5,0)</f>
        <v>112.24459999999998</v>
      </c>
      <c r="GB44" s="13">
        <f t="shared" si="49"/>
        <v>29.859206502823753</v>
      </c>
      <c r="GC44" s="20">
        <f t="shared" si="25"/>
        <v>247.49746299241795</v>
      </c>
      <c r="GD44" s="59">
        <f t="shared" si="26"/>
        <v>540.83079632575129</v>
      </c>
      <c r="GE44" s="59">
        <f ca="1">AVERAGE(OFFSET($GD$3,0,0,'Données projet'!$E$17+1,1))-AVERAGE(OFFSET($H$3,0,0,'Données projet'!$E$17+1,1))</f>
        <v>165.39579887388538</v>
      </c>
      <c r="GF44" s="59">
        <f t="shared" si="50"/>
        <v>155.89639262545802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5.3731548778924569</v>
      </c>
      <c r="GN44" s="21">
        <f>EXP(-LN(2)/2)*GN43+(1-EXP(-LN(2)/2))/(LN(2)/2)*GH44*GK44*VLOOKUP('Données projet'!$B$17,Paramètres!$A$1:$I$89,3,0)*0.475*44/12</f>
        <v>0.30670835598739532</v>
      </c>
      <c r="GO44" s="21">
        <f t="shared" si="27"/>
        <v>5.6798632338798525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5.6</v>
      </c>
      <c r="GU44" s="12">
        <f>IF('Données projet'!$A$270&gt;35,GU43+GT44-HC43,IF(A44&lt;'Données projet'!$A$270,$GR$205^A44,IF(A44='Données projet'!$A$270,'Données projet'!$B$270,GU43+GT44-HC43)))</f>
        <v>84.600000000000009</v>
      </c>
      <c r="GV44" s="17">
        <f>GU44*VLOOKUP('Données projet'!$B$18,Paramètres!$A$1:$I$89,3,0)*VLOOKUP('Données projet'!$B$18,Paramètres!$A$1:$I$89,5,0)</f>
        <v>91.06344</v>
      </c>
      <c r="GW44" s="13">
        <f t="shared" si="51"/>
        <v>24.821525508693981</v>
      </c>
      <c r="GX44" s="20">
        <f t="shared" si="28"/>
        <v>201.83298159430865</v>
      </c>
      <c r="GY44" s="59">
        <f t="shared" si="29"/>
        <v>495.16631492764196</v>
      </c>
      <c r="GZ44" s="59">
        <f ca="1">AVERAGE(OFFSET($GY$3,0,0,'Données projet'!$E$18+1,1))-AVERAGE(OFFSET($H$3,0,0,'Données projet'!$E$18+1,1))</f>
        <v>186.60545265015247</v>
      </c>
      <c r="HA44" s="59">
        <f t="shared" si="52"/>
        <v>69.239647548491234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0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15.5</v>
      </c>
      <c r="N45" s="13">
        <f>IF('Données projet'!$A$36&gt;35,N44+M45-V44,IF(A45&lt;'Données projet'!$A$36,$K$205^A45,IF(A45='Données projet'!$A$36,'Données projet'!$B$36,N44+M45-V44)))</f>
        <v>276.00000000000011</v>
      </c>
      <c r="O45" s="13">
        <f>N45*VLOOKUP('Données projet'!$B$9,Paramètres!$A$1:$I$89,3,0)*VLOOKUP('Données projet'!$B$9,Paramètres!$A$1:$I$89,5,0)</f>
        <v>154.28400000000008</v>
      </c>
      <c r="P45" s="13">
        <f t="shared" si="33"/>
        <v>39.550538702561035</v>
      </c>
      <c r="Q45" s="20">
        <f t="shared" si="53"/>
        <v>337.59515490696054</v>
      </c>
      <c r="R45" s="59">
        <f t="shared" si="0"/>
        <v>630.92848824029386</v>
      </c>
      <c r="S45" s="59">
        <f ca="1">AVERAGE(OFFSET($R$3,0,0,'Données projet'!$E$9+1,1))-AVERAGE(OFFSET($H$3,0,0,'Données projet'!$E$9+1,1))</f>
        <v>235.10258076192054</v>
      </c>
      <c r="T45" s="59">
        <f t="shared" si="34"/>
        <v>233.47316052603765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2.701294010590487</v>
      </c>
      <c r="AA45" s="21">
        <f>EXP(-LN(2)/25)*AA44+(1-EXP(-LN(2)/25))/(LN(2)/25)*Calculateur!V45*Calculateur!X45*VLOOKUP('Données projet'!$B$9,Paramètres!$A$1:$I$89,3,0)*0.475*44/12</f>
        <v>13.21739979435849</v>
      </c>
      <c r="AB45" s="21">
        <f>EXP(-LN(2)/2)*AB44+(1-EXP(-LN(2)/2))/(LN(2)/2)*V45*Y45*VLOOKUP('Données projet'!$B$9,Paramètres!$A$1:$I$89,3,0)*0.475*44/12</f>
        <v>0.37690752691668583</v>
      </c>
      <c r="AC45" s="22">
        <f t="shared" si="3"/>
        <v>16.295601331865665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9.9</v>
      </c>
      <c r="AI45" s="13">
        <f>IF('Données projet'!$A$62&gt;35,AI44+AH45-AQ44,IF(A45&lt;'Données projet'!$A$62,$AF$205^A45,IF(A45='Données projet'!$A$62,'Données projet'!$B$62,AI44+AH45-AQ44)))</f>
        <v>222.79999999999998</v>
      </c>
      <c r="AJ45" s="13">
        <f>AI45*VLOOKUP('Données projet'!$B$10,Paramètres!$A$1:$I$89,3,0)*VLOOKUP('Données projet'!$B$10,Paramètres!$A$1:$I$89,5,0)</f>
        <v>121.64879999999999</v>
      </c>
      <c r="AK45" s="13">
        <f t="shared" si="35"/>
        <v>32.059248862040441</v>
      </c>
      <c r="AL45" s="20">
        <f t="shared" si="4"/>
        <v>267.70818510138707</v>
      </c>
      <c r="AM45" s="59">
        <f t="shared" si="5"/>
        <v>561.04151843472039</v>
      </c>
      <c r="AN45" s="59">
        <f ca="1">AVERAGE(OFFSET($AM$3,0,0,'Données projet'!$E$10+1,1))-AVERAGE(OFFSET($H$3,0,0,'Données projet'!$E$10+1,1))</f>
        <v>168.72306536277267</v>
      </c>
      <c r="AO45" s="59">
        <f t="shared" si="36"/>
        <v>203.35476578922339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2.3986120178604744</v>
      </c>
      <c r="AV45" s="21">
        <f>EXP(-LN(2)/25)*AV44+(1-EXP(-LN(2)/25))/(LN(2)/25)*Calculateur!AQ45*Calculateur!AS45*VLOOKUP('Données projet'!$B$10,Paramètres!$A$1:$I$89,3,0)*0.475*44/12</f>
        <v>16.479746136099958</v>
      </c>
      <c r="AW45" s="21">
        <f>EXP(-LN(2)/2)*AW44+(1-EXP(-LN(2)/2))/(LN(2)/2)*AQ45*AT45*VLOOKUP('Données projet'!$B$10,Paramètres!$A$1:$I$89,3,0)*0.475*44/12</f>
        <v>0.31287260347014451</v>
      </c>
      <c r="AX45" s="21">
        <f t="shared" si="6"/>
        <v>19.191230757430578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10.7</v>
      </c>
      <c r="BD45" s="12">
        <f>IF('Données projet'!$A$88&gt;35,BD44+BC45-BL44,IF(A45&lt;'Données projet'!$A$88,$BA$205^A45,IF(A45='Données projet'!$A$88,'Données projet'!$B$88,BD44+BC45-BL44)))</f>
        <v>198.39999999999995</v>
      </c>
      <c r="BE45" s="13">
        <f>BD45*VLOOKUP('Données projet'!$B$11,Paramètres!$A$1:$I$89,3,0)*VLOOKUP('Données projet'!$B$11,Paramètres!$A$1:$I$89,5,0)</f>
        <v>118.64319999999998</v>
      </c>
      <c r="BF45" s="13">
        <f t="shared" si="37"/>
        <v>31.35833885368346</v>
      </c>
      <c r="BG45" s="20">
        <f t="shared" si="7"/>
        <v>261.25268017016526</v>
      </c>
      <c r="BH45" s="59">
        <f t="shared" si="8"/>
        <v>554.58601350349863</v>
      </c>
      <c r="BI45" s="59">
        <f ca="1">AVERAGE(OFFSET($BH$3,0,0,'Données projet'!$E$11+1,1))-AVERAGE(OFFSET($H$3,0,0,'Données projet'!$E$11+1,1))</f>
        <v>165.39579887388538</v>
      </c>
      <c r="BJ45" s="59">
        <f t="shared" si="38"/>
        <v>155.89639262545802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5.2262256751945531</v>
      </c>
      <c r="BR45" s="21">
        <f>EXP(-LN(2)/2)*BR44+(1-EXP(-LN(2)/2))/(LN(2)/2)*BL45*BO45*VLOOKUP('Données projet'!$B$11,Paramètres!$A$1:$I$89,3,0)*0.475*44/12</f>
        <v>0.21687555836526487</v>
      </c>
      <c r="BS45" s="22">
        <f t="shared" si="9"/>
        <v>5.4431012335598181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5.6</v>
      </c>
      <c r="BY45" s="12">
        <f>IF('Données projet'!$A$114&gt;35,BY44+BX45-CG44,IF(A45&lt;'Données projet'!$A$114,$BV$205^A45,IF(A45='Données projet'!$A$114,'Données projet'!$B$114,BY44+BX45-CG44)))</f>
        <v>90.2</v>
      </c>
      <c r="BZ45" s="13">
        <f>BY45*VLOOKUP('Données projet'!$B$12,Paramètres!$A$1:$I$89,3,0)*VLOOKUP('Données projet'!$B$12,Paramètres!$A$1:$I$89,5,0)</f>
        <v>87.241439999999997</v>
      </c>
      <c r="CA45" s="13">
        <f t="shared" si="39"/>
        <v>23.898726182438701</v>
      </c>
      <c r="CB45" s="20">
        <f t="shared" si="10"/>
        <v>193.56912276774736</v>
      </c>
      <c r="CC45" s="59">
        <f t="shared" si="11"/>
        <v>486.9024561010807</v>
      </c>
      <c r="CD45" s="59">
        <f ca="1">AVERAGE(OFFSET($CC$3,0,0,'Données projet'!$E$12+1,1))-AVERAGE(OFFSET($H$3,0,0,'Données projet'!$E$12+1,1))</f>
        <v>156.26368818265388</v>
      </c>
      <c r="CE45" s="59">
        <f t="shared" si="40"/>
        <v>56.347130462109817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</v>
      </c>
      <c r="CU45" s="17">
        <f>CT45*VLOOKUP('Données projet'!$B$13,Paramètres!$A$1:$I$89,3,0)*VLOOKUP('Données projet'!$B$13,Paramètres!$A$1:$I$89,5,0)</f>
        <v>73.170240000000007</v>
      </c>
      <c r="CV45" s="13">
        <f t="shared" si="41"/>
        <v>20.458698914277051</v>
      </c>
      <c r="CW45" s="20">
        <f t="shared" si="13"/>
        <v>163.07040194236586</v>
      </c>
      <c r="CX45" s="59">
        <f t="shared" si="14"/>
        <v>456.4037352756992</v>
      </c>
      <c r="CY45" s="59">
        <f ca="1">AVERAGE(OFFSET($CX$3,0,0,'Données projet'!$E$13+1,1))-AVERAGE(OFFSET($H$3,0,0,'Données projet'!$E$13+1,1))</f>
        <v>112.78807760743126</v>
      </c>
      <c r="CZ45" s="59">
        <f t="shared" si="42"/>
        <v>37.867745922003564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6</v>
      </c>
      <c r="DO45" s="12">
        <f>IF('Données projet'!$A$166&gt;35,DO44+DN45-DW44,IF(A45&lt;'Données projet'!$A$166,$DL$205^A45,IF(A45='Données projet'!$A$166,'Données projet'!$B$166,DO44+DN45-DW44)))</f>
        <v>143.99999999999997</v>
      </c>
      <c r="DP45" s="17">
        <f>DO45*VLOOKUP('Données projet'!$B$14,Paramètres!$A$1:$I$89,3,0)*VLOOKUP('Données projet'!$B$14,Paramètres!$A$1:$I$89,5,0)</f>
        <v>96.595199999999977</v>
      </c>
      <c r="DQ45" s="13">
        <f t="shared" si="43"/>
        <v>26.149222795600728</v>
      </c>
      <c r="DR45" s="20">
        <f t="shared" si="16"/>
        <v>213.77986970233792</v>
      </c>
      <c r="DS45" s="59">
        <f t="shared" si="17"/>
        <v>507.11320303567123</v>
      </c>
      <c r="DT45" s="59">
        <f ca="1">AVERAGE(OFFSET($DS$3,0,0,'Données projet'!$E$14+1,1))-AVERAGE(OFFSET($H$3,0,0,'Données projet'!$E$14+1,1))</f>
        <v>107.15837202366862</v>
      </c>
      <c r="DU45" s="59">
        <f t="shared" si="44"/>
        <v>139.67031833740026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4.0638673802902323</v>
      </c>
      <c r="EC45" s="21">
        <f>EXP(-LN(2)/2)*EC44+(1-EXP(-LN(2)/2))/(LN(2)/2)*DW45*DZ45*VLOOKUP('Données projet'!$B$14,Paramètres!$A$1:$I$89,3,0)*0.475*44/12</f>
        <v>0.10546055555946134</v>
      </c>
      <c r="ED45" s="22">
        <f t="shared" si="18"/>
        <v>4.1693279358496937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7.0000000000000027</v>
      </c>
      <c r="EJ45" s="12">
        <f>IF('Données projet'!$A$192&gt;35,EJ44+EI45-ER44,IF(A45&lt;'Données projet'!$A$192,$EG$205^A45,IF(A45='Données projet'!$A$192,'Données projet'!$B$192,EJ44+EI45-ER44)))</f>
        <v>185.39999999999998</v>
      </c>
      <c r="EK45" s="17">
        <f>EJ45*VLOOKUP('Données projet'!$B$15,Paramètres!$A$1:$I$89,3,0)*VLOOKUP('Données projet'!$B$15,Paramètres!$A$1:$I$89,5,0)</f>
        <v>86.767199999999988</v>
      </c>
      <c r="EL45" s="13">
        <f t="shared" si="45"/>
        <v>23.783899326718451</v>
      </c>
      <c r="EM45" s="20">
        <f t="shared" si="19"/>
        <v>192.54316466070131</v>
      </c>
      <c r="EN45" s="59">
        <f t="shared" si="20"/>
        <v>485.87649799403459</v>
      </c>
      <c r="EO45" s="59">
        <f ca="1">AVERAGE(OFFSET($EN$3,0,0,'Données projet'!$E$15+1,1))-AVERAGE(OFFSET($H$3,0,0,'Données projet'!$E$15+1,1))</f>
        <v>123.60520571614535</v>
      </c>
      <c r="EP45" s="59">
        <f t="shared" si="46"/>
        <v>119.00926870519527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0.68384918141858853</v>
      </c>
      <c r="EW45" s="21">
        <f>EXP(-LN(2)/25)*EW44+(1-EXP(-LN(2)/25))/(LN(2)/25)*Calculateur!ER45*Calculateur!ET45*VLOOKUP('Données projet'!$B$15,Paramètres!$A$1:$I$89,3,0)*0.475*44/12</f>
        <v>3.4248287470175143</v>
      </c>
      <c r="EX45" s="21">
        <f>EXP(-LN(2)/2)*EX44+(1-EXP(-LN(2)/2))/(LN(2)/2)*ER45*EU45*VLOOKUP('Données projet'!$B$15,Paramètres!$A$1:$I$89,3,0)*0.475*44/12</f>
        <v>9.5526726423164773E-2</v>
      </c>
      <c r="EY45" s="22">
        <f t="shared" si="21"/>
        <v>4.204204654859268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6.9</v>
      </c>
      <c r="FE45" s="12">
        <f>IF('Données projet'!$A$218&gt;35,FE44+FD45-FM44,IF(A45&lt;'Données projet'!$A$218,$FB$205^A45,IF(A45='Données projet'!$A$218,'Données projet'!$B$218,FE44+FD45-FM44)))</f>
        <v>273.8</v>
      </c>
      <c r="FF45" s="17">
        <f>FE45*VLOOKUP('Données projet'!$B$16,Paramètres!$A$1:$I$89,3,0)*VLOOKUP('Données projet'!$B$16,Paramètres!$A$1:$I$89,5,0)</f>
        <v>131.6978</v>
      </c>
      <c r="FG45" s="13">
        <f t="shared" si="47"/>
        <v>34.388374310009262</v>
      </c>
      <c r="FH45" s="20">
        <f t="shared" si="22"/>
        <v>289.26675358993276</v>
      </c>
      <c r="FI45" s="59">
        <f t="shared" si="23"/>
        <v>582.60008692326608</v>
      </c>
      <c r="FJ45" s="59">
        <f ca="1">AVERAGE(OFFSET($FI$3,0,0,'Données projet'!$E$16+1,1))-AVERAGE(OFFSET($H$3,0,0,'Données projet'!$E$16+1,1))</f>
        <v>197.66963254934603</v>
      </c>
      <c r="FK45" s="59">
        <f t="shared" si="48"/>
        <v>158.08388141976138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2.1030007635051078</v>
      </c>
      <c r="FR45" s="21">
        <f>EXP(-LN(2)/25)*FR44+(1-EXP(-LN(2)/25))/(LN(2)/25)*Calculateur!FM45*Calculateur!FO45*VLOOKUP('Données projet'!$B$16,Paramètres!$A$1:$I$89,3,0)*0.475*44/12</f>
        <v>3.8095348788763497</v>
      </c>
      <c r="FS45" s="21">
        <f>EXP(-LN(2)/2)*FS44+(1-EXP(-LN(2)/2))/(LN(2)/2)*FM45*FP45*VLOOKUP('Données projet'!$B$16,Paramètres!$A$1:$I$89,3,0)*0.475*44/12</f>
        <v>0.12934338708867968</v>
      </c>
      <c r="FT45" s="22">
        <f t="shared" si="24"/>
        <v>6.0418790294701372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10.7</v>
      </c>
      <c r="FZ45" s="12">
        <f>IF('Données projet'!$A$244&gt;35,FZ44+FY45-GH44,IF(A45&lt;'Données projet'!$A$244,$FW$205^A45,IF(A45='Données projet'!$A$244,'Données projet'!$B$244,FZ44+FY45-GH44)))</f>
        <v>198.39999999999995</v>
      </c>
      <c r="GA45" s="17">
        <f>FZ45*VLOOKUP('Données projet'!$B$17,Paramètres!$A$1:$I$89,3,0)*VLOOKUP('Données projet'!$B$17,Paramètres!$A$1:$I$89,5,0)</f>
        <v>118.64319999999998</v>
      </c>
      <c r="GB45" s="13">
        <f t="shared" si="49"/>
        <v>31.35833885368346</v>
      </c>
      <c r="GC45" s="20">
        <f t="shared" si="25"/>
        <v>261.25268017016526</v>
      </c>
      <c r="GD45" s="59">
        <f t="shared" si="26"/>
        <v>554.58601350349863</v>
      </c>
      <c r="GE45" s="59">
        <f ca="1">AVERAGE(OFFSET($GD$3,0,0,'Données projet'!$E$17+1,1))-AVERAGE(OFFSET($H$3,0,0,'Données projet'!$E$17+1,1))</f>
        <v>165.39579887388538</v>
      </c>
      <c r="GF45" s="59">
        <f t="shared" si="50"/>
        <v>155.89639262545802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5.2262256751945531</v>
      </c>
      <c r="GN45" s="21">
        <f>EXP(-LN(2)/2)*GN44+(1-EXP(-LN(2)/2))/(LN(2)/2)*GH45*GK45*VLOOKUP('Données projet'!$B$17,Paramètres!$A$1:$I$89,3,0)*0.475*44/12</f>
        <v>0.21687555836526487</v>
      </c>
      <c r="GO45" s="21">
        <f t="shared" si="27"/>
        <v>5.4431012335598181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5.6</v>
      </c>
      <c r="GU45" s="12">
        <f>IF('Données projet'!$A$270&gt;35,GU44+GT45-HC44,IF(A45&lt;'Données projet'!$A$270,$GR$205^A45,IF(A45='Données projet'!$A$270,'Données projet'!$B$270,GU44+GT45-HC44)))</f>
        <v>90.2</v>
      </c>
      <c r="GV45" s="17">
        <f>GU45*VLOOKUP('Données projet'!$B$18,Paramètres!$A$1:$I$89,3,0)*VLOOKUP('Données projet'!$B$18,Paramètres!$A$1:$I$89,5,0)</f>
        <v>97.091279999999998</v>
      </c>
      <c r="GW45" s="13">
        <f t="shared" si="51"/>
        <v>26.267849122787243</v>
      </c>
      <c r="GX45" s="20">
        <f t="shared" si="28"/>
        <v>214.85048322218776</v>
      </c>
      <c r="GY45" s="59">
        <f t="shared" si="29"/>
        <v>508.18381655552105</v>
      </c>
      <c r="GZ45" s="59">
        <f ca="1">AVERAGE(OFFSET($GY$3,0,0,'Données projet'!$E$18+1,1))-AVERAGE(OFFSET($H$3,0,0,'Données projet'!$E$18+1,1))</f>
        <v>186.60545265015247</v>
      </c>
      <c r="HA45" s="59">
        <f t="shared" si="52"/>
        <v>69.239647548491234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0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15.5</v>
      </c>
      <c r="N46" s="13">
        <f>IF('Données projet'!$A$36&gt;35,N45+M46-V45,IF(A46&lt;'Données projet'!$A$36,$K$205^A46,IF(A46='Données projet'!$A$36,'Données projet'!$B$36,N45+M46-V45)))</f>
        <v>291.50000000000011</v>
      </c>
      <c r="O46" s="13">
        <f>N46*VLOOKUP('Données projet'!$B$9,Paramètres!$A$1:$I$89,3,0)*VLOOKUP('Données projet'!$B$9,Paramètres!$A$1:$I$89,5,0)</f>
        <v>162.94850000000005</v>
      </c>
      <c r="P46" s="13">
        <f t="shared" si="33"/>
        <v>41.506849386988783</v>
      </c>
      <c r="Q46" s="20">
        <f t="shared" si="53"/>
        <v>356.09306684900554</v>
      </c>
      <c r="R46" s="59">
        <f t="shared" si="0"/>
        <v>649.42640018233885</v>
      </c>
      <c r="S46" s="59">
        <f ca="1">AVERAGE(OFFSET($R$3,0,0,'Données projet'!$E$9+1,1))-AVERAGE(OFFSET($H$3,0,0,'Données projet'!$E$9+1,1))</f>
        <v>235.10258076192054</v>
      </c>
      <c r="T46" s="59">
        <f t="shared" si="34"/>
        <v>233.47316052603765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2.6483232826694643</v>
      </c>
      <c r="AA46" s="21">
        <f>EXP(-LN(2)/25)*AA45+(1-EXP(-LN(2)/25))/(LN(2)/25)*Calculateur!V46*Calculateur!X46*VLOOKUP('Données projet'!$B$9,Paramètres!$A$1:$I$89,3,0)*0.475*44/12</f>
        <v>12.85596930190891</v>
      </c>
      <c r="AB46" s="21">
        <f>EXP(-LN(2)/2)*AB45+(1-EXP(-LN(2)/2))/(LN(2)/2)*V46*Y46*VLOOKUP('Données projet'!$B$9,Paramètres!$A$1:$I$89,3,0)*0.475*44/12</f>
        <v>0.26651386816303974</v>
      </c>
      <c r="AC46" s="22">
        <f t="shared" si="3"/>
        <v>15.770806452741414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</v>
      </c>
      <c r="AI46" s="13">
        <f>IF('Données projet'!$A$62&gt;35,AI45+AH46-AQ45,IF(A46&lt;'Données projet'!$A$62,$AF$205^A46,IF(A46='Données projet'!$A$62,'Données projet'!$B$62,AI45+AH46-AQ45)))</f>
        <v>232.7</v>
      </c>
      <c r="AJ46" s="13">
        <f>AI46*VLOOKUP('Données projet'!$B$10,Paramètres!$A$1:$I$89,3,0)*VLOOKUP('Données projet'!$B$10,Paramètres!$A$1:$I$89,5,0)</f>
        <v>127.05419999999999</v>
      </c>
      <c r="AK46" s="13">
        <f t="shared" si="35"/>
        <v>33.314766081862359</v>
      </c>
      <c r="AL46" s="20">
        <f t="shared" si="4"/>
        <v>279.30928259257695</v>
      </c>
      <c r="AM46" s="59">
        <f t="shared" si="5"/>
        <v>572.64261592591026</v>
      </c>
      <c r="AN46" s="59">
        <f ca="1">AVERAGE(OFFSET($AM$3,0,0,'Données projet'!$E$10+1,1))-AVERAGE(OFFSET($H$3,0,0,'Données projet'!$E$10+1,1))</f>
        <v>168.72306536277267</v>
      </c>
      <c r="AO46" s="59">
        <f t="shared" si="36"/>
        <v>203.35476578922339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2.3515766991991014</v>
      </c>
      <c r="AV46" s="21">
        <f>EXP(-LN(2)/25)*AV45+(1-EXP(-LN(2)/25))/(LN(2)/25)*Calculateur!AQ46*Calculateur!AS46*VLOOKUP('Données projet'!$B$10,Paramètres!$A$1:$I$89,3,0)*0.475*44/12</f>
        <v>16.029106611376122</v>
      </c>
      <c r="AW46" s="21">
        <f>EXP(-LN(2)/2)*AW45+(1-EXP(-LN(2)/2))/(LN(2)/2)*AQ46*AT46*VLOOKUP('Données projet'!$B$10,Paramètres!$A$1:$I$89,3,0)*0.475*44/12</f>
        <v>0.22123433956122893</v>
      </c>
      <c r="AX46" s="21">
        <f t="shared" si="6"/>
        <v>18.60191765013645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10.7</v>
      </c>
      <c r="BD46" s="12">
        <f>IF('Données projet'!$A$88&gt;35,BD45+BC46-BL45,IF(A46&lt;'Données projet'!$A$88,$BA$205^A46,IF(A46='Données projet'!$A$88,'Données projet'!$B$88,BD45+BC46-BL45)))</f>
        <v>209.09999999999994</v>
      </c>
      <c r="BE46" s="13">
        <f>BD46*VLOOKUP('Données projet'!$B$11,Paramètres!$A$1:$I$89,3,0)*VLOOKUP('Données projet'!$B$11,Paramètres!$A$1:$I$89,5,0)</f>
        <v>125.04179999999998</v>
      </c>
      <c r="BF46" s="13">
        <f t="shared" si="37"/>
        <v>32.84808489416227</v>
      </c>
      <c r="BG46" s="20">
        <f t="shared" si="7"/>
        <v>274.99154952399925</v>
      </c>
      <c r="BH46" s="59">
        <f t="shared" si="8"/>
        <v>568.32488285733257</v>
      </c>
      <c r="BI46" s="59">
        <f ca="1">AVERAGE(OFFSET($BH$3,0,0,'Données projet'!$E$11+1,1))-AVERAGE(OFFSET($H$3,0,0,'Données projet'!$E$11+1,1))</f>
        <v>165.39579887388538</v>
      </c>
      <c r="BJ46" s="59">
        <f t="shared" si="38"/>
        <v>155.89639262545802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5.083314259271094</v>
      </c>
      <c r="BR46" s="21">
        <f>EXP(-LN(2)/2)*BR45+(1-EXP(-LN(2)/2))/(LN(2)/2)*BL46*BO46*VLOOKUP('Données projet'!$B$11,Paramètres!$A$1:$I$89,3,0)*0.475*44/12</f>
        <v>0.15335417799369766</v>
      </c>
      <c r="BS46" s="22">
        <f t="shared" si="9"/>
        <v>5.2366684372647914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5.6</v>
      </c>
      <c r="BY46" s="12">
        <f>IF('Données projet'!$A$114&gt;35,BY45+BX46-CG45,IF(A46&lt;'Données projet'!$A$114,$BV$205^A46,IF(A46='Données projet'!$A$114,'Données projet'!$B$114,BY45+BX46-CG45)))</f>
        <v>95.8</v>
      </c>
      <c r="BZ46" s="13">
        <f>BY46*VLOOKUP('Données projet'!$B$12,Paramètres!$A$1:$I$89,3,0)*VLOOKUP('Données projet'!$B$12,Paramètres!$A$1:$I$89,5,0)</f>
        <v>92.65776000000001</v>
      </c>
      <c r="CA46" s="13">
        <f t="shared" si="39"/>
        <v>25.205122972074609</v>
      </c>
      <c r="CB46" s="20">
        <f t="shared" si="10"/>
        <v>205.2778545096966</v>
      </c>
      <c r="CC46" s="59">
        <f t="shared" si="11"/>
        <v>498.61118784302994</v>
      </c>
      <c r="CD46" s="59">
        <f ca="1">AVERAGE(OFFSET($CC$3,0,0,'Données projet'!$E$12+1,1))-AVERAGE(OFFSET($H$3,0,0,'Données projet'!$E$12+1,1))</f>
        <v>156.26368818265388</v>
      </c>
      <c r="CE46" s="59">
        <f t="shared" si="40"/>
        <v>56.347130462109817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</v>
      </c>
      <c r="CU46" s="17">
        <f>CT46*VLOOKUP('Données projet'!$B$13,Paramètres!$A$1:$I$89,3,0)*VLOOKUP('Données projet'!$B$13,Paramètres!$A$1:$I$89,5,0)</f>
        <v>77.71296000000001</v>
      </c>
      <c r="CV46" s="13">
        <f t="shared" si="41"/>
        <v>21.577050510831153</v>
      </c>
      <c r="CW46" s="20">
        <f t="shared" si="13"/>
        <v>172.9301016396976</v>
      </c>
      <c r="CX46" s="59">
        <f t="shared" si="14"/>
        <v>466.26343497303094</v>
      </c>
      <c r="CY46" s="59">
        <f ca="1">AVERAGE(OFFSET($CX$3,0,0,'Données projet'!$E$13+1,1))-AVERAGE(OFFSET($H$3,0,0,'Données projet'!$E$13+1,1))</f>
        <v>112.78807760743126</v>
      </c>
      <c r="CZ46" s="59">
        <f t="shared" si="42"/>
        <v>37.867745922003564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6</v>
      </c>
      <c r="DO46" s="12">
        <f>IF('Données projet'!$A$166&gt;35,DO45+DN46-DW45,IF(A46&lt;'Données projet'!$A$166,$DL$205^A46,IF(A46='Données projet'!$A$166,'Données projet'!$B$166,DO45+DN46-DW45)))</f>
        <v>149.99999999999997</v>
      </c>
      <c r="DP46" s="17">
        <f>DO46*VLOOKUP('Données projet'!$B$14,Paramètres!$A$1:$I$89,3,0)*VLOOKUP('Données projet'!$B$14,Paramètres!$A$1:$I$89,5,0)</f>
        <v>100.61999999999998</v>
      </c>
      <c r="DQ46" s="13">
        <f t="shared" si="43"/>
        <v>27.109650822934128</v>
      </c>
      <c r="DR46" s="20">
        <f t="shared" si="16"/>
        <v>222.46247518327689</v>
      </c>
      <c r="DS46" s="59">
        <f t="shared" si="17"/>
        <v>515.79580851661024</v>
      </c>
      <c r="DT46" s="59">
        <f ca="1">AVERAGE(OFFSET($DS$3,0,0,'Données projet'!$E$14+1,1))-AVERAGE(OFFSET($H$3,0,0,'Données projet'!$E$14+1,1))</f>
        <v>107.15837202366862</v>
      </c>
      <c r="DU46" s="59">
        <f t="shared" si="44"/>
        <v>139.67031833740026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3.9527407130666985</v>
      </c>
      <c r="EC46" s="21">
        <f>EXP(-LN(2)/2)*EC45+(1-EXP(-LN(2)/2))/(LN(2)/2)*DW46*DZ46*VLOOKUP('Données projet'!$B$14,Paramètres!$A$1:$I$89,3,0)*0.475*44/12</f>
        <v>7.4571873983795764E-2</v>
      </c>
      <c r="ED46" s="22">
        <f t="shared" si="18"/>
        <v>4.0273125870504947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7.0000000000000027</v>
      </c>
      <c r="EJ46" s="12">
        <f>IF('Données projet'!$A$192&gt;35,EJ45+EI46-ER45,IF(A46&lt;'Données projet'!$A$192,$EG$205^A46,IF(A46='Données projet'!$A$192,'Données projet'!$B$192,EJ45+EI46-ER45)))</f>
        <v>192.39999999999998</v>
      </c>
      <c r="EK46" s="17">
        <f>EJ46*VLOOKUP('Données projet'!$B$15,Paramètres!$A$1:$I$89,3,0)*VLOOKUP('Données projet'!$B$15,Paramètres!$A$1:$I$89,5,0)</f>
        <v>90.043199999999999</v>
      </c>
      <c r="EL46" s="13">
        <f t="shared" si="45"/>
        <v>24.575643502648031</v>
      </c>
      <c r="EM46" s="20">
        <f t="shared" si="19"/>
        <v>199.62781910044532</v>
      </c>
      <c r="EN46" s="59">
        <f t="shared" si="20"/>
        <v>492.96115243377864</v>
      </c>
      <c r="EO46" s="59">
        <f ca="1">AVERAGE(OFFSET($EN$3,0,0,'Données projet'!$E$15+1,1))-AVERAGE(OFFSET($H$3,0,0,'Données projet'!$E$15+1,1))</f>
        <v>123.60520571614535</v>
      </c>
      <c r="EP46" s="59">
        <f t="shared" si="46"/>
        <v>119.00926870519527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0.67043931607778484</v>
      </c>
      <c r="EW46" s="21">
        <f>EXP(-LN(2)/25)*EW45+(1-EXP(-LN(2)/25))/(LN(2)/25)*Calculateur!ER46*Calculateur!ET46*VLOOKUP('Données projet'!$B$15,Paramètres!$A$1:$I$89,3,0)*0.475*44/12</f>
        <v>3.3311766248264041</v>
      </c>
      <c r="EX46" s="21">
        <f>EXP(-LN(2)/2)*EX45+(1-EXP(-LN(2)/2))/(LN(2)/2)*ER46*EU46*VLOOKUP('Données projet'!$B$15,Paramètres!$A$1:$I$89,3,0)*0.475*44/12</f>
        <v>6.754759603837196E-2</v>
      </c>
      <c r="EY46" s="22">
        <f t="shared" si="21"/>
        <v>4.0691635369425612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6.9</v>
      </c>
      <c r="FE46" s="12">
        <f>IF('Données projet'!$A$218&gt;35,FE45+FD46-FM45,IF(A46&lt;'Données projet'!$A$218,$FB$205^A46,IF(A46='Données projet'!$A$218,'Données projet'!$B$218,FE45+FD46-FM45)))</f>
        <v>280.7</v>
      </c>
      <c r="FF46" s="17">
        <f>FE46*VLOOKUP('Données projet'!$B$16,Paramètres!$A$1:$I$89,3,0)*VLOOKUP('Données projet'!$B$16,Paramètres!$A$1:$I$89,5,0)</f>
        <v>135.01669999999999</v>
      </c>
      <c r="FG46" s="13">
        <f t="shared" si="47"/>
        <v>35.15300453261252</v>
      </c>
      <c r="FH46" s="20">
        <f t="shared" si="22"/>
        <v>296.37890206096682</v>
      </c>
      <c r="FI46" s="59">
        <f t="shared" si="23"/>
        <v>589.71223539430014</v>
      </c>
      <c r="FJ46" s="59">
        <f ca="1">AVERAGE(OFFSET($FI$3,0,0,'Données projet'!$E$16+1,1))-AVERAGE(OFFSET($H$3,0,0,'Données projet'!$E$16+1,1))</f>
        <v>197.66963254934603</v>
      </c>
      <c r="FK46" s="59">
        <f t="shared" si="48"/>
        <v>158.08388141976138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2.0617622012365819</v>
      </c>
      <c r="FR46" s="21">
        <f>EXP(-LN(2)/25)*FR45+(1-EXP(-LN(2)/25))/(LN(2)/25)*Calculateur!FM46*Calculateur!FO46*VLOOKUP('Données projet'!$B$16,Paramètres!$A$1:$I$89,3,0)*0.475*44/12</f>
        <v>3.7053629472787435</v>
      </c>
      <c r="FS46" s="21">
        <f>EXP(-LN(2)/2)*FS45+(1-EXP(-LN(2)/2))/(LN(2)/2)*FM46*FP46*VLOOKUP('Données projet'!$B$16,Paramètres!$A$1:$I$89,3,0)*0.475*44/12</f>
        <v>9.1459586112041941E-2</v>
      </c>
      <c r="FT46" s="22">
        <f t="shared" si="24"/>
        <v>5.8585847346273674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10.7</v>
      </c>
      <c r="FZ46" s="12">
        <f>IF('Données projet'!$A$244&gt;35,FZ45+FY46-GH45,IF(A46&lt;'Données projet'!$A$244,$FW$205^A46,IF(A46='Données projet'!$A$244,'Données projet'!$B$244,FZ45+FY46-GH45)))</f>
        <v>209.09999999999994</v>
      </c>
      <c r="GA46" s="17">
        <f>FZ46*VLOOKUP('Données projet'!$B$17,Paramètres!$A$1:$I$89,3,0)*VLOOKUP('Données projet'!$B$17,Paramètres!$A$1:$I$89,5,0)</f>
        <v>125.04179999999998</v>
      </c>
      <c r="GB46" s="13">
        <f t="shared" si="49"/>
        <v>32.84808489416227</v>
      </c>
      <c r="GC46" s="20">
        <f t="shared" si="25"/>
        <v>274.99154952399925</v>
      </c>
      <c r="GD46" s="59">
        <f t="shared" si="26"/>
        <v>568.32488285733257</v>
      </c>
      <c r="GE46" s="59">
        <f ca="1">AVERAGE(OFFSET($GD$3,0,0,'Données projet'!$E$17+1,1))-AVERAGE(OFFSET($H$3,0,0,'Données projet'!$E$17+1,1))</f>
        <v>165.39579887388538</v>
      </c>
      <c r="GF46" s="59">
        <f t="shared" si="50"/>
        <v>155.89639262545802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5.083314259271094</v>
      </c>
      <c r="GN46" s="21">
        <f>EXP(-LN(2)/2)*GN45+(1-EXP(-LN(2)/2))/(LN(2)/2)*GH46*GK46*VLOOKUP('Données projet'!$B$17,Paramètres!$A$1:$I$89,3,0)*0.475*44/12</f>
        <v>0.15335417799369766</v>
      </c>
      <c r="GO46" s="21">
        <f t="shared" si="27"/>
        <v>5.2366684372647914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5.6</v>
      </c>
      <c r="GU46" s="12">
        <f>IF('Données projet'!$A$270&gt;35,GU45+GT46-HC45,IF(A46&lt;'Données projet'!$A$270,$GR$205^A46,IF(A46='Données projet'!$A$270,'Données projet'!$B$270,GU45+GT46-HC45)))</f>
        <v>95.8</v>
      </c>
      <c r="GV46" s="17">
        <f>GU46*VLOOKUP('Données projet'!$B$18,Paramètres!$A$1:$I$89,3,0)*VLOOKUP('Données projet'!$B$18,Paramètres!$A$1:$I$89,5,0)</f>
        <v>103.11911999999998</v>
      </c>
      <c r="GW46" s="13">
        <f t="shared" si="51"/>
        <v>27.703751333753903</v>
      </c>
      <c r="GX46" s="20">
        <f t="shared" si="28"/>
        <v>227.84983423962134</v>
      </c>
      <c r="GY46" s="59">
        <f t="shared" si="29"/>
        <v>521.18316757295463</v>
      </c>
      <c r="GZ46" s="59">
        <f ca="1">AVERAGE(OFFSET($GY$3,0,0,'Données projet'!$E$18+1,1))-AVERAGE(OFFSET($H$3,0,0,'Données projet'!$E$18+1,1))</f>
        <v>186.60545265015247</v>
      </c>
      <c r="HA46" s="59">
        <f t="shared" si="52"/>
        <v>69.239647548491234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0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15.5</v>
      </c>
      <c r="N47" s="13">
        <f>IF('Données projet'!$A$36&gt;35,N46+M47-V46,IF(A47&lt;'Données projet'!$A$36,$K$205^A47,IF(A47='Données projet'!$A$36,'Données projet'!$B$36,N46+M47-V46)))</f>
        <v>307.00000000000011</v>
      </c>
      <c r="O47" s="13">
        <f>N47*VLOOKUP('Données projet'!$B$9,Paramètres!$A$1:$I$89,3,0)*VLOOKUP('Données projet'!$B$9,Paramètres!$A$1:$I$89,5,0)</f>
        <v>171.61300000000006</v>
      </c>
      <c r="P47" s="13">
        <f t="shared" si="33"/>
        <v>43.451083136311397</v>
      </c>
      <c r="Q47" s="20">
        <f t="shared" si="53"/>
        <v>374.56994479574246</v>
      </c>
      <c r="R47" s="59">
        <f t="shared" si="0"/>
        <v>667.90327812907572</v>
      </c>
      <c r="S47" s="59">
        <f ca="1">AVERAGE(OFFSET($R$3,0,0,'Données projet'!$E$9+1,1))-AVERAGE(OFFSET($H$3,0,0,'Données projet'!$E$9+1,1))</f>
        <v>235.10258076192054</v>
      </c>
      <c r="T47" s="59">
        <f t="shared" si="34"/>
        <v>233.47316052603765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2.5963912784140191</v>
      </c>
      <c r="AA47" s="21">
        <f>EXP(-LN(2)/25)*AA46+(1-EXP(-LN(2)/25))/(LN(2)/25)*Calculateur!V47*Calculateur!X47*VLOOKUP('Données projet'!$B$9,Paramètres!$A$1:$I$89,3,0)*0.475*44/12</f>
        <v>12.504422145282168</v>
      </c>
      <c r="AB47" s="21">
        <f>EXP(-LN(2)/2)*AB46+(1-EXP(-LN(2)/2))/(LN(2)/2)*V47*Y47*VLOOKUP('Données projet'!$B$9,Paramètres!$A$1:$I$89,3,0)*0.475*44/12</f>
        <v>0.18845376345834292</v>
      </c>
      <c r="AC47" s="22">
        <f t="shared" si="3"/>
        <v>15.289267187154531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</v>
      </c>
      <c r="AI47" s="13">
        <f>IF('Données projet'!$A$62&gt;35,AI46+AH47-AQ46,IF(A47&lt;'Données projet'!$A$62,$AF$205^A47,IF(A47='Données projet'!$A$62,'Données projet'!$B$62,AI46+AH47-AQ46)))</f>
        <v>242.6</v>
      </c>
      <c r="AJ47" s="13">
        <f>AI47*VLOOKUP('Données projet'!$B$10,Paramètres!$A$1:$I$89,3,0)*VLOOKUP('Données projet'!$B$10,Paramètres!$A$1:$I$89,5,0)</f>
        <v>132.45959999999999</v>
      </c>
      <c r="AK47" s="13">
        <f t="shared" si="35"/>
        <v>34.56407921374916</v>
      </c>
      <c r="AL47" s="20">
        <f t="shared" si="4"/>
        <v>290.89957463061307</v>
      </c>
      <c r="AM47" s="59">
        <f t="shared" si="5"/>
        <v>584.23290796394645</v>
      </c>
      <c r="AN47" s="59">
        <f ca="1">AVERAGE(OFFSET($AM$3,0,0,'Données projet'!$E$10+1,1))-AVERAGE(OFFSET($H$3,0,0,'Données projet'!$E$10+1,1))</f>
        <v>168.72306536277267</v>
      </c>
      <c r="AO47" s="59">
        <f t="shared" si="36"/>
        <v>203.35476578922339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2.3054637144479662</v>
      </c>
      <c r="AV47" s="21">
        <f>EXP(-LN(2)/25)*AV46+(1-EXP(-LN(2)/25))/(LN(2)/25)*Calculateur!AQ47*Calculateur!AS47*VLOOKUP('Données projet'!$B$10,Paramètres!$A$1:$I$89,3,0)*0.475*44/12</f>
        <v>15.59078984815396</v>
      </c>
      <c r="AW47" s="21">
        <f>EXP(-LN(2)/2)*AW46+(1-EXP(-LN(2)/2))/(LN(2)/2)*AQ47*AT47*VLOOKUP('Données projet'!$B$10,Paramètres!$A$1:$I$89,3,0)*0.475*44/12</f>
        <v>0.15643630173507228</v>
      </c>
      <c r="AX47" s="21">
        <f t="shared" si="6"/>
        <v>18.052689864337001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10.7</v>
      </c>
      <c r="BD47" s="12">
        <f>IF('Données projet'!$A$88&gt;35,BD46+BC47-BL46,IF(A47&lt;'Données projet'!$A$88,$BA$205^A47,IF(A47='Données projet'!$A$88,'Données projet'!$B$88,BD46+BC47-BL46)))</f>
        <v>219.79999999999993</v>
      </c>
      <c r="BE47" s="13">
        <f>BD47*VLOOKUP('Données projet'!$B$11,Paramètres!$A$1:$I$89,3,0)*VLOOKUP('Données projet'!$B$11,Paramètres!$A$1:$I$89,5,0)</f>
        <v>131.44039999999998</v>
      </c>
      <c r="BF47" s="13">
        <f t="shared" si="37"/>
        <v>34.328979730885372</v>
      </c>
      <c r="BG47" s="20">
        <f t="shared" si="7"/>
        <v>288.71500303129199</v>
      </c>
      <c r="BH47" s="59">
        <f t="shared" si="8"/>
        <v>582.04833636462536</v>
      </c>
      <c r="BI47" s="59">
        <f ca="1">AVERAGE(OFFSET($BH$3,0,0,'Données projet'!$E$11+1,1))-AVERAGE(OFFSET($H$3,0,0,'Données projet'!$E$11+1,1))</f>
        <v>165.39579887388538</v>
      </c>
      <c r="BJ47" s="59">
        <f t="shared" si="38"/>
        <v>155.89639262545802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4.9443107635314467</v>
      </c>
      <c r="BR47" s="21">
        <f>EXP(-LN(2)/2)*BR46+(1-EXP(-LN(2)/2))/(LN(2)/2)*BL47*BO47*VLOOKUP('Données projet'!$B$11,Paramètres!$A$1:$I$89,3,0)*0.475*44/12</f>
        <v>0.10843777918263243</v>
      </c>
      <c r="BS47" s="22">
        <f t="shared" si="9"/>
        <v>5.0527485427140792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5.6</v>
      </c>
      <c r="BY47" s="12">
        <f>IF('Données projet'!$A$114&gt;35,BY46+BX47-CG46,IF(A47&lt;'Données projet'!$A$114,$BV$205^A47,IF(A47='Données projet'!$A$114,'Données projet'!$B$114,BY46+BX47-CG46)))</f>
        <v>101.39999999999999</v>
      </c>
      <c r="BZ47" s="13">
        <f>BY47*VLOOKUP('Données projet'!$B$12,Paramètres!$A$1:$I$89,3,0)*VLOOKUP('Données projet'!$B$12,Paramètres!$A$1:$I$89,5,0)</f>
        <v>98.074079999999995</v>
      </c>
      <c r="CA47" s="13">
        <f t="shared" si="39"/>
        <v>26.502655653208453</v>
      </c>
      <c r="CB47" s="20">
        <f t="shared" si="10"/>
        <v>216.97114792933803</v>
      </c>
      <c r="CC47" s="59">
        <f t="shared" si="11"/>
        <v>510.30448126267135</v>
      </c>
      <c r="CD47" s="59">
        <f ca="1">AVERAGE(OFFSET($CC$3,0,0,'Données projet'!$E$12+1,1))-AVERAGE(OFFSET($H$3,0,0,'Données projet'!$E$12+1,1))</f>
        <v>156.26368818265388</v>
      </c>
      <c r="CE47" s="59">
        <f t="shared" si="40"/>
        <v>56.347130462109817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101.39999999999999</v>
      </c>
      <c r="CU47" s="17">
        <f>CT47*VLOOKUP('Données projet'!$B$13,Paramètres!$A$1:$I$89,3,0)*VLOOKUP('Données projet'!$B$13,Paramètres!$A$1:$I$89,5,0)</f>
        <v>82.255679999999998</v>
      </c>
      <c r="CV47" s="13">
        <f t="shared" si="41"/>
        <v>22.687813915211173</v>
      </c>
      <c r="CW47" s="20">
        <f t="shared" si="13"/>
        <v>182.77658523565947</v>
      </c>
      <c r="CX47" s="59">
        <f t="shared" si="14"/>
        <v>476.10991856899278</v>
      </c>
      <c r="CY47" s="59">
        <f ca="1">AVERAGE(OFFSET($CX$3,0,0,'Données projet'!$E$13+1,1))-AVERAGE(OFFSET($H$3,0,0,'Données projet'!$E$13+1,1))</f>
        <v>112.78807760743126</v>
      </c>
      <c r="CZ47" s="59">
        <f t="shared" si="42"/>
        <v>37.867745922003564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6</v>
      </c>
      <c r="DO47" s="12">
        <f>IF('Données projet'!$A$166&gt;35,DO46+DN47-DW46,IF(A47&lt;'Données projet'!$A$166,$DL$205^A47,IF(A47='Données projet'!$A$166,'Données projet'!$B$166,DO46+DN47-DW46)))</f>
        <v>155.99999999999997</v>
      </c>
      <c r="DP47" s="17">
        <f>DO47*VLOOKUP('Données projet'!$B$14,Paramètres!$A$1:$I$89,3,0)*VLOOKUP('Données projet'!$B$14,Paramètres!$A$1:$I$89,5,0)</f>
        <v>104.64479999999998</v>
      </c>
      <c r="DQ47" s="13">
        <f t="shared" si="43"/>
        <v>28.065616234626216</v>
      </c>
      <c r="DR47" s="20">
        <f t="shared" si="16"/>
        <v>231.1373082753073</v>
      </c>
      <c r="DS47" s="59">
        <f t="shared" si="17"/>
        <v>524.47064160864056</v>
      </c>
      <c r="DT47" s="59">
        <f ca="1">AVERAGE(OFFSET($DS$3,0,0,'Données projet'!$E$14+1,1))-AVERAGE(OFFSET($H$3,0,0,'Données projet'!$E$14+1,1))</f>
        <v>107.15837202366862</v>
      </c>
      <c r="DU47" s="59">
        <f t="shared" si="44"/>
        <v>139.67031833740026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3.8446528104022897</v>
      </c>
      <c r="EC47" s="21">
        <f>EXP(-LN(2)/2)*EC46+(1-EXP(-LN(2)/2))/(LN(2)/2)*DW47*DZ47*VLOOKUP('Données projet'!$B$14,Paramètres!$A$1:$I$89,3,0)*0.475*44/12</f>
        <v>5.2730277779730668E-2</v>
      </c>
      <c r="ED47" s="22">
        <f t="shared" si="18"/>
        <v>3.8973830881820204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7.0000000000000027</v>
      </c>
      <c r="EJ47" s="12">
        <f>IF('Données projet'!$A$192&gt;35,EJ46+EI47-ER46,IF(A47&lt;'Données projet'!$A$192,$EG$205^A47,IF(A47='Données projet'!$A$192,'Données projet'!$B$192,EJ46+EI47-ER46)))</f>
        <v>199.39999999999998</v>
      </c>
      <c r="EK47" s="17">
        <f>EJ47*VLOOKUP('Données projet'!$B$15,Paramètres!$A$1:$I$89,3,0)*VLOOKUP('Données projet'!$B$15,Paramètres!$A$1:$I$89,5,0)</f>
        <v>93.319199999999995</v>
      </c>
      <c r="EL47" s="13">
        <f t="shared" si="45"/>
        <v>25.364041009510686</v>
      </c>
      <c r="EM47" s="20">
        <f t="shared" si="19"/>
        <v>206.70664475823108</v>
      </c>
      <c r="EN47" s="59">
        <f t="shared" si="20"/>
        <v>500.03997809156442</v>
      </c>
      <c r="EO47" s="59">
        <f ca="1">AVERAGE(OFFSET($EN$3,0,0,'Données projet'!$E$15+1,1))-AVERAGE(OFFSET($H$3,0,0,'Données projet'!$E$15+1,1))</f>
        <v>123.60520571614535</v>
      </c>
      <c r="EP47" s="59">
        <f t="shared" si="46"/>
        <v>119.00926870519527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0.65729241001710403</v>
      </c>
      <c r="EW47" s="21">
        <f>EXP(-LN(2)/25)*EW46+(1-EXP(-LN(2)/25))/(LN(2)/25)*Calculateur!ER47*Calculateur!ET47*VLOOKUP('Données projet'!$B$15,Paramètres!$A$1:$I$89,3,0)*0.475*44/12</f>
        <v>3.2400854248415607</v>
      </c>
      <c r="EX47" s="21">
        <f>EXP(-LN(2)/2)*EX46+(1-EXP(-LN(2)/2))/(LN(2)/2)*ER47*EU47*VLOOKUP('Données projet'!$B$15,Paramètres!$A$1:$I$89,3,0)*0.475*44/12</f>
        <v>4.7763363211582387E-2</v>
      </c>
      <c r="EY47" s="22">
        <f t="shared" si="21"/>
        <v>3.9451411980702469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6.9</v>
      </c>
      <c r="FE47" s="12">
        <f>IF('Données projet'!$A$218&gt;35,FE46+FD47-FM46,IF(A47&lt;'Données projet'!$A$218,$FB$205^A47,IF(A47='Données projet'!$A$218,'Données projet'!$B$218,FE46+FD47-FM46)))</f>
        <v>287.59999999999997</v>
      </c>
      <c r="FF47" s="17">
        <f>FE47*VLOOKUP('Données projet'!$B$16,Paramètres!$A$1:$I$89,3,0)*VLOOKUP('Données projet'!$B$16,Paramètres!$A$1:$I$89,5,0)</f>
        <v>138.3356</v>
      </c>
      <c r="FG47" s="13">
        <f t="shared" si="47"/>
        <v>35.915449832028401</v>
      </c>
      <c r="FH47" s="20">
        <f t="shared" si="22"/>
        <v>303.4872451241161</v>
      </c>
      <c r="FI47" s="59">
        <f t="shared" si="23"/>
        <v>596.82057845744941</v>
      </c>
      <c r="FJ47" s="59">
        <f ca="1">AVERAGE(OFFSET($FI$3,0,0,'Données projet'!$E$16+1,1))-AVERAGE(OFFSET($H$3,0,0,'Données projet'!$E$16+1,1))</f>
        <v>197.66963254934603</v>
      </c>
      <c r="FK47" s="59">
        <f t="shared" si="48"/>
        <v>158.08388141976138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2.0213323020211025</v>
      </c>
      <c r="FR47" s="21">
        <f>EXP(-LN(2)/25)*FR46+(1-EXP(-LN(2)/25))/(LN(2)/25)*Calculateur!FM47*Calculateur!FO47*VLOOKUP('Données projet'!$B$16,Paramètres!$A$1:$I$89,3,0)*0.475*44/12</f>
        <v>3.6040396026288377</v>
      </c>
      <c r="FS47" s="21">
        <f>EXP(-LN(2)/2)*FS46+(1-EXP(-LN(2)/2))/(LN(2)/2)*FM47*FP47*VLOOKUP('Données projet'!$B$16,Paramètres!$A$1:$I$89,3,0)*0.475*44/12</f>
        <v>6.4671693544339839E-2</v>
      </c>
      <c r="FT47" s="22">
        <f t="shared" si="24"/>
        <v>5.6900435981942801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10.7</v>
      </c>
      <c r="FZ47" s="12">
        <f>IF('Données projet'!$A$244&gt;35,FZ46+FY47-GH46,IF(A47&lt;'Données projet'!$A$244,$FW$205^A47,IF(A47='Données projet'!$A$244,'Données projet'!$B$244,FZ46+FY47-GH46)))</f>
        <v>219.79999999999993</v>
      </c>
      <c r="GA47" s="17">
        <f>FZ47*VLOOKUP('Données projet'!$B$17,Paramètres!$A$1:$I$89,3,0)*VLOOKUP('Données projet'!$B$17,Paramètres!$A$1:$I$89,5,0)</f>
        <v>131.44039999999998</v>
      </c>
      <c r="GB47" s="13">
        <f t="shared" si="49"/>
        <v>34.328979730885372</v>
      </c>
      <c r="GC47" s="20">
        <f t="shared" si="25"/>
        <v>288.71500303129199</v>
      </c>
      <c r="GD47" s="59">
        <f t="shared" si="26"/>
        <v>582.04833636462536</v>
      </c>
      <c r="GE47" s="59">
        <f ca="1">AVERAGE(OFFSET($GD$3,0,0,'Données projet'!$E$17+1,1))-AVERAGE(OFFSET($H$3,0,0,'Données projet'!$E$17+1,1))</f>
        <v>165.39579887388538</v>
      </c>
      <c r="GF47" s="59">
        <f t="shared" si="50"/>
        <v>155.89639262545802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4.9443107635314467</v>
      </c>
      <c r="GN47" s="21">
        <f>EXP(-LN(2)/2)*GN46+(1-EXP(-LN(2)/2))/(LN(2)/2)*GH47*GK47*VLOOKUP('Données projet'!$B$17,Paramètres!$A$1:$I$89,3,0)*0.475*44/12</f>
        <v>0.10843777918263243</v>
      </c>
      <c r="GO47" s="21">
        <f t="shared" si="27"/>
        <v>5.0527485427140792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5.6</v>
      </c>
      <c r="GU47" s="12">
        <f>IF('Données projet'!$A$270&gt;35,GU46+GT47-HC46,IF(A47&lt;'Données projet'!$A$270,$GR$205^A47,IF(A47='Données projet'!$A$270,'Données projet'!$B$270,GU46+GT47-HC46)))</f>
        <v>101.39999999999999</v>
      </c>
      <c r="GV47" s="17">
        <f>GU47*VLOOKUP('Données projet'!$B$18,Paramètres!$A$1:$I$89,3,0)*VLOOKUP('Données projet'!$B$18,Paramètres!$A$1:$I$89,5,0)</f>
        <v>109.14695999999999</v>
      </c>
      <c r="GW47" s="13">
        <f t="shared" si="51"/>
        <v>29.129910721485377</v>
      </c>
      <c r="GX47" s="20">
        <f t="shared" si="28"/>
        <v>240.83221650658706</v>
      </c>
      <c r="GY47" s="59">
        <f t="shared" si="29"/>
        <v>534.16554983992035</v>
      </c>
      <c r="GZ47" s="59">
        <f ca="1">AVERAGE(OFFSET($GY$3,0,0,'Données projet'!$E$18+1,1))-AVERAGE(OFFSET($H$3,0,0,'Données projet'!$E$18+1,1))</f>
        <v>186.60545265015247</v>
      </c>
      <c r="HA47" s="59">
        <f t="shared" si="52"/>
        <v>69.239647548491234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0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15.5</v>
      </c>
      <c r="N48" s="13">
        <f>IF('Données projet'!$A$36&gt;35,N47+M48-V47,IF(A48&lt;'Données projet'!$A$36,$K$205^A48,IF(A48='Données projet'!$A$36,'Données projet'!$B$36,N47+M48-V47)))</f>
        <v>322.50000000000011</v>
      </c>
      <c r="O48" s="13">
        <f>N48*VLOOKUP('Données projet'!$B$9,Paramètres!$A$1:$I$89,3,0)*VLOOKUP('Données projet'!$B$9,Paramètres!$A$1:$I$89,5,0)</f>
        <v>180.27750000000006</v>
      </c>
      <c r="P48" s="13">
        <f t="shared" si="33"/>
        <v>45.383919267606096</v>
      </c>
      <c r="Q48" s="20">
        <f t="shared" si="53"/>
        <v>393.02697189108068</v>
      </c>
      <c r="R48" s="59">
        <f t="shared" si="0"/>
        <v>686.36030522441399</v>
      </c>
      <c r="S48" s="59">
        <f ca="1">AVERAGE(OFFSET($R$3,0,0,'Données projet'!$E$9+1,1))-AVERAGE(OFFSET($H$3,0,0,'Données projet'!$E$9+1,1))</f>
        <v>235.10258076192054</v>
      </c>
      <c r="T48" s="59">
        <f t="shared" si="34"/>
        <v>233.47316052603765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2.5454776290866281</v>
      </c>
      <c r="AA48" s="21">
        <f>EXP(-LN(2)/25)*AA47+(1-EXP(-LN(2)/25))/(LN(2)/25)*Calculateur!V48*Calculateur!X48*VLOOKUP('Données projet'!$B$9,Paramètres!$A$1:$I$89,3,0)*0.475*44/12</f>
        <v>12.162488064140446</v>
      </c>
      <c r="AB48" s="21">
        <f>EXP(-LN(2)/2)*AB47+(1-EXP(-LN(2)/2))/(LN(2)/2)*V48*Y48*VLOOKUP('Données projet'!$B$9,Paramètres!$A$1:$I$89,3,0)*0.475*44/12</f>
        <v>0.13325693408151987</v>
      </c>
      <c r="AC48" s="22">
        <f t="shared" si="3"/>
        <v>14.841222627308593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</v>
      </c>
      <c r="AI48" s="13">
        <f>IF('Données projet'!$A$62&gt;35,AI47+AH48-AQ47,IF(A48&lt;'Données projet'!$A$62,$AF$205^A48,IF(A48='Données projet'!$A$62,'Données projet'!$B$62,AI47+AH48-AQ47)))</f>
        <v>252.5</v>
      </c>
      <c r="AJ48" s="13">
        <f>AI48*VLOOKUP('Données projet'!$B$10,Paramètres!$A$1:$I$89,3,0)*VLOOKUP('Données projet'!$B$10,Paramètres!$A$1:$I$89,5,0)</f>
        <v>137.86500000000001</v>
      </c>
      <c r="AK48" s="13">
        <f t="shared" si="35"/>
        <v>35.807470392675356</v>
      </c>
      <c r="AL48" s="20">
        <f t="shared" si="4"/>
        <v>302.47955260057626</v>
      </c>
      <c r="AM48" s="59">
        <f t="shared" si="5"/>
        <v>595.81288593390957</v>
      </c>
      <c r="AN48" s="59">
        <f ca="1">AVERAGE(OFFSET($AM$3,0,0,'Données projet'!$E$10+1,1))-AVERAGE(OFFSET($H$3,0,0,'Données projet'!$E$10+1,1))</f>
        <v>168.72306536277267</v>
      </c>
      <c r="AO48" s="59">
        <f t="shared" si="36"/>
        <v>203.35476578922339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2.2602549772016571</v>
      </c>
      <c r="AV48" s="21">
        <f>EXP(-LN(2)/25)*AV47+(1-EXP(-LN(2)/25))/(LN(2)/25)*Calculateur!AQ48*Calculateur!AS48*VLOOKUP('Données projet'!$B$10,Paramètres!$A$1:$I$89,3,0)*0.475*44/12</f>
        <v>15.164458879872186</v>
      </c>
      <c r="AW48" s="21">
        <f>EXP(-LN(2)/2)*AW47+(1-EXP(-LN(2)/2))/(LN(2)/2)*AQ48*AT48*VLOOKUP('Données projet'!$B$10,Paramètres!$A$1:$I$89,3,0)*0.475*44/12</f>
        <v>0.11061716978061449</v>
      </c>
      <c r="AX48" s="21">
        <f t="shared" si="6"/>
        <v>17.535331026854458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10.7</v>
      </c>
      <c r="BD48" s="12">
        <f>IF('Données projet'!$A$88&gt;35,BD47+BC48-BL47,IF(A48&lt;'Données projet'!$A$88,$BA$205^A48,IF(A48='Données projet'!$A$88,'Données projet'!$B$88,BD47+BC48-BL47)))</f>
        <v>230.49999999999991</v>
      </c>
      <c r="BE48" s="13">
        <f>BD48*VLOOKUP('Données projet'!$B$11,Paramètres!$A$1:$I$89,3,0)*VLOOKUP('Données projet'!$B$11,Paramètres!$A$1:$I$89,5,0)</f>
        <v>137.83899999999994</v>
      </c>
      <c r="BF48" s="13">
        <f t="shared" si="37"/>
        <v>35.80150342838742</v>
      </c>
      <c r="BG48" s="20">
        <f t="shared" si="7"/>
        <v>302.42387680444131</v>
      </c>
      <c r="BH48" s="59">
        <f t="shared" si="8"/>
        <v>595.75721013777456</v>
      </c>
      <c r="BI48" s="59">
        <f ca="1">AVERAGE(OFFSET($BH$3,0,0,'Données projet'!$E$11+1,1))-AVERAGE(OFFSET($H$3,0,0,'Données projet'!$E$11+1,1))</f>
        <v>165.39579887388538</v>
      </c>
      <c r="BJ48" s="59">
        <f t="shared" si="38"/>
        <v>155.89639262545802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4.8091083256926765</v>
      </c>
      <c r="BR48" s="21">
        <f>EXP(-LN(2)/2)*BR47+(1-EXP(-LN(2)/2))/(LN(2)/2)*BL48*BO48*VLOOKUP('Données projet'!$B$11,Paramètres!$A$1:$I$89,3,0)*0.475*44/12</f>
        <v>7.667708899684883E-2</v>
      </c>
      <c r="BS48" s="22">
        <f t="shared" si="9"/>
        <v>4.8857854146895257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5.6</v>
      </c>
      <c r="BY48" s="12">
        <f>IF('Données projet'!$A$114&gt;35,BY47+BX48-CG47,IF(A48&lt;'Données projet'!$A$114,$BV$205^A48,IF(A48='Données projet'!$A$114,'Données projet'!$B$114,BY47+BX48-CG47)))</f>
        <v>106.99999999999999</v>
      </c>
      <c r="BZ48" s="13">
        <f>BY48*VLOOKUP('Données projet'!$B$12,Paramètres!$A$1:$I$89,3,0)*VLOOKUP('Données projet'!$B$12,Paramètres!$A$1:$I$89,5,0)</f>
        <v>103.49039999999998</v>
      </c>
      <c r="CA48" s="13">
        <f t="shared" si="39"/>
        <v>27.791869560921153</v>
      </c>
      <c r="CB48" s="20">
        <f t="shared" si="10"/>
        <v>228.64995281860425</v>
      </c>
      <c r="CC48" s="59">
        <f t="shared" si="11"/>
        <v>521.98328615193759</v>
      </c>
      <c r="CD48" s="59">
        <f ca="1">AVERAGE(OFFSET($CC$3,0,0,'Données projet'!$E$12+1,1))-AVERAGE(OFFSET($H$3,0,0,'Données projet'!$E$12+1,1))</f>
        <v>156.26368818265388</v>
      </c>
      <c r="CE48" s="59">
        <f t="shared" si="40"/>
        <v>56.347130462109817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106.99999999999999</v>
      </c>
      <c r="CU48" s="17">
        <f>CT48*VLOOKUP('Données projet'!$B$13,Paramètres!$A$1:$I$89,3,0)*VLOOKUP('Données projet'!$B$13,Paramètres!$A$1:$I$89,5,0)</f>
        <v>86.798399999999987</v>
      </c>
      <c r="CV48" s="13">
        <f t="shared" si="41"/>
        <v>23.79145596594833</v>
      </c>
      <c r="CW48" s="20">
        <f t="shared" si="13"/>
        <v>192.61066580735996</v>
      </c>
      <c r="CX48" s="59">
        <f t="shared" si="14"/>
        <v>485.94399914069328</v>
      </c>
      <c r="CY48" s="59">
        <f ca="1">AVERAGE(OFFSET($CX$3,0,0,'Données projet'!$E$13+1,1))-AVERAGE(OFFSET($H$3,0,0,'Données projet'!$E$13+1,1))</f>
        <v>112.78807760743126</v>
      </c>
      <c r="CZ48" s="59">
        <f t="shared" si="42"/>
        <v>37.867745922003564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</v>
      </c>
      <c r="DO48" s="12">
        <f>IF('Données projet'!$A$166&gt;35,DO47+DN48-DW47,IF(A48&lt;'Données projet'!$A$166,$DL$205^A48,IF(A48='Données projet'!$A$166,'Données projet'!$B$166,DO47+DN48-DW47)))</f>
        <v>161.99999999999997</v>
      </c>
      <c r="DP48" s="17">
        <f>DO48*VLOOKUP('Données projet'!$B$14,Paramètres!$A$1:$I$89,3,0)*VLOOKUP('Données projet'!$B$14,Paramètres!$A$1:$I$89,5,0)</f>
        <v>108.66959999999997</v>
      </c>
      <c r="DQ48" s="13">
        <f t="shared" si="43"/>
        <v>29.017310316271104</v>
      </c>
      <c r="DR48" s="20">
        <f t="shared" si="16"/>
        <v>239.80470213417212</v>
      </c>
      <c r="DS48" s="59">
        <f t="shared" si="17"/>
        <v>533.13803546750546</v>
      </c>
      <c r="DT48" s="59">
        <f ca="1">AVERAGE(OFFSET($DS$3,0,0,'Données projet'!$E$14+1,1))-AVERAGE(OFFSET($H$3,0,0,'Données projet'!$E$14+1,1))</f>
        <v>107.15837202366862</v>
      </c>
      <c r="DU48" s="59">
        <f t="shared" si="44"/>
        <v>139.67031833740026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3.7395205771203348</v>
      </c>
      <c r="EC48" s="21">
        <f>EXP(-LN(2)/2)*EC47+(1-EXP(-LN(2)/2))/(LN(2)/2)*DW48*DZ48*VLOOKUP('Données projet'!$B$14,Paramètres!$A$1:$I$89,3,0)*0.475*44/12</f>
        <v>3.7285936991897882E-2</v>
      </c>
      <c r="ED48" s="22">
        <f t="shared" si="18"/>
        <v>3.7768065141122329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7.0000000000000027</v>
      </c>
      <c r="EJ48" s="12">
        <f>IF('Données projet'!$A$192&gt;35,EJ47+EI48-ER47,IF(A48&lt;'Données projet'!$A$192,$EG$205^A48,IF(A48='Données projet'!$A$192,'Données projet'!$B$192,EJ47+EI48-ER47)))</f>
        <v>206.39999999999998</v>
      </c>
      <c r="EK48" s="17">
        <f>EJ48*VLOOKUP('Données projet'!$B$15,Paramètres!$A$1:$I$89,3,0)*VLOOKUP('Données projet'!$B$15,Paramètres!$A$1:$I$89,5,0)</f>
        <v>96.595199999999991</v>
      </c>
      <c r="EL48" s="13">
        <f t="shared" si="45"/>
        <v>26.149222795600728</v>
      </c>
      <c r="EM48" s="20">
        <f t="shared" si="19"/>
        <v>213.77986970233792</v>
      </c>
      <c r="EN48" s="59">
        <f t="shared" si="20"/>
        <v>507.11320303567123</v>
      </c>
      <c r="EO48" s="59">
        <f ca="1">AVERAGE(OFFSET($EN$3,0,0,'Données projet'!$E$15+1,1))-AVERAGE(OFFSET($H$3,0,0,'Données projet'!$E$15+1,1))</f>
        <v>123.60520571614535</v>
      </c>
      <c r="EP48" s="59">
        <f t="shared" si="46"/>
        <v>119.00926870519527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0.64440330676545232</v>
      </c>
      <c r="EW48" s="21">
        <f>EXP(-LN(2)/25)*EW47+(1-EXP(-LN(2)/25))/(LN(2)/25)*Calculateur!ER48*Calculateur!ET48*VLOOKUP('Données projet'!$B$15,Paramètres!$A$1:$I$89,3,0)*0.475*44/12</f>
        <v>3.151485118510581</v>
      </c>
      <c r="EX48" s="21">
        <f>EXP(-LN(2)/2)*EX47+(1-EXP(-LN(2)/2))/(LN(2)/2)*ER48*EU48*VLOOKUP('Données projet'!$B$15,Paramètres!$A$1:$I$89,3,0)*0.475*44/12</f>
        <v>3.377379801918598E-2</v>
      </c>
      <c r="EY48" s="22">
        <f t="shared" si="21"/>
        <v>3.8296622232952191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6.9</v>
      </c>
      <c r="FE48" s="12">
        <f>IF('Données projet'!$A$218&gt;35,FE47+FD48-FM47,IF(A48&lt;'Données projet'!$A$218,$FB$205^A48,IF(A48='Données projet'!$A$218,'Données projet'!$B$218,FE47+FD48-FM47)))</f>
        <v>294.49999999999994</v>
      </c>
      <c r="FF48" s="17">
        <f>FE48*VLOOKUP('Données projet'!$B$16,Paramètres!$A$1:$I$89,3,0)*VLOOKUP('Données projet'!$B$16,Paramètres!$A$1:$I$89,5,0)</f>
        <v>141.65449999999998</v>
      </c>
      <c r="FG48" s="13">
        <f t="shared" si="47"/>
        <v>36.675768659559431</v>
      </c>
      <c r="FH48" s="20">
        <f t="shared" si="22"/>
        <v>310.59188458206592</v>
      </c>
      <c r="FI48" s="59">
        <f t="shared" si="23"/>
        <v>603.92521791539923</v>
      </c>
      <c r="FJ48" s="59">
        <f ca="1">AVERAGE(OFFSET($FI$3,0,0,'Données projet'!$E$16+1,1))-AVERAGE(OFFSET($H$3,0,0,'Données projet'!$E$16+1,1))</f>
        <v>197.66963254934603</v>
      </c>
      <c r="FK48" s="59">
        <f t="shared" si="48"/>
        <v>158.08388141976138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1.981695208469435</v>
      </c>
      <c r="FR48" s="21">
        <f>EXP(-LN(2)/25)*FR47+(1-EXP(-LN(2)/25))/(LN(2)/25)*Calculateur!FM48*Calculateur!FO48*VLOOKUP('Données projet'!$B$16,Paramètres!$A$1:$I$89,3,0)*0.475*44/12</f>
        <v>3.5054869501667465</v>
      </c>
      <c r="FS48" s="21">
        <f>EXP(-LN(2)/2)*FS47+(1-EXP(-LN(2)/2))/(LN(2)/2)*FM48*FP48*VLOOKUP('Données projet'!$B$16,Paramètres!$A$1:$I$89,3,0)*0.475*44/12</f>
        <v>4.572979305602097E-2</v>
      </c>
      <c r="FT48" s="22">
        <f t="shared" si="24"/>
        <v>5.5329119516922018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10.7</v>
      </c>
      <c r="FZ48" s="12">
        <f>IF('Données projet'!$A$244&gt;35,FZ47+FY48-GH47,IF(A48&lt;'Données projet'!$A$244,$FW$205^A48,IF(A48='Données projet'!$A$244,'Données projet'!$B$244,FZ47+FY48-GH47)))</f>
        <v>230.49999999999991</v>
      </c>
      <c r="GA48" s="17">
        <f>FZ48*VLOOKUP('Données projet'!$B$17,Paramètres!$A$1:$I$89,3,0)*VLOOKUP('Données projet'!$B$17,Paramètres!$A$1:$I$89,5,0)</f>
        <v>137.83899999999994</v>
      </c>
      <c r="GB48" s="13">
        <f t="shared" si="49"/>
        <v>35.80150342838742</v>
      </c>
      <c r="GC48" s="20">
        <f t="shared" si="25"/>
        <v>302.42387680444131</v>
      </c>
      <c r="GD48" s="59">
        <f t="shared" si="26"/>
        <v>595.75721013777456</v>
      </c>
      <c r="GE48" s="59">
        <f ca="1">AVERAGE(OFFSET($GD$3,0,0,'Données projet'!$E$17+1,1))-AVERAGE(OFFSET($H$3,0,0,'Données projet'!$E$17+1,1))</f>
        <v>165.39579887388538</v>
      </c>
      <c r="GF48" s="59">
        <f t="shared" si="50"/>
        <v>155.89639262545802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4.8091083256926765</v>
      </c>
      <c r="GN48" s="21">
        <f>EXP(-LN(2)/2)*GN47+(1-EXP(-LN(2)/2))/(LN(2)/2)*GH48*GK48*VLOOKUP('Données projet'!$B$17,Paramètres!$A$1:$I$89,3,0)*0.475*44/12</f>
        <v>7.667708899684883E-2</v>
      </c>
      <c r="GO48" s="21">
        <f t="shared" si="27"/>
        <v>4.8857854146895257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5.6</v>
      </c>
      <c r="GU48" s="12">
        <f>IF('Données projet'!$A$270&gt;35,GU47+GT48-HC47,IF(A48&lt;'Données projet'!$A$270,$GR$205^A48,IF(A48='Données projet'!$A$270,'Données projet'!$B$270,GU47+GT48-HC47)))</f>
        <v>106.99999999999999</v>
      </c>
      <c r="GV48" s="17">
        <f>GU48*VLOOKUP('Données projet'!$B$18,Paramètres!$A$1:$I$89,3,0)*VLOOKUP('Données projet'!$B$18,Paramètres!$A$1:$I$89,5,0)</f>
        <v>115.17479999999998</v>
      </c>
      <c r="GW48" s="13">
        <f t="shared" si="51"/>
        <v>30.546926681092497</v>
      </c>
      <c r="GX48" s="20">
        <f t="shared" si="28"/>
        <v>253.79867396956936</v>
      </c>
      <c r="GY48" s="59">
        <f t="shared" si="29"/>
        <v>547.13200730290271</v>
      </c>
      <c r="GZ48" s="59">
        <f ca="1">AVERAGE(OFFSET($GY$3,0,0,'Données projet'!$E$18+1,1))-AVERAGE(OFFSET($H$3,0,0,'Données projet'!$E$18+1,1))</f>
        <v>186.60545265015247</v>
      </c>
      <c r="HA48" s="59">
        <f t="shared" si="52"/>
        <v>69.239647548491234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0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15.5</v>
      </c>
      <c r="N49" s="13">
        <f>IF('Données projet'!$A$36&gt;35,N48+M49-V48,IF(A49&lt;'Données projet'!$A$36,$K$205^A49,IF(A49='Données projet'!$A$36,'Données projet'!$B$36,N48+M49-V48)))</f>
        <v>338.00000000000011</v>
      </c>
      <c r="O49" s="13">
        <f>N49*VLOOKUP('Données projet'!$B$9,Paramètres!$A$1:$I$89,3,0)*VLOOKUP('Données projet'!$B$9,Paramètres!$A$1:$I$89,5,0)</f>
        <v>188.94200000000009</v>
      </c>
      <c r="P49" s="13">
        <f t="shared" si="33"/>
        <v>47.305968109740604</v>
      </c>
      <c r="Q49" s="20">
        <f t="shared" si="53"/>
        <v>411.46521112446504</v>
      </c>
      <c r="R49" s="59">
        <f t="shared" si="0"/>
        <v>704.79854445779836</v>
      </c>
      <c r="S49" s="59">
        <f ca="1">AVERAGE(OFFSET($R$3,0,0,'Données projet'!$E$9+1,1))-AVERAGE(OFFSET($H$3,0,0,'Données projet'!$E$9+1,1))</f>
        <v>235.10258076192054</v>
      </c>
      <c r="T49" s="59">
        <f t="shared" si="34"/>
        <v>233.47316052603765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2.4955623653682877</v>
      </c>
      <c r="AA49" s="21">
        <f>EXP(-LN(2)/25)*AA48+(1-EXP(-LN(2)/25))/(LN(2)/25)*Calculateur!V49*Calculateur!X49*VLOOKUP('Données projet'!$B$9,Paramètres!$A$1:$I$89,3,0)*0.475*44/12</f>
        <v>11.829904188429076</v>
      </c>
      <c r="AB49" s="21">
        <f>EXP(-LN(2)/2)*AB48+(1-EXP(-LN(2)/2))/(LN(2)/2)*V49*Y49*VLOOKUP('Données projet'!$B$9,Paramètres!$A$1:$I$89,3,0)*0.475*44/12</f>
        <v>9.4226881729171458E-2</v>
      </c>
      <c r="AC49" s="22">
        <f t="shared" si="3"/>
        <v>14.419693435526536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</v>
      </c>
      <c r="AI49" s="13">
        <f>IF('Données projet'!$A$62&gt;35,AI48+AH49-AQ48,IF(A49&lt;'Données projet'!$A$62,$AF$205^A49,IF(A49='Données projet'!$A$62,'Données projet'!$B$62,AI48+AH49-AQ48)))</f>
        <v>262.39999999999998</v>
      </c>
      <c r="AJ49" s="13">
        <f>AI49*VLOOKUP('Données projet'!$B$10,Paramètres!$A$1:$I$89,3,0)*VLOOKUP('Données projet'!$B$10,Paramètres!$A$1:$I$89,5,0)</f>
        <v>143.2704</v>
      </c>
      <c r="AK49" s="13">
        <f t="shared" si="35"/>
        <v>37.045198377171303</v>
      </c>
      <c r="AL49" s="20">
        <f t="shared" si="4"/>
        <v>314.04966717357325</v>
      </c>
      <c r="AM49" s="59">
        <f t="shared" si="5"/>
        <v>607.38300050690657</v>
      </c>
      <c r="AN49" s="59">
        <f ca="1">AVERAGE(OFFSET($AM$3,0,0,'Données projet'!$E$10+1,1))-AVERAGE(OFFSET($H$3,0,0,'Données projet'!$E$10+1,1))</f>
        <v>168.72306536277267</v>
      </c>
      <c r="AO49" s="59">
        <f t="shared" si="36"/>
        <v>203.35476578922339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2.2159327557181414</v>
      </c>
      <c r="AV49" s="21">
        <f>EXP(-LN(2)/25)*AV48+(1-EXP(-LN(2)/25))/(LN(2)/25)*Calculateur!AQ49*Calculateur!AS49*VLOOKUP('Données projet'!$B$10,Paramètres!$A$1:$I$89,3,0)*0.475*44/12</f>
        <v>14.749785954337847</v>
      </c>
      <c r="AW49" s="21">
        <f>EXP(-LN(2)/2)*AW48+(1-EXP(-LN(2)/2))/(LN(2)/2)*AQ49*AT49*VLOOKUP('Données projet'!$B$10,Paramètres!$A$1:$I$89,3,0)*0.475*44/12</f>
        <v>7.8218150867536154E-2</v>
      </c>
      <c r="AX49" s="21">
        <f t="shared" si="6"/>
        <v>17.043936860923523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10.7</v>
      </c>
      <c r="BD49" s="12">
        <f>IF('Données projet'!$A$88&gt;35,BD48+BC49-BL48,IF(A49&lt;'Données projet'!$A$88,$BA$205^A49,IF(A49='Données projet'!$A$88,'Données projet'!$B$88,BD48+BC49-BL48)))</f>
        <v>241.1999999999999</v>
      </c>
      <c r="BE49" s="13">
        <f>BD49*VLOOKUP('Données projet'!$B$11,Paramètres!$A$1:$I$89,3,0)*VLOOKUP('Données projet'!$B$11,Paramètres!$A$1:$I$89,5,0)</f>
        <v>144.23759999999996</v>
      </c>
      <c r="BF49" s="13">
        <f t="shared" si="37"/>
        <v>37.266088962286922</v>
      </c>
      <c r="BG49" s="20">
        <f t="shared" si="7"/>
        <v>316.11892494264958</v>
      </c>
      <c r="BH49" s="59">
        <f t="shared" si="8"/>
        <v>609.4522582759829</v>
      </c>
      <c r="BI49" s="59">
        <f ca="1">AVERAGE(OFFSET($BH$3,0,0,'Données projet'!$E$11+1,1))-AVERAGE(OFFSET($H$3,0,0,'Données projet'!$E$11+1,1))</f>
        <v>165.39579887388538</v>
      </c>
      <c r="BJ49" s="59">
        <f t="shared" si="38"/>
        <v>155.89639262545802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4.6776030056265947</v>
      </c>
      <c r="BR49" s="21">
        <f>EXP(-LN(2)/2)*BR48+(1-EXP(-LN(2)/2))/(LN(2)/2)*BL49*BO49*VLOOKUP('Données projet'!$B$11,Paramètres!$A$1:$I$89,3,0)*0.475*44/12</f>
        <v>5.4218889591316217E-2</v>
      </c>
      <c r="BS49" s="22">
        <f t="shared" si="9"/>
        <v>4.7318218952179105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112.59999999999998</v>
      </c>
      <c r="BZ49" s="13">
        <f>BY49*VLOOKUP('Données projet'!$B$12,Paramètres!$A$1:$I$89,3,0)*VLOOKUP('Données projet'!$B$12,Paramètres!$A$1:$I$89,5,0)</f>
        <v>108.90671999999998</v>
      </c>
      <c r="CA49" s="13">
        <f t="shared" si="39"/>
        <v>29.073249724487347</v>
      </c>
      <c r="CB49" s="20">
        <f t="shared" si="10"/>
        <v>240.31511393681538</v>
      </c>
      <c r="CC49" s="59">
        <f t="shared" si="11"/>
        <v>533.64844727014872</v>
      </c>
      <c r="CD49" s="59">
        <f ca="1">AVERAGE(OFFSET($CC$3,0,0,'Données projet'!$E$12+1,1))-AVERAGE(OFFSET($H$3,0,0,'Données projet'!$E$12+1,1))</f>
        <v>156.26368818265388</v>
      </c>
      <c r="CE49" s="59">
        <f t="shared" si="40"/>
        <v>56.347130462109817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112.59999999999998</v>
      </c>
      <c r="CU49" s="17">
        <f>CT49*VLOOKUP('Données projet'!$B$13,Paramètres!$A$1:$I$89,3,0)*VLOOKUP('Données projet'!$B$13,Paramètres!$A$1:$I$89,5,0)</f>
        <v>91.341119999999989</v>
      </c>
      <c r="CV49" s="13">
        <f t="shared" si="41"/>
        <v>24.888391876297902</v>
      </c>
      <c r="CW49" s="20">
        <f t="shared" si="13"/>
        <v>202.43306651788546</v>
      </c>
      <c r="CX49" s="59">
        <f t="shared" si="14"/>
        <v>495.76639985121881</v>
      </c>
      <c r="CY49" s="59">
        <f ca="1">AVERAGE(OFFSET($CX$3,0,0,'Données projet'!$E$13+1,1))-AVERAGE(OFFSET($H$3,0,0,'Données projet'!$E$13+1,1))</f>
        <v>112.78807760743126</v>
      </c>
      <c r="CZ49" s="59">
        <f t="shared" si="42"/>
        <v>37.867745922003564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</v>
      </c>
      <c r="DO49" s="12">
        <f>IF('Données projet'!$A$166&gt;35,DO48+DN49-DW48,IF(A49&lt;'Données projet'!$A$166,$DL$205^A49,IF(A49='Données projet'!$A$166,'Données projet'!$B$166,DO48+DN49-DW48)))</f>
        <v>167.99999999999997</v>
      </c>
      <c r="DP49" s="17">
        <f>DO49*VLOOKUP('Données projet'!$B$14,Paramètres!$A$1:$I$89,3,0)*VLOOKUP('Données projet'!$B$14,Paramètres!$A$1:$I$89,5,0)</f>
        <v>112.69439999999997</v>
      </c>
      <c r="DQ49" s="13">
        <f t="shared" si="43"/>
        <v>29.964909381330607</v>
      </c>
      <c r="DR49" s="20">
        <f t="shared" si="16"/>
        <v>248.46496383915076</v>
      </c>
      <c r="DS49" s="59">
        <f t="shared" si="17"/>
        <v>541.79829717248413</v>
      </c>
      <c r="DT49" s="59">
        <f ca="1">AVERAGE(OFFSET($DS$3,0,0,'Données projet'!$E$14+1,1))-AVERAGE(OFFSET($H$3,0,0,'Données projet'!$E$14+1,1))</f>
        <v>107.15837202366862</v>
      </c>
      <c r="DU49" s="59">
        <f t="shared" si="44"/>
        <v>139.67031833740026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3.6372631902861388</v>
      </c>
      <c r="EC49" s="21">
        <f>EXP(-LN(2)/2)*EC48+(1-EXP(-LN(2)/2))/(LN(2)/2)*DW49*DZ49*VLOOKUP('Données projet'!$B$14,Paramètres!$A$1:$I$89,3,0)*0.475*44/12</f>
        <v>2.6365138889865334E-2</v>
      </c>
      <c r="ED49" s="22">
        <f t="shared" si="18"/>
        <v>3.6636283291760039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7.0000000000000027</v>
      </c>
      <c r="EJ49" s="12">
        <f>IF('Données projet'!$A$192&gt;35,EJ48+EI49-ER48,IF(A49&lt;'Données projet'!$A$192,$EG$205^A49,IF(A49='Données projet'!$A$192,'Données projet'!$B$192,EJ48+EI49-ER48)))</f>
        <v>213.39999999999998</v>
      </c>
      <c r="EK49" s="17">
        <f>EJ49*VLOOKUP('Données projet'!$B$15,Paramètres!$A$1:$I$89,3,0)*VLOOKUP('Données projet'!$B$15,Paramètres!$A$1:$I$89,5,0)</f>
        <v>99.871199999999988</v>
      </c>
      <c r="EL49" s="13">
        <f t="shared" si="45"/>
        <v>26.931310423172796</v>
      </c>
      <c r="EM49" s="20">
        <f t="shared" si="19"/>
        <v>220.8477056536926</v>
      </c>
      <c r="EN49" s="59">
        <f t="shared" si="20"/>
        <v>514.18103898702589</v>
      </c>
      <c r="EO49" s="59">
        <f ca="1">AVERAGE(OFFSET($EN$3,0,0,'Données projet'!$E$15+1,1))-AVERAGE(OFFSET($H$3,0,0,'Données projet'!$E$15+1,1))</f>
        <v>123.60520571614535</v>
      </c>
      <c r="EP49" s="59">
        <f t="shared" si="46"/>
        <v>119.00926870519527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0.63176695096698876</v>
      </c>
      <c r="EW49" s="21">
        <f>EXP(-LN(2)/25)*EW48+(1-EXP(-LN(2)/25))/(LN(2)/25)*Calculateur!ER49*Calculateur!ET49*VLOOKUP('Données projet'!$B$15,Paramètres!$A$1:$I$89,3,0)*0.475*44/12</f>
        <v>3.0653075922155097</v>
      </c>
      <c r="EX49" s="21">
        <f>EXP(-LN(2)/2)*EX48+(1-EXP(-LN(2)/2))/(LN(2)/2)*ER49*EU49*VLOOKUP('Données projet'!$B$15,Paramètres!$A$1:$I$89,3,0)*0.475*44/12</f>
        <v>2.3881681605791193E-2</v>
      </c>
      <c r="EY49" s="22">
        <f t="shared" si="21"/>
        <v>3.7209562247882899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6.9</v>
      </c>
      <c r="FE49" s="12">
        <f>IF('Données projet'!$A$218&gt;35,FE48+FD49-FM48,IF(A49&lt;'Données projet'!$A$218,$FB$205^A49,IF(A49='Données projet'!$A$218,'Données projet'!$B$218,FE48+FD49-FM48)))</f>
        <v>301.39999999999992</v>
      </c>
      <c r="FF49" s="17">
        <f>FE49*VLOOKUP('Données projet'!$B$16,Paramètres!$A$1:$I$89,3,0)*VLOOKUP('Données projet'!$B$16,Paramètres!$A$1:$I$89,5,0)</f>
        <v>144.97339999999997</v>
      </c>
      <c r="FG49" s="13">
        <f t="shared" si="47"/>
        <v>37.434016571276665</v>
      </c>
      <c r="FH49" s="20">
        <f t="shared" si="22"/>
        <v>317.69291719497346</v>
      </c>
      <c r="FI49" s="59">
        <f t="shared" si="23"/>
        <v>611.02625052830672</v>
      </c>
      <c r="FJ49" s="59">
        <f ca="1">AVERAGE(OFFSET($FI$3,0,0,'Données projet'!$E$16+1,1))-AVERAGE(OFFSET($H$3,0,0,'Données projet'!$E$16+1,1))</f>
        <v>197.66963254934603</v>
      </c>
      <c r="FK49" s="59">
        <f t="shared" si="48"/>
        <v>158.08388141976138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1.942835374146076</v>
      </c>
      <c r="FR49" s="21">
        <f>EXP(-LN(2)/25)*FR48+(1-EXP(-LN(2)/25))/(LN(2)/25)*Calculateur!FM49*Calculateur!FO49*VLOOKUP('Données projet'!$B$16,Paramètres!$A$1:$I$89,3,0)*0.475*44/12</f>
        <v>3.40962922516889</v>
      </c>
      <c r="FS49" s="21">
        <f>EXP(-LN(2)/2)*FS48+(1-EXP(-LN(2)/2))/(LN(2)/2)*FM49*FP49*VLOOKUP('Données projet'!$B$16,Paramètres!$A$1:$I$89,3,0)*0.475*44/12</f>
        <v>3.233584677216992E-2</v>
      </c>
      <c r="FT49" s="22">
        <f t="shared" si="24"/>
        <v>5.3848004460871355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10.7</v>
      </c>
      <c r="FZ49" s="12">
        <f>IF('Données projet'!$A$244&gt;35,FZ48+FY49-GH48,IF(A49&lt;'Données projet'!$A$244,$FW$205^A49,IF(A49='Données projet'!$A$244,'Données projet'!$B$244,FZ48+FY49-GH48)))</f>
        <v>241.1999999999999</v>
      </c>
      <c r="GA49" s="17">
        <f>FZ49*VLOOKUP('Données projet'!$B$17,Paramètres!$A$1:$I$89,3,0)*VLOOKUP('Données projet'!$B$17,Paramètres!$A$1:$I$89,5,0)</f>
        <v>144.23759999999996</v>
      </c>
      <c r="GB49" s="13">
        <f t="shared" si="49"/>
        <v>37.266088962286922</v>
      </c>
      <c r="GC49" s="20">
        <f t="shared" si="25"/>
        <v>316.11892494264958</v>
      </c>
      <c r="GD49" s="59">
        <f t="shared" si="26"/>
        <v>609.4522582759829</v>
      </c>
      <c r="GE49" s="59">
        <f ca="1">AVERAGE(OFFSET($GD$3,0,0,'Données projet'!$E$17+1,1))-AVERAGE(OFFSET($H$3,0,0,'Données projet'!$E$17+1,1))</f>
        <v>165.39579887388538</v>
      </c>
      <c r="GF49" s="59">
        <f t="shared" si="50"/>
        <v>155.89639262545802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4.6776030056265947</v>
      </c>
      <c r="GN49" s="21">
        <f>EXP(-LN(2)/2)*GN48+(1-EXP(-LN(2)/2))/(LN(2)/2)*GH49*GK49*VLOOKUP('Données projet'!$B$17,Paramètres!$A$1:$I$89,3,0)*0.475*44/12</f>
        <v>5.4218889591316217E-2</v>
      </c>
      <c r="GO49" s="21">
        <f t="shared" si="27"/>
        <v>4.7318218952179105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5.6</v>
      </c>
      <c r="GU49" s="12">
        <f>IF('Données projet'!$A$270&gt;35,GU48+GT49-HC48,IF(A49&lt;'Données projet'!$A$270,$GR$205^A49,IF(A49='Données projet'!$A$270,'Données projet'!$B$270,GU48+GT49-HC48)))</f>
        <v>112.59999999999998</v>
      </c>
      <c r="GV49" s="17">
        <f>GU49*VLOOKUP('Données projet'!$B$18,Paramètres!$A$1:$I$89,3,0)*VLOOKUP('Données projet'!$B$18,Paramètres!$A$1:$I$89,5,0)</f>
        <v>121.20263999999996</v>
      </c>
      <c r="GW49" s="13">
        <f t="shared" si="51"/>
        <v>31.955332323658638</v>
      </c>
      <c r="GX49" s="20">
        <f t="shared" si="28"/>
        <v>266.75013513037209</v>
      </c>
      <c r="GY49" s="59">
        <f t="shared" si="29"/>
        <v>560.08346846370546</v>
      </c>
      <c r="GZ49" s="59">
        <f ca="1">AVERAGE(OFFSET($GY$3,0,0,'Données projet'!$E$18+1,1))-AVERAGE(OFFSET($H$3,0,0,'Données projet'!$E$18+1,1))</f>
        <v>186.60545265015247</v>
      </c>
      <c r="HA49" s="59">
        <f t="shared" si="52"/>
        <v>69.239647548491234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0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15.5</v>
      </c>
      <c r="N50" s="13">
        <f>IF('Données projet'!$A$36&gt;35,N49+M50-V49,IF(A50&lt;'Données projet'!$A$36,$K$205^A50,IF(A50='Données projet'!$A$36,'Données projet'!$B$36,N49+M50-V49)))</f>
        <v>353.50000000000011</v>
      </c>
      <c r="O50" s="13">
        <f>N50*VLOOKUP('Données projet'!$B$9,Paramètres!$A$1:$I$89,3,0)*VLOOKUP('Données projet'!$B$9,Paramètres!$A$1:$I$89,5,0)</f>
        <v>197.60650000000007</v>
      </c>
      <c r="P50" s="13">
        <f t="shared" si="33"/>
        <v>49.217780850747971</v>
      </c>
      <c r="Q50" s="20">
        <f t="shared" si="53"/>
        <v>429.88562248171951</v>
      </c>
      <c r="R50" s="59">
        <f t="shared" si="0"/>
        <v>723.21895581505282</v>
      </c>
      <c r="S50" s="59">
        <f ca="1">AVERAGE(OFFSET($R$3,0,0,'Données projet'!$E$9+1,1))-AVERAGE(OFFSET($H$3,0,0,'Données projet'!$E$9+1,1))</f>
        <v>235.10258076192054</v>
      </c>
      <c r="T50" s="59">
        <f t="shared" si="34"/>
        <v>233.47316052603765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2.4466259095261593</v>
      </c>
      <c r="AA50" s="21">
        <f>EXP(-LN(2)/25)*AA49+(1-EXP(-LN(2)/25))/(LN(2)/25)*Calculateur!V50*Calculateur!X50*VLOOKUP('Données projet'!$B$9,Paramètres!$A$1:$I$89,3,0)*0.475*44/12</f>
        <v>11.50641483628886</v>
      </c>
      <c r="AB50" s="21">
        <f>EXP(-LN(2)/2)*AB49+(1-EXP(-LN(2)/2))/(LN(2)/2)*V50*Y50*VLOOKUP('Données projet'!$B$9,Paramètres!$A$1:$I$89,3,0)*0.475*44/12</f>
        <v>6.6628467040759934E-2</v>
      </c>
      <c r="AC50" s="22">
        <f t="shared" si="3"/>
        <v>14.01966921285578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</v>
      </c>
      <c r="AI50" s="13">
        <f>IF('Données projet'!$A$62&gt;35,AI49+AH50-AQ49,IF(A50&lt;'Données projet'!$A$62,$AF$205^A50,IF(A50='Données projet'!$A$62,'Données projet'!$B$62,AI49+AH50-AQ49)))</f>
        <v>272.29999999999995</v>
      </c>
      <c r="AJ50" s="13">
        <f>AI50*VLOOKUP('Données projet'!$B$10,Paramètres!$A$1:$I$89,3,0)*VLOOKUP('Données projet'!$B$10,Paramètres!$A$1:$I$89,5,0)</f>
        <v>148.67579999999998</v>
      </c>
      <c r="AK50" s="13">
        <f t="shared" si="35"/>
        <v>38.277501294524541</v>
      </c>
      <c r="AL50" s="20">
        <f t="shared" si="4"/>
        <v>325.61033308796351</v>
      </c>
      <c r="AM50" s="59">
        <f t="shared" si="5"/>
        <v>618.94366642129683</v>
      </c>
      <c r="AN50" s="59">
        <f ca="1">AVERAGE(OFFSET($AM$3,0,0,'Données projet'!$E$10+1,1))-AVERAGE(OFFSET($H$3,0,0,'Données projet'!$E$10+1,1))</f>
        <v>168.72306536277267</v>
      </c>
      <c r="AO50" s="59">
        <f t="shared" si="36"/>
        <v>203.35476578922339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2.1724796659640315</v>
      </c>
      <c r="AV50" s="21">
        <f>EXP(-LN(2)/25)*AV49+(1-EXP(-LN(2)/25))/(LN(2)/25)*Calculateur!AQ50*Calculateur!AS50*VLOOKUP('Données projet'!$B$10,Paramètres!$A$1:$I$89,3,0)*0.475*44/12</f>
        <v>14.346452281758946</v>
      </c>
      <c r="AW50" s="21">
        <f>EXP(-LN(2)/2)*AW49+(1-EXP(-LN(2)/2))/(LN(2)/2)*AQ50*AT50*VLOOKUP('Données projet'!$B$10,Paramètres!$A$1:$I$89,3,0)*0.475*44/12</f>
        <v>5.5308584890307252E-2</v>
      </c>
      <c r="AX50" s="21">
        <f t="shared" si="6"/>
        <v>16.574240532613285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10.7</v>
      </c>
      <c r="BD50" s="12">
        <f>IF('Données projet'!$A$88&gt;35,BD49+BC50-BL49,IF(A50&lt;'Données projet'!$A$88,$BA$205^A50,IF(A50='Données projet'!$A$88,'Données projet'!$B$88,BD49+BC50-BL49)))</f>
        <v>251.89999999999989</v>
      </c>
      <c r="BE50" s="13">
        <f>BD50*VLOOKUP('Données projet'!$B$11,Paramètres!$A$1:$I$89,3,0)*VLOOKUP('Données projet'!$B$11,Paramètres!$A$1:$I$89,5,0)</f>
        <v>150.63619999999995</v>
      </c>
      <c r="BF50" s="13">
        <f t="shared" si="37"/>
        <v>38.723128721349489</v>
      </c>
      <c r="BG50" s="20">
        <f t="shared" si="7"/>
        <v>329.80083085635027</v>
      </c>
      <c r="BH50" s="59">
        <f t="shared" si="8"/>
        <v>623.13416418968359</v>
      </c>
      <c r="BI50" s="59">
        <f ca="1">AVERAGE(OFFSET($BH$3,0,0,'Données projet'!$E$11+1,1))-AVERAGE(OFFSET($H$3,0,0,'Données projet'!$E$11+1,1))</f>
        <v>165.39579887388538</v>
      </c>
      <c r="BJ50" s="59">
        <f t="shared" si="38"/>
        <v>155.89639262545802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4.5496937054532838</v>
      </c>
      <c r="BR50" s="21">
        <f>EXP(-LN(2)/2)*BR49+(1-EXP(-LN(2)/2))/(LN(2)/2)*BL50*BO50*VLOOKUP('Données projet'!$B$11,Paramètres!$A$1:$I$89,3,0)*0.475*44/12</f>
        <v>3.8338544498424415E-2</v>
      </c>
      <c r="BS50" s="22">
        <f t="shared" si="9"/>
        <v>4.5880322499517083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118.19999999999997</v>
      </c>
      <c r="BZ50" s="13">
        <f>BY50*VLOOKUP('Données projet'!$B$12,Paramètres!$A$1:$I$89,3,0)*VLOOKUP('Données projet'!$B$12,Paramètres!$A$1:$I$89,5,0)</f>
        <v>114.32303999999996</v>
      </c>
      <c r="CA50" s="13">
        <f t="shared" si="39"/>
        <v>30.347230203330305</v>
      </c>
      <c r="CB50" s="20">
        <f t="shared" si="10"/>
        <v>251.96738727080017</v>
      </c>
      <c r="CC50" s="59">
        <f t="shared" si="11"/>
        <v>545.30072060413352</v>
      </c>
      <c r="CD50" s="59">
        <f ca="1">AVERAGE(OFFSET($CC$3,0,0,'Données projet'!$E$12+1,1))-AVERAGE(OFFSET($H$3,0,0,'Données projet'!$E$12+1,1))</f>
        <v>156.26368818265388</v>
      </c>
      <c r="CE50" s="59">
        <f t="shared" si="40"/>
        <v>56.347130462109817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118.19999999999997</v>
      </c>
      <c r="CU50" s="17">
        <f>CT50*VLOOKUP('Données projet'!$B$13,Paramètres!$A$1:$I$89,3,0)*VLOOKUP('Données projet'!$B$13,Paramètres!$A$1:$I$89,5,0)</f>
        <v>95.883839999999992</v>
      </c>
      <c r="CV50" s="13">
        <f t="shared" si="41"/>
        <v>25.978993226359272</v>
      </c>
      <c r="CW50" s="20">
        <f t="shared" si="13"/>
        <v>212.24443453590905</v>
      </c>
      <c r="CX50" s="59">
        <f t="shared" si="14"/>
        <v>505.57776786924239</v>
      </c>
      <c r="CY50" s="59">
        <f ca="1">AVERAGE(OFFSET($CX$3,0,0,'Données projet'!$E$13+1,1))-AVERAGE(OFFSET($H$3,0,0,'Données projet'!$E$13+1,1))</f>
        <v>112.78807760743126</v>
      </c>
      <c r="CZ50" s="59">
        <f t="shared" si="42"/>
        <v>37.867745922003564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</v>
      </c>
      <c r="DO50" s="12">
        <f>IF('Données projet'!$A$166&gt;35,DO49+DN50-DW49,IF(A50&lt;'Données projet'!$A$166,$DL$205^A50,IF(A50='Données projet'!$A$166,'Données projet'!$B$166,DO49+DN50-DW49)))</f>
        <v>173.99999999999997</v>
      </c>
      <c r="DP50" s="17">
        <f>DO50*VLOOKUP('Données projet'!$B$14,Paramètres!$A$1:$I$89,3,0)*VLOOKUP('Données projet'!$B$14,Paramètres!$A$1:$I$89,5,0)</f>
        <v>116.71919999999999</v>
      </c>
      <c r="DQ50" s="13">
        <f t="shared" si="43"/>
        <v>30.908576435525887</v>
      </c>
      <c r="DR50" s="20">
        <f t="shared" si="16"/>
        <v>257.1183772918742</v>
      </c>
      <c r="DS50" s="59">
        <f t="shared" si="17"/>
        <v>550.45171062520751</v>
      </c>
      <c r="DT50" s="59">
        <f ca="1">AVERAGE(OFFSET($DS$3,0,0,'Données projet'!$E$14+1,1))-AVERAGE(OFFSET($H$3,0,0,'Données projet'!$E$14+1,1))</f>
        <v>107.15837202366862</v>
      </c>
      <c r="DU50" s="59">
        <f t="shared" si="44"/>
        <v>139.67031833740026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3.5378020370724061</v>
      </c>
      <c r="EC50" s="21">
        <f>EXP(-LN(2)/2)*EC49+(1-EXP(-LN(2)/2))/(LN(2)/2)*DW50*DZ50*VLOOKUP('Données projet'!$B$14,Paramètres!$A$1:$I$89,3,0)*0.475*44/12</f>
        <v>1.8642968495948941E-2</v>
      </c>
      <c r="ED50" s="22">
        <f t="shared" si="18"/>
        <v>3.5564450055683552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7.0000000000000027</v>
      </c>
      <c r="EJ50" s="12">
        <f>IF('Données projet'!$A$192&gt;35,EJ49+EI50-ER49,IF(A50&lt;'Données projet'!$A$192,$EG$205^A50,IF(A50='Données projet'!$A$192,'Données projet'!$B$192,EJ49+EI50-ER49)))</f>
        <v>220.39999999999998</v>
      </c>
      <c r="EK50" s="17">
        <f>EJ50*VLOOKUP('Données projet'!$B$15,Paramètres!$A$1:$I$89,3,0)*VLOOKUP('Données projet'!$B$15,Paramètres!$A$1:$I$89,5,0)</f>
        <v>103.1472</v>
      </c>
      <c r="EL50" s="13">
        <f t="shared" si="45"/>
        <v>27.710417026801451</v>
      </c>
      <c r="EM50" s="20">
        <f t="shared" si="19"/>
        <v>227.91034965501251</v>
      </c>
      <c r="EN50" s="59">
        <f t="shared" si="20"/>
        <v>521.24368298834588</v>
      </c>
      <c r="EO50" s="59">
        <f ca="1">AVERAGE(OFFSET($EN$3,0,0,'Données projet'!$E$15+1,1))-AVERAGE(OFFSET($H$3,0,0,'Données projet'!$E$15+1,1))</f>
        <v>123.60520571614535</v>
      </c>
      <c r="EP50" s="59">
        <f t="shared" si="46"/>
        <v>119.00926870519527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0.6193783863983171</v>
      </c>
      <c r="EW50" s="21">
        <f>EXP(-LN(2)/25)*EW49+(1-EXP(-LN(2)/25))/(LN(2)/25)*Calculateur!ER50*Calculateur!ET50*VLOOKUP('Données projet'!$B$15,Paramètres!$A$1:$I$89,3,0)*0.475*44/12</f>
        <v>2.9814865949088563</v>
      </c>
      <c r="EX50" s="21">
        <f>EXP(-LN(2)/2)*EX49+(1-EXP(-LN(2)/2))/(LN(2)/2)*ER50*EU50*VLOOKUP('Données projet'!$B$15,Paramètres!$A$1:$I$89,3,0)*0.475*44/12</f>
        <v>1.688689900959299E-2</v>
      </c>
      <c r="EY50" s="22">
        <f t="shared" si="21"/>
        <v>3.6177518803167663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6.9</v>
      </c>
      <c r="FE50" s="12">
        <f>IF('Données projet'!$A$218&gt;35,FE49+FD50-FM49,IF(A50&lt;'Données projet'!$A$218,$FB$205^A50,IF(A50='Données projet'!$A$218,'Données projet'!$B$218,FE49+FD50-FM49)))</f>
        <v>308.2999999999999</v>
      </c>
      <c r="FF50" s="17">
        <f>FE50*VLOOKUP('Données projet'!$B$16,Paramètres!$A$1:$I$89,3,0)*VLOOKUP('Données projet'!$B$16,Paramètres!$A$1:$I$89,5,0)</f>
        <v>148.29229999999995</v>
      </c>
      <c r="FG50" s="13">
        <f t="shared" si="47"/>
        <v>38.190246434375595</v>
      </c>
      <c r="FH50" s="20">
        <f t="shared" si="22"/>
        <v>324.79043503987072</v>
      </c>
      <c r="FI50" s="59">
        <f t="shared" si="23"/>
        <v>618.12376837320403</v>
      </c>
      <c r="FJ50" s="59">
        <f ca="1">AVERAGE(OFFSET($FI$3,0,0,'Données projet'!$E$16+1,1))-AVERAGE(OFFSET($H$3,0,0,'Données projet'!$E$16+1,1))</f>
        <v>197.66963254934603</v>
      </c>
      <c r="FK50" s="59">
        <f t="shared" si="48"/>
        <v>158.08388141976138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1.9047375574716394</v>
      </c>
      <c r="FR50" s="21">
        <f>EXP(-LN(2)/25)*FR49+(1-EXP(-LN(2)/25))/(LN(2)/25)*Calculateur!FM50*Calculateur!FO50*VLOOKUP('Données projet'!$B$16,Paramètres!$A$1:$I$89,3,0)*0.475*44/12</f>
        <v>3.3163927347020388</v>
      </c>
      <c r="FS50" s="21">
        <f>EXP(-LN(2)/2)*FS49+(1-EXP(-LN(2)/2))/(LN(2)/2)*FM50*FP50*VLOOKUP('Données projet'!$B$16,Paramètres!$A$1:$I$89,3,0)*0.475*44/12</f>
        <v>2.2864896528010485E-2</v>
      </c>
      <c r="FT50" s="22">
        <f t="shared" si="24"/>
        <v>5.243995188701688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10.7</v>
      </c>
      <c r="FZ50" s="12">
        <f>IF('Données projet'!$A$244&gt;35,FZ49+FY50-GH49,IF(A50&lt;'Données projet'!$A$244,$FW$205^A50,IF(A50='Données projet'!$A$244,'Données projet'!$B$244,FZ49+FY50-GH49)))</f>
        <v>251.89999999999989</v>
      </c>
      <c r="GA50" s="17">
        <f>FZ50*VLOOKUP('Données projet'!$B$17,Paramètres!$A$1:$I$89,3,0)*VLOOKUP('Données projet'!$B$17,Paramètres!$A$1:$I$89,5,0)</f>
        <v>150.63619999999995</v>
      </c>
      <c r="GB50" s="13">
        <f t="shared" si="49"/>
        <v>38.723128721349489</v>
      </c>
      <c r="GC50" s="20">
        <f t="shared" si="25"/>
        <v>329.80083085635027</v>
      </c>
      <c r="GD50" s="59">
        <f t="shared" si="26"/>
        <v>623.13416418968359</v>
      </c>
      <c r="GE50" s="59">
        <f ca="1">AVERAGE(OFFSET($GD$3,0,0,'Données projet'!$E$17+1,1))-AVERAGE(OFFSET($H$3,0,0,'Données projet'!$E$17+1,1))</f>
        <v>165.39579887388538</v>
      </c>
      <c r="GF50" s="59">
        <f t="shared" si="50"/>
        <v>155.89639262545802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4.5496937054532838</v>
      </c>
      <c r="GN50" s="21">
        <f>EXP(-LN(2)/2)*GN49+(1-EXP(-LN(2)/2))/(LN(2)/2)*GH50*GK50*VLOOKUP('Données projet'!$B$17,Paramètres!$A$1:$I$89,3,0)*0.475*44/12</f>
        <v>3.8338544498424415E-2</v>
      </c>
      <c r="GO50" s="21">
        <f t="shared" si="27"/>
        <v>4.5880322499517083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5.6</v>
      </c>
      <c r="GU50" s="12">
        <f>IF('Données projet'!$A$270&gt;35,GU49+GT50-HC49,IF(A50&lt;'Données projet'!$A$270,$GR$205^A50,IF(A50='Données projet'!$A$270,'Données projet'!$B$270,GU49+GT50-HC49)))</f>
        <v>118.19999999999997</v>
      </c>
      <c r="GV50" s="17">
        <f>GU50*VLOOKUP('Données projet'!$B$18,Paramètres!$A$1:$I$89,3,0)*VLOOKUP('Données projet'!$B$18,Paramètres!$A$1:$I$89,5,0)</f>
        <v>127.23047999999997</v>
      </c>
      <c r="GW50" s="13">
        <f t="shared" si="51"/>
        <v>33.355604737684331</v>
      </c>
      <c r="GX50" s="20">
        <f t="shared" si="28"/>
        <v>279.68743091813349</v>
      </c>
      <c r="GY50" s="59">
        <f t="shared" si="29"/>
        <v>573.02076425146674</v>
      </c>
      <c r="GZ50" s="59">
        <f ca="1">AVERAGE(OFFSET($GY$3,0,0,'Données projet'!$E$18+1,1))-AVERAGE(OFFSET($H$3,0,0,'Données projet'!$E$18+1,1))</f>
        <v>186.60545265015247</v>
      </c>
      <c r="HA50" s="59">
        <f t="shared" si="52"/>
        <v>69.239647548491234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0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15.5</v>
      </c>
      <c r="N51" s="13">
        <f>IF('Données projet'!$A$36&gt;35,N50+M51-V50,IF(A51&lt;'Données projet'!$A$36,$K$205^A51,IF(A51='Données projet'!$A$36,'Données projet'!$B$36,N50+M51-V50)))</f>
        <v>369.00000000000011</v>
      </c>
      <c r="O51" s="13">
        <f>N51*VLOOKUP('Données projet'!$B$9,Paramètres!$A$1:$I$89,3,0)*VLOOKUP('Données projet'!$B$9,Paramètres!$A$1:$I$89,5,0)</f>
        <v>206.27100000000007</v>
      </c>
      <c r="P51" s="13">
        <f t="shared" si="33"/>
        <v>51.119857609331589</v>
      </c>
      <c r="Q51" s="20">
        <f t="shared" si="53"/>
        <v>448.28907700291933</v>
      </c>
      <c r="R51" s="59">
        <f t="shared" si="0"/>
        <v>741.62241033625264</v>
      </c>
      <c r="S51" s="59">
        <f ca="1">AVERAGE(OFFSET($R$3,0,0,'Données projet'!$E$9+1,1))-AVERAGE(OFFSET($H$3,0,0,'Données projet'!$E$9+1,1))</f>
        <v>235.10258076192054</v>
      </c>
      <c r="T51" s="59">
        <f t="shared" si="34"/>
        <v>233.47316052603765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2.3986490677348042</v>
      </c>
      <c r="AA51" s="21">
        <f>EXP(-LN(2)/25)*AA50+(1-EXP(-LN(2)/25))/(LN(2)/25)*Calculateur!V51*Calculateur!X51*VLOOKUP('Données projet'!$B$9,Paramètres!$A$1:$I$89,3,0)*0.475*44/12</f>
        <v>11.191771317494483</v>
      </c>
      <c r="AB51" s="21">
        <f>EXP(-LN(2)/2)*AB50+(1-EXP(-LN(2)/2))/(LN(2)/2)*V51*Y51*VLOOKUP('Données projet'!$B$9,Paramètres!$A$1:$I$89,3,0)*0.475*44/12</f>
        <v>4.7113440864585729E-2</v>
      </c>
      <c r="AC51" s="22">
        <f t="shared" si="3"/>
        <v>13.637533826093872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</v>
      </c>
      <c r="AI51" s="13">
        <f>IF('Données projet'!$A$62&gt;35,AI50+AH51-AQ50,IF(A51&lt;'Données projet'!$A$62,$AF$205^A51,IF(A51='Données projet'!$A$62,'Données projet'!$B$62,AI50+AH51-AQ50)))</f>
        <v>282.19999999999993</v>
      </c>
      <c r="AJ51" s="13">
        <f>AI51*VLOOKUP('Données projet'!$B$10,Paramètres!$A$1:$I$89,3,0)*VLOOKUP('Données projet'!$B$10,Paramètres!$A$1:$I$89,5,0)</f>
        <v>154.08119999999997</v>
      </c>
      <c r="AK51" s="13">
        <f t="shared" si="35"/>
        <v>39.504598975531827</v>
      </c>
      <c r="AL51" s="20">
        <f t="shared" si="4"/>
        <v>337.16193321571785</v>
      </c>
      <c r="AM51" s="59">
        <f t="shared" si="5"/>
        <v>630.49526654905117</v>
      </c>
      <c r="AN51" s="59">
        <f ca="1">AVERAGE(OFFSET($AM$3,0,0,'Données projet'!$E$10+1,1))-AVERAGE(OFFSET($H$3,0,0,'Données projet'!$E$10+1,1))</f>
        <v>168.72306536277267</v>
      </c>
      <c r="AO51" s="59">
        <f t="shared" si="36"/>
        <v>203.35476578922339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2.129878664796232</v>
      </c>
      <c r="AV51" s="21">
        <f>EXP(-LN(2)/25)*AV50+(1-EXP(-LN(2)/25))/(LN(2)/25)*Calculateur!AQ51*Calculateur!AS51*VLOOKUP('Données projet'!$B$10,Paramètres!$A$1:$I$89,3,0)*0.475*44/12</f>
        <v>13.954147789667111</v>
      </c>
      <c r="AW51" s="21">
        <f>EXP(-LN(2)/2)*AW50+(1-EXP(-LN(2)/2))/(LN(2)/2)*AQ51*AT51*VLOOKUP('Données projet'!$B$10,Paramètres!$A$1:$I$89,3,0)*0.475*44/12</f>
        <v>3.9109075433768084E-2</v>
      </c>
      <c r="AX51" s="21">
        <f t="shared" si="6"/>
        <v>16.123135529897109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10.7</v>
      </c>
      <c r="BD51" s="12">
        <f>IF('Données projet'!$A$88&gt;35,BD50+BC51-BL50,IF(A51&lt;'Données projet'!$A$88,$BA$205^A51,IF(A51='Données projet'!$A$88,'Données projet'!$B$88,BD50+BC51-BL50)))</f>
        <v>262.59999999999991</v>
      </c>
      <c r="BE51" s="13">
        <f>BD51*VLOOKUP('Données projet'!$B$11,Paramètres!$A$1:$I$89,3,0)*VLOOKUP('Données projet'!$B$11,Paramètres!$A$1:$I$89,5,0)</f>
        <v>157.03479999999996</v>
      </c>
      <c r="BF51" s="13">
        <f t="shared" si="37"/>
        <v>40.172979873645495</v>
      </c>
      <c r="BG51" s="20">
        <f t="shared" si="7"/>
        <v>343.47021661326585</v>
      </c>
      <c r="BH51" s="59">
        <f t="shared" si="8"/>
        <v>636.80354994659911</v>
      </c>
      <c r="BI51" s="59">
        <f ca="1">AVERAGE(OFFSET($BH$3,0,0,'Données projet'!$E$11+1,1))-AVERAGE(OFFSET($H$3,0,0,'Données projet'!$E$11+1,1))</f>
        <v>165.39579887388538</v>
      </c>
      <c r="BJ51" s="59">
        <f t="shared" si="38"/>
        <v>155.89639262545802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4.4252820918196702</v>
      </c>
      <c r="BR51" s="21">
        <f>EXP(-LN(2)/2)*BR50+(1-EXP(-LN(2)/2))/(LN(2)/2)*BL51*BO51*VLOOKUP('Données projet'!$B$11,Paramètres!$A$1:$I$89,3,0)*0.475*44/12</f>
        <v>2.7109444795658109E-2</v>
      </c>
      <c r="BS51" s="22">
        <f t="shared" si="9"/>
        <v>4.4523915366153286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123.79999999999997</v>
      </c>
      <c r="BZ51" s="13">
        <f>BY51*VLOOKUP('Données projet'!$B$12,Paramètres!$A$1:$I$89,3,0)*VLOOKUP('Données projet'!$B$12,Paramètres!$A$1:$I$89,5,0)</f>
        <v>119.73935999999998</v>
      </c>
      <c r="CA51" s="13">
        <f t="shared" si="39"/>
        <v>31.614201603611257</v>
      </c>
      <c r="CB51" s="20">
        <f t="shared" si="10"/>
        <v>263.60745312628956</v>
      </c>
      <c r="CC51" s="59">
        <f t="shared" si="11"/>
        <v>556.94078645962281</v>
      </c>
      <c r="CD51" s="59">
        <f ca="1">AVERAGE(OFFSET($CC$3,0,0,'Données projet'!$E$12+1,1))-AVERAGE(OFFSET($H$3,0,0,'Données projet'!$E$12+1,1))</f>
        <v>156.26368818265388</v>
      </c>
      <c r="CE51" s="59">
        <f t="shared" si="40"/>
        <v>56.347130462109817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123.79999999999997</v>
      </c>
      <c r="CU51" s="17">
        <f>CT51*VLOOKUP('Données projet'!$B$13,Paramètres!$A$1:$I$89,3,0)*VLOOKUP('Données projet'!$B$13,Paramètres!$A$1:$I$89,5,0)</f>
        <v>100.42655999999999</v>
      </c>
      <c r="CV51" s="13">
        <f t="shared" si="41"/>
        <v>27.063594397713516</v>
      </c>
      <c r="CW51" s="20">
        <f t="shared" si="13"/>
        <v>222.04535224268434</v>
      </c>
      <c r="CX51" s="59">
        <f t="shared" si="14"/>
        <v>515.37868557601769</v>
      </c>
      <c r="CY51" s="59">
        <f ca="1">AVERAGE(OFFSET($CX$3,0,0,'Données projet'!$E$13+1,1))-AVERAGE(OFFSET($H$3,0,0,'Données projet'!$E$13+1,1))</f>
        <v>112.78807760743126</v>
      </c>
      <c r="CZ51" s="59">
        <f t="shared" si="42"/>
        <v>37.867745922003564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</v>
      </c>
      <c r="DO51" s="12">
        <f>IF('Données projet'!$A$166&gt;35,DO50+DN51-DW50,IF(A51&lt;'Données projet'!$A$166,$DL$205^A51,IF(A51='Données projet'!$A$166,'Données projet'!$B$166,DO50+DN51-DW50)))</f>
        <v>179.99999999999997</v>
      </c>
      <c r="DP51" s="17">
        <f>DO51*VLOOKUP('Données projet'!$B$14,Paramètres!$A$1:$I$89,3,0)*VLOOKUP('Données projet'!$B$14,Paramètres!$A$1:$I$89,5,0)</f>
        <v>120.74399999999999</v>
      </c>
      <c r="DQ51" s="13">
        <f t="shared" si="43"/>
        <v>31.848462605207807</v>
      </c>
      <c r="DR51" s="20">
        <f t="shared" si="16"/>
        <v>265.76520570407024</v>
      </c>
      <c r="DS51" s="59">
        <f t="shared" si="17"/>
        <v>559.0985390374035</v>
      </c>
      <c r="DT51" s="59">
        <f ca="1">AVERAGE(OFFSET($DS$3,0,0,'Données projet'!$E$14+1,1))-AVERAGE(OFFSET($H$3,0,0,'Données projet'!$E$14+1,1))</f>
        <v>107.15837202366862</v>
      </c>
      <c r="DU51" s="59">
        <f t="shared" si="44"/>
        <v>139.67031833740026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3.4410606543237376</v>
      </c>
      <c r="EC51" s="21">
        <f>EXP(-LN(2)/2)*EC50+(1-EXP(-LN(2)/2))/(LN(2)/2)*DW51*DZ51*VLOOKUP('Données projet'!$B$14,Paramètres!$A$1:$I$89,3,0)*0.475*44/12</f>
        <v>1.3182569444932667E-2</v>
      </c>
      <c r="ED51" s="22">
        <f t="shared" si="18"/>
        <v>3.4542432237686702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7.0000000000000027</v>
      </c>
      <c r="EJ51" s="12">
        <f>IF('Données projet'!$A$192&gt;35,EJ50+EI51-ER50,IF(A51&lt;'Données projet'!$A$192,$EG$205^A51,IF(A51='Données projet'!$A$192,'Données projet'!$B$192,EJ50+EI51-ER50)))</f>
        <v>227.39999999999998</v>
      </c>
      <c r="EK51" s="17">
        <f>EJ51*VLOOKUP('Données projet'!$B$15,Paramètres!$A$1:$I$89,3,0)*VLOOKUP('Données projet'!$B$15,Paramètres!$A$1:$I$89,5,0)</f>
        <v>106.42319999999999</v>
      </c>
      <c r="EL51" s="13">
        <f t="shared" si="45"/>
        <v>28.486648146569141</v>
      </c>
      <c r="EM51" s="20">
        <f t="shared" si="19"/>
        <v>234.96798552194124</v>
      </c>
      <c r="EN51" s="59">
        <f t="shared" si="20"/>
        <v>528.30131885527453</v>
      </c>
      <c r="EO51" s="59">
        <f ca="1">AVERAGE(OFFSET($EN$3,0,0,'Données projet'!$E$15+1,1))-AVERAGE(OFFSET($H$3,0,0,'Données projet'!$E$15+1,1))</f>
        <v>123.60520571614535</v>
      </c>
      <c r="EP51" s="59">
        <f t="shared" si="46"/>
        <v>119.00926870519527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0.60723275402455879</v>
      </c>
      <c r="EW51" s="21">
        <f>EXP(-LN(2)/25)*EW50+(1-EXP(-LN(2)/25))/(LN(2)/25)*Calculateur!ER51*Calculateur!ET51*VLOOKUP('Données projet'!$B$15,Paramètres!$A$1:$I$89,3,0)*0.475*44/12</f>
        <v>2.8999576871815078</v>
      </c>
      <c r="EX51" s="21">
        <f>EXP(-LN(2)/2)*EX50+(1-EXP(-LN(2)/2))/(LN(2)/2)*ER51*EU51*VLOOKUP('Données projet'!$B$15,Paramètres!$A$1:$I$89,3,0)*0.475*44/12</f>
        <v>1.1940840802895597E-2</v>
      </c>
      <c r="EY51" s="22">
        <f t="shared" si="21"/>
        <v>3.5191312820089626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6.9</v>
      </c>
      <c r="FE51" s="12">
        <f>IF('Données projet'!$A$218&gt;35,FE50+FD51-FM50,IF(A51&lt;'Données projet'!$A$218,$FB$205^A51,IF(A51='Données projet'!$A$218,'Données projet'!$B$218,FE50+FD51-FM50)))</f>
        <v>315.19999999999987</v>
      </c>
      <c r="FF51" s="17">
        <f>FE51*VLOOKUP('Données projet'!$B$16,Paramètres!$A$1:$I$89,3,0)*VLOOKUP('Données projet'!$B$16,Paramètres!$A$1:$I$89,5,0)</f>
        <v>151.61119999999994</v>
      </c>
      <c r="FG51" s="13">
        <f t="shared" si="47"/>
        <v>38.944508614536844</v>
      </c>
      <c r="FH51" s="20">
        <f t="shared" si="22"/>
        <v>331.88452583698489</v>
      </c>
      <c r="FI51" s="59">
        <f t="shared" si="23"/>
        <v>625.21785917031821</v>
      </c>
      <c r="FJ51" s="59">
        <f ca="1">AVERAGE(OFFSET($FI$3,0,0,'Données projet'!$E$16+1,1))-AVERAGE(OFFSET($H$3,0,0,'Données projet'!$E$16+1,1))</f>
        <v>197.66963254934603</v>
      </c>
      <c r="FK51" s="59">
        <f t="shared" si="48"/>
        <v>158.08388141976138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1.8673868157448148</v>
      </c>
      <c r="FR51" s="21">
        <f>EXP(-LN(2)/25)*FR50+(1-EXP(-LN(2)/25))/(LN(2)/25)*Calculateur!FM51*Calculateur!FO51*VLOOKUP('Données projet'!$B$16,Paramètres!$A$1:$I$89,3,0)*0.475*44/12</f>
        <v>3.2257058009700974</v>
      </c>
      <c r="FS51" s="21">
        <f>EXP(-LN(2)/2)*FS50+(1-EXP(-LN(2)/2))/(LN(2)/2)*FM51*FP51*VLOOKUP('Données projet'!$B$16,Paramètres!$A$1:$I$89,3,0)*0.475*44/12</f>
        <v>1.616792338608496E-2</v>
      </c>
      <c r="FT51" s="22">
        <f t="shared" si="24"/>
        <v>5.1092605401009976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10.7</v>
      </c>
      <c r="FZ51" s="12">
        <f>IF('Données projet'!$A$244&gt;35,FZ50+FY51-GH50,IF(A51&lt;'Données projet'!$A$244,$FW$205^A51,IF(A51='Données projet'!$A$244,'Données projet'!$B$244,FZ50+FY51-GH50)))</f>
        <v>262.59999999999991</v>
      </c>
      <c r="GA51" s="17">
        <f>FZ51*VLOOKUP('Données projet'!$B$17,Paramètres!$A$1:$I$89,3,0)*VLOOKUP('Données projet'!$B$17,Paramètres!$A$1:$I$89,5,0)</f>
        <v>157.03479999999996</v>
      </c>
      <c r="GB51" s="13">
        <f t="shared" si="49"/>
        <v>40.172979873645495</v>
      </c>
      <c r="GC51" s="20">
        <f t="shared" si="25"/>
        <v>343.47021661326585</v>
      </c>
      <c r="GD51" s="59">
        <f t="shared" si="26"/>
        <v>636.80354994659911</v>
      </c>
      <c r="GE51" s="59">
        <f ca="1">AVERAGE(OFFSET($GD$3,0,0,'Données projet'!$E$17+1,1))-AVERAGE(OFFSET($H$3,0,0,'Données projet'!$E$17+1,1))</f>
        <v>165.39579887388538</v>
      </c>
      <c r="GF51" s="59">
        <f t="shared" si="50"/>
        <v>155.89639262545802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4.4252820918196702</v>
      </c>
      <c r="GN51" s="21">
        <f>EXP(-LN(2)/2)*GN50+(1-EXP(-LN(2)/2))/(LN(2)/2)*GH51*GK51*VLOOKUP('Données projet'!$B$17,Paramètres!$A$1:$I$89,3,0)*0.475*44/12</f>
        <v>2.7109444795658109E-2</v>
      </c>
      <c r="GO51" s="21">
        <f t="shared" si="27"/>
        <v>4.4523915366153286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5.6</v>
      </c>
      <c r="GU51" s="12">
        <f>IF('Données projet'!$A$270&gt;35,GU50+GT51-HC50,IF(A51&lt;'Données projet'!$A$270,$GR$205^A51,IF(A51='Données projet'!$A$270,'Données projet'!$B$270,GU50+GT51-HC50)))</f>
        <v>123.79999999999997</v>
      </c>
      <c r="GV51" s="17">
        <f>GU51*VLOOKUP('Données projet'!$B$18,Paramètres!$A$1:$I$89,3,0)*VLOOKUP('Données projet'!$B$18,Paramètres!$A$1:$I$89,5,0)</f>
        <v>133.25831999999997</v>
      </c>
      <c r="GW51" s="13">
        <f t="shared" si="51"/>
        <v>34.748173250809565</v>
      </c>
      <c r="GX51" s="20">
        <f t="shared" si="28"/>
        <v>292.61130907849321</v>
      </c>
      <c r="GY51" s="59">
        <f t="shared" si="29"/>
        <v>585.94464241182652</v>
      </c>
      <c r="GZ51" s="59">
        <f ca="1">AVERAGE(OFFSET($GY$3,0,0,'Données projet'!$E$18+1,1))-AVERAGE(OFFSET($H$3,0,0,'Données projet'!$E$18+1,1))</f>
        <v>186.60545265015247</v>
      </c>
      <c r="HA51" s="59">
        <f t="shared" si="52"/>
        <v>69.239647548491234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0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15.5</v>
      </c>
      <c r="N52" s="13">
        <f>IF('Données projet'!$A$36&gt;35,N51+M52-V51,IF(A52&lt;'Données projet'!$A$36,$K$205^A52,IF(A52='Données projet'!$A$36,'Données projet'!$B$36,N51+M52-V51)))</f>
        <v>384.50000000000011</v>
      </c>
      <c r="O52" s="13">
        <f>N52*VLOOKUP('Données projet'!$B$9,Paramètres!$A$1:$I$89,3,0)*VLOOKUP('Données projet'!$B$9,Paramètres!$A$1:$I$89,5,0)</f>
        <v>214.93550000000005</v>
      </c>
      <c r="P52" s="13">
        <f t="shared" si="33"/>
        <v>53.012654111958383</v>
      </c>
      <c r="Q52" s="20">
        <f t="shared" si="53"/>
        <v>466.67636841166092</v>
      </c>
      <c r="R52" s="59">
        <f t="shared" si="0"/>
        <v>760.00970174499423</v>
      </c>
      <c r="S52" s="59">
        <f ca="1">AVERAGE(OFFSET($R$3,0,0,'Données projet'!$E$9+1,1))-AVERAGE(OFFSET($H$3,0,0,'Données projet'!$E$9+1,1))</f>
        <v>235.10258076192054</v>
      </c>
      <c r="T52" s="59">
        <f t="shared" si="34"/>
        <v>233.47316052603765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2.3516130225479936</v>
      </c>
      <c r="AA52" s="21">
        <f>EXP(-LN(2)/25)*AA51+(1-EXP(-LN(2)/25))/(LN(2)/25)*Calculateur!V52*Calculateur!X52*VLOOKUP('Données projet'!$B$9,Paramètres!$A$1:$I$89,3,0)*0.475*44/12</f>
        <v>10.885731742267922</v>
      </c>
      <c r="AB52" s="21">
        <f>EXP(-LN(2)/2)*AB51+(1-EXP(-LN(2)/2))/(LN(2)/2)*V52*Y52*VLOOKUP('Données projet'!$B$9,Paramètres!$A$1:$I$89,3,0)*0.475*44/12</f>
        <v>3.3314233520379967E-2</v>
      </c>
      <c r="AC52" s="22">
        <f t="shared" si="3"/>
        <v>13.270658998336296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</v>
      </c>
      <c r="AI52" s="13">
        <f>IF('Données projet'!$A$62&gt;35,AI51+AH52-AQ51,IF(A52&lt;'Données projet'!$A$62,$AF$205^A52,IF(A52='Données projet'!$A$62,'Données projet'!$B$62,AI51+AH52-AQ51)))</f>
        <v>292.09999999999991</v>
      </c>
      <c r="AJ52" s="13">
        <f>AI52*VLOOKUP('Données projet'!$B$10,Paramètres!$A$1:$I$89,3,0)*VLOOKUP('Données projet'!$B$10,Paramètres!$A$1:$I$89,5,0)</f>
        <v>159.48659999999995</v>
      </c>
      <c r="AK52" s="13">
        <f t="shared" si="35"/>
        <v>40.72669495241923</v>
      </c>
      <c r="AL52" s="20">
        <f t="shared" si="4"/>
        <v>348.70482204213005</v>
      </c>
      <c r="AM52" s="59">
        <f t="shared" si="5"/>
        <v>642.03815537546336</v>
      </c>
      <c r="AN52" s="59">
        <f ca="1">AVERAGE(OFFSET($AM$3,0,0,'Données projet'!$E$10+1,1))-AVERAGE(OFFSET($H$3,0,0,'Données projet'!$E$10+1,1))</f>
        <v>168.72306536277267</v>
      </c>
      <c r="AO52" s="59">
        <f t="shared" si="36"/>
        <v>203.35476578922339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2.0881130432772883</v>
      </c>
      <c r="AV52" s="21">
        <f>EXP(-LN(2)/25)*AV51+(1-EXP(-LN(2)/25))/(LN(2)/25)*Calculateur!AQ52*Calculateur!AS52*VLOOKUP('Données projet'!$B$10,Paramètres!$A$1:$I$89,3,0)*0.475*44/12</f>
        <v>13.572570884541925</v>
      </c>
      <c r="AW52" s="21">
        <f>EXP(-LN(2)/2)*AW51+(1-EXP(-LN(2)/2))/(LN(2)/2)*AQ52*AT52*VLOOKUP('Données projet'!$B$10,Paramètres!$A$1:$I$89,3,0)*0.475*44/12</f>
        <v>2.7654292445153633E-2</v>
      </c>
      <c r="AX52" s="21">
        <f t="shared" si="6"/>
        <v>15.688338220264368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10.7</v>
      </c>
      <c r="BD52" s="12">
        <f>IF('Données projet'!$A$88&gt;35,BD51+BC52-BL51,IF(A52&lt;'Données projet'!$A$88,$BA$205^A52,IF(A52='Données projet'!$A$88,'Données projet'!$B$88,BD51+BC52-BL51)))</f>
        <v>273.2999999999999</v>
      </c>
      <c r="BE52" s="13">
        <f>BD52*VLOOKUP('Données projet'!$B$11,Paramètres!$A$1:$I$89,3,0)*VLOOKUP('Données projet'!$B$11,Paramètres!$A$1:$I$89,5,0)</f>
        <v>163.43339999999995</v>
      </c>
      <c r="BF52" s="13">
        <f t="shared" si="37"/>
        <v>41.615968833471683</v>
      </c>
      <c r="BG52" s="20">
        <f t="shared" si="7"/>
        <v>357.12765071829648</v>
      </c>
      <c r="BH52" s="59">
        <f t="shared" si="8"/>
        <v>650.46098405162979</v>
      </c>
      <c r="BI52" s="59">
        <f ca="1">AVERAGE(OFFSET($BH$3,0,0,'Données projet'!$E$11+1,1))-AVERAGE(OFFSET($H$3,0,0,'Données projet'!$E$11+1,1))</f>
        <v>165.39579887388538</v>
      </c>
      <c r="BJ52" s="59">
        <f t="shared" si="38"/>
        <v>155.89639262545802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4.3042725203033907</v>
      </c>
      <c r="BR52" s="21">
        <f>EXP(-LN(2)/2)*BR51+(1-EXP(-LN(2)/2))/(LN(2)/2)*BL52*BO52*VLOOKUP('Données projet'!$B$11,Paramètres!$A$1:$I$89,3,0)*0.475*44/12</f>
        <v>1.9169272249212208E-2</v>
      </c>
      <c r="BS52" s="22">
        <f t="shared" si="9"/>
        <v>4.323441792552603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129.39999999999998</v>
      </c>
      <c r="BZ52" s="13">
        <f>BY52*VLOOKUP('Données projet'!$B$12,Paramètres!$A$1:$I$89,3,0)*VLOOKUP('Données projet'!$B$12,Paramètres!$A$1:$I$89,5,0)</f>
        <v>125.15567999999998</v>
      </c>
      <c r="CA52" s="13">
        <f t="shared" si="39"/>
        <v>32.874517196353331</v>
      </c>
      <c r="CB52" s="20">
        <f t="shared" si="10"/>
        <v>275.23592678364861</v>
      </c>
      <c r="CC52" s="59">
        <f t="shared" si="11"/>
        <v>568.56926011698192</v>
      </c>
      <c r="CD52" s="59">
        <f ca="1">AVERAGE(OFFSET($CC$3,0,0,'Données projet'!$E$12+1,1))-AVERAGE(OFFSET($H$3,0,0,'Données projet'!$E$12+1,1))</f>
        <v>156.26368818265388</v>
      </c>
      <c r="CE52" s="59">
        <f t="shared" si="40"/>
        <v>56.347130462109817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129.39999999999998</v>
      </c>
      <c r="CU52" s="17">
        <f>CT52*VLOOKUP('Données projet'!$B$13,Paramètres!$A$1:$I$89,3,0)*VLOOKUP('Données projet'!$B$13,Paramètres!$A$1:$I$89,5,0)</f>
        <v>104.96928</v>
      </c>
      <c r="CV52" s="13">
        <f t="shared" si="41"/>
        <v>28.142497810893154</v>
      </c>
      <c r="CW52" s="20">
        <f t="shared" si="13"/>
        <v>231.83634635397223</v>
      </c>
      <c r="CX52" s="59">
        <f t="shared" si="14"/>
        <v>525.16967968730557</v>
      </c>
      <c r="CY52" s="59">
        <f ca="1">AVERAGE(OFFSET($CX$3,0,0,'Données projet'!$E$13+1,1))-AVERAGE(OFFSET($H$3,0,0,'Données projet'!$E$13+1,1))</f>
        <v>112.78807760743126</v>
      </c>
      <c r="CZ52" s="59">
        <f t="shared" si="42"/>
        <v>37.867745922003564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</v>
      </c>
      <c r="DO52" s="12">
        <f>IF('Données projet'!$A$166&gt;35,DO51+DN52-DW51,IF(A52&lt;'Données projet'!$A$166,$DL$205^A52,IF(A52='Données projet'!$A$166,'Données projet'!$B$166,DO51+DN52-DW51)))</f>
        <v>185.99999999999997</v>
      </c>
      <c r="DP52" s="17">
        <f>DO52*VLOOKUP('Données projet'!$B$14,Paramètres!$A$1:$I$89,3,0)*VLOOKUP('Données projet'!$B$14,Paramètres!$A$1:$I$89,5,0)</f>
        <v>124.76879999999998</v>
      </c>
      <c r="DQ52" s="13">
        <f t="shared" si="43"/>
        <v>32.784708369928126</v>
      </c>
      <c r="DR52" s="20">
        <f t="shared" si="16"/>
        <v>274.40569374429145</v>
      </c>
      <c r="DS52" s="59">
        <f t="shared" si="17"/>
        <v>567.73902707762477</v>
      </c>
      <c r="DT52" s="59">
        <f ca="1">AVERAGE(OFFSET($DS$3,0,0,'Données projet'!$E$14+1,1))-AVERAGE(OFFSET($H$3,0,0,'Données projet'!$E$14+1,1))</f>
        <v>107.15837202366862</v>
      </c>
      <c r="DU52" s="59">
        <f t="shared" si="44"/>
        <v>139.67031833740026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3.3469646697737399</v>
      </c>
      <c r="EC52" s="21">
        <f>EXP(-LN(2)/2)*EC51+(1-EXP(-LN(2)/2))/(LN(2)/2)*DW52*DZ52*VLOOKUP('Données projet'!$B$14,Paramètres!$A$1:$I$89,3,0)*0.475*44/12</f>
        <v>9.3214842479744705E-3</v>
      </c>
      <c r="ED52" s="22">
        <f t="shared" si="18"/>
        <v>3.3562861540217144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7.0000000000000027</v>
      </c>
      <c r="EJ52" s="12">
        <f>IF('Données projet'!$A$192&gt;35,EJ51+EI52-ER51,IF(A52&lt;'Données projet'!$A$192,$EG$205^A52,IF(A52='Données projet'!$A$192,'Données projet'!$B$192,EJ51+EI52-ER51)))</f>
        <v>234.39999999999998</v>
      </c>
      <c r="EK52" s="17">
        <f>EJ52*VLOOKUP('Données projet'!$B$15,Paramètres!$A$1:$I$89,3,0)*VLOOKUP('Données projet'!$B$15,Paramètres!$A$1:$I$89,5,0)</f>
        <v>109.69919999999999</v>
      </c>
      <c r="EL52" s="13">
        <f t="shared" si="45"/>
        <v>29.260102455780586</v>
      </c>
      <c r="EM52" s="20">
        <f t="shared" si="19"/>
        <v>242.02078511048447</v>
      </c>
      <c r="EN52" s="59">
        <f t="shared" si="20"/>
        <v>535.35411844381781</v>
      </c>
      <c r="EO52" s="59">
        <f ca="1">AVERAGE(OFFSET($EN$3,0,0,'Données projet'!$E$15+1,1))-AVERAGE(OFFSET($H$3,0,0,'Données projet'!$E$15+1,1))</f>
        <v>123.60520571614535</v>
      </c>
      <c r="EP52" s="59">
        <f t="shared" si="46"/>
        <v>119.00926870519527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0.59532529009354562</v>
      </c>
      <c r="EW52" s="21">
        <f>EXP(-LN(2)/25)*EW51+(1-EXP(-LN(2)/25))/(LN(2)/25)*Calculateur!ER52*Calculateur!ET52*VLOOKUP('Données projet'!$B$15,Paramètres!$A$1:$I$89,3,0)*0.475*44/12</f>
        <v>2.8206581917233828</v>
      </c>
      <c r="EX52" s="21">
        <f>EXP(-LN(2)/2)*EX51+(1-EXP(-LN(2)/2))/(LN(2)/2)*ER52*EU52*VLOOKUP('Données projet'!$B$15,Paramètres!$A$1:$I$89,3,0)*0.475*44/12</f>
        <v>8.443449504796495E-3</v>
      </c>
      <c r="EY52" s="22">
        <f t="shared" si="21"/>
        <v>3.424426931321725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6.9</v>
      </c>
      <c r="FE52" s="12">
        <f>IF('Données projet'!$A$218&gt;35,FE51+FD52-FM51,IF(A52&lt;'Données projet'!$A$218,$FB$205^A52,IF(A52='Données projet'!$A$218,'Données projet'!$B$218,FE51+FD52-FM51)))</f>
        <v>322.09999999999985</v>
      </c>
      <c r="FF52" s="17">
        <f>FE52*VLOOKUP('Données projet'!$B$16,Paramètres!$A$1:$I$89,3,0)*VLOOKUP('Données projet'!$B$16,Paramètres!$A$1:$I$89,5,0)</f>
        <v>154.93009999999995</v>
      </c>
      <c r="FG52" s="13">
        <f t="shared" si="47"/>
        <v>39.696851146419107</v>
      </c>
      <c r="FH52" s="20">
        <f t="shared" si="22"/>
        <v>338.97527324667982</v>
      </c>
      <c r="FI52" s="59">
        <f t="shared" si="23"/>
        <v>632.30860658001313</v>
      </c>
      <c r="FJ52" s="59">
        <f ca="1">AVERAGE(OFFSET($FI$3,0,0,'Données projet'!$E$16+1,1))-AVERAGE(OFFSET($H$3,0,0,'Données projet'!$E$16+1,1))</f>
        <v>197.66963254934603</v>
      </c>
      <c r="FK52" s="59">
        <f t="shared" si="48"/>
        <v>158.08388141976138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1.8307684992815503</v>
      </c>
      <c r="FR52" s="21">
        <f>EXP(-LN(2)/25)*FR51+(1-EXP(-LN(2)/25))/(LN(2)/25)*Calculateur!FM52*Calculateur!FO52*VLOOKUP('Données projet'!$B$16,Paramètres!$A$1:$I$89,3,0)*0.475*44/12</f>
        <v>3.1374987062100743</v>
      </c>
      <c r="FS52" s="21">
        <f>EXP(-LN(2)/2)*FS51+(1-EXP(-LN(2)/2))/(LN(2)/2)*FM52*FP52*VLOOKUP('Données projet'!$B$16,Paramètres!$A$1:$I$89,3,0)*0.475*44/12</f>
        <v>1.1432448264005243E-2</v>
      </c>
      <c r="FT52" s="22">
        <f t="shared" si="24"/>
        <v>4.9796996537556302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10.7</v>
      </c>
      <c r="FZ52" s="12">
        <f>IF('Données projet'!$A$244&gt;35,FZ51+FY52-GH51,IF(A52&lt;'Données projet'!$A$244,$FW$205^A52,IF(A52='Données projet'!$A$244,'Données projet'!$B$244,FZ51+FY52-GH51)))</f>
        <v>273.2999999999999</v>
      </c>
      <c r="GA52" s="17">
        <f>FZ52*VLOOKUP('Données projet'!$B$17,Paramètres!$A$1:$I$89,3,0)*VLOOKUP('Données projet'!$B$17,Paramètres!$A$1:$I$89,5,0)</f>
        <v>163.43339999999995</v>
      </c>
      <c r="GB52" s="13">
        <f t="shared" si="49"/>
        <v>41.615968833471683</v>
      </c>
      <c r="GC52" s="20">
        <f t="shared" si="25"/>
        <v>357.12765071829648</v>
      </c>
      <c r="GD52" s="59">
        <f t="shared" si="26"/>
        <v>650.46098405162979</v>
      </c>
      <c r="GE52" s="59">
        <f ca="1">AVERAGE(OFFSET($GD$3,0,0,'Données projet'!$E$17+1,1))-AVERAGE(OFFSET($H$3,0,0,'Données projet'!$E$17+1,1))</f>
        <v>165.39579887388538</v>
      </c>
      <c r="GF52" s="59">
        <f t="shared" si="50"/>
        <v>155.89639262545802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4.3042725203033907</v>
      </c>
      <c r="GN52" s="21">
        <f>EXP(-LN(2)/2)*GN51+(1-EXP(-LN(2)/2))/(LN(2)/2)*GH52*GK52*VLOOKUP('Données projet'!$B$17,Paramètres!$A$1:$I$89,3,0)*0.475*44/12</f>
        <v>1.9169272249212208E-2</v>
      </c>
      <c r="GO52" s="21">
        <f t="shared" si="27"/>
        <v>4.323441792552603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5.6</v>
      </c>
      <c r="GU52" s="12">
        <f>IF('Données projet'!$A$270&gt;35,GU51+GT52-HC51,IF(A52&lt;'Données projet'!$A$270,$GR$205^A52,IF(A52='Données projet'!$A$270,'Données projet'!$B$270,GU51+GT52-HC51)))</f>
        <v>129.39999999999998</v>
      </c>
      <c r="GV52" s="17">
        <f>GU52*VLOOKUP('Données projet'!$B$18,Paramètres!$A$1:$I$89,3,0)*VLOOKUP('Données projet'!$B$18,Paramètres!$A$1:$I$89,5,0)</f>
        <v>139.28615999999997</v>
      </c>
      <c r="GW52" s="13">
        <f t="shared" si="51"/>
        <v>36.133426154438062</v>
      </c>
      <c r="GX52" s="20">
        <f t="shared" si="28"/>
        <v>305.52244588564622</v>
      </c>
      <c r="GY52" s="59">
        <f t="shared" si="29"/>
        <v>598.85577921897948</v>
      </c>
      <c r="GZ52" s="59">
        <f ca="1">AVERAGE(OFFSET($GY$3,0,0,'Données projet'!$E$18+1,1))-AVERAGE(OFFSET($H$3,0,0,'Données projet'!$E$18+1,1))</f>
        <v>186.60545265015247</v>
      </c>
      <c r="HA52" s="59">
        <f t="shared" si="52"/>
        <v>69.239647548491234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0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400</v>
      </c>
      <c r="L53" s="12">
        <f>VLOOKUP(A53,'Données projet'!$A$35:$I$55,9,0)</f>
        <v>15.5</v>
      </c>
      <c r="M53" s="12">
        <f t="array" ref="M53">INDEX(L:L,MIN(IF(ISNUMBER(L53:L249),ROW(L53:L249),"")))</f>
        <v>15.5</v>
      </c>
      <c r="N53" s="13">
        <f>IF('Données projet'!$A$36&gt;35,N52+M53-V52,IF(A53&lt;'Données projet'!$A$36,$K$205^A53,IF(A53='Données projet'!$A$36,'Données projet'!$B$36,N52+M53-V52)))</f>
        <v>400.00000000000011</v>
      </c>
      <c r="O53" s="13">
        <f>N53*VLOOKUP('Données projet'!$B$9,Paramètres!$A$1:$I$89,3,0)*VLOOKUP('Données projet'!$B$9,Paramètres!$A$1:$I$89,5,0)</f>
        <v>223.60000000000008</v>
      </c>
      <c r="P53" s="13">
        <f t="shared" si="33"/>
        <v>54.896587262968644</v>
      </c>
      <c r="Q53" s="20">
        <f t="shared" si="53"/>
        <v>485.04822281633716</v>
      </c>
      <c r="R53" s="59">
        <f t="shared" si="0"/>
        <v>778.38155614967047</v>
      </c>
      <c r="S53" s="59">
        <f ca="1">AVERAGE(OFFSET($R$3,0,0,'Données projet'!$E$9+1,1))-AVERAGE(OFFSET($H$3,0,0,'Données projet'!$E$9+1,1))</f>
        <v>235.10258076192054</v>
      </c>
      <c r="T53" s="59">
        <f t="shared" si="34"/>
        <v>233.47316052603765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84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2.3054993255181415</v>
      </c>
      <c r="AA53" s="21">
        <f>EXP(-LN(2)/25)*AA52+(1-EXP(-LN(2)/25))/(LN(2)/25)*Calculateur!V53*Calculateur!X53*VLOOKUP('Données projet'!$B$9,Paramètres!$A$1:$I$89,3,0)*0.475*44/12</f>
        <v>10.588060835319853</v>
      </c>
      <c r="AB53" s="21">
        <f>EXP(-LN(2)/2)*AB52+(1-EXP(-LN(2)/2))/(LN(2)/2)*V53*Y53*VLOOKUP('Données projet'!$B$9,Paramètres!$A$1:$I$89,3,0)*0.475*44/12</f>
        <v>2.3556720432292864E-2</v>
      </c>
      <c r="AC53" s="22">
        <f t="shared" si="3"/>
        <v>12.917116881270287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302</v>
      </c>
      <c r="AG53" s="12">
        <f>VLOOKUP(A53,'Données projet'!$A$61:$I$81,9,0)</f>
        <v>9.9</v>
      </c>
      <c r="AH53" s="12">
        <f t="array" ref="AH53">INDEX(AG:AG,MIN(IF(ISNUMBER(AG53:AG249),ROW(AG53:AG249),"")))</f>
        <v>9.9</v>
      </c>
      <c r="AI53" s="13">
        <f>IF('Données projet'!$A$62&gt;35,AI52+AH53-AQ52,IF(A53&lt;'Données projet'!$A$62,$AF$205^A53,IF(A53='Données projet'!$A$62,'Données projet'!$B$62,AI52+AH53-AQ52)))</f>
        <v>301.99999999999989</v>
      </c>
      <c r="AJ53" s="13">
        <f>AI53*VLOOKUP('Données projet'!$B$10,Paramètres!$A$1:$I$89,3,0)*VLOOKUP('Données projet'!$B$10,Paramètres!$A$1:$I$89,5,0)</f>
        <v>164.89199999999994</v>
      </c>
      <c r="AK53" s="13">
        <f t="shared" si="35"/>
        <v>41.943978178295076</v>
      </c>
      <c r="AL53" s="20">
        <f t="shared" si="4"/>
        <v>360.23932866053048</v>
      </c>
      <c r="AM53" s="59">
        <f t="shared" si="5"/>
        <v>653.57266199386379</v>
      </c>
      <c r="AN53" s="59">
        <f ca="1">AVERAGE(OFFSET($AM$3,0,0,'Données projet'!$E$10+1,1))-AVERAGE(OFFSET($H$3,0,0,'Données projet'!$E$10+1,1))</f>
        <v>168.72306536277267</v>
      </c>
      <c r="AO53" s="59">
        <f t="shared" si="36"/>
        <v>203.35476578922339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2.0471664201218172</v>
      </c>
      <c r="AV53" s="21">
        <f>EXP(-LN(2)/25)*AV52+(1-EXP(-LN(2)/25))/(LN(2)/25)*Calculateur!AQ53*Calculateur!AS53*VLOOKUP('Données projet'!$B$10,Paramètres!$A$1:$I$89,3,0)*0.475*44/12</f>
        <v>13.201428219953643</v>
      </c>
      <c r="AW53" s="21">
        <f>EXP(-LN(2)/2)*AW52+(1-EXP(-LN(2)/2))/(LN(2)/2)*AQ53*AT53*VLOOKUP('Données projet'!$B$10,Paramètres!$A$1:$I$89,3,0)*0.475*44/12</f>
        <v>1.9554537716884045E-2</v>
      </c>
      <c r="AX53" s="21">
        <f t="shared" si="6"/>
        <v>15.268149177792344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284</v>
      </c>
      <c r="BB53" s="12">
        <f>VLOOKUP(A53,'Données projet'!$A$87:$I$107,9,0)</f>
        <v>10.7</v>
      </c>
      <c r="BC53" s="12">
        <f t="array" ref="BC53">INDEX(BB:BB,MIN(IF(ISNUMBER(BB53:BB249),ROW(BB53:BB249),"")))</f>
        <v>10.7</v>
      </c>
      <c r="BD53" s="12">
        <f>IF('Données projet'!$A$88&gt;35,BD52+BC53-BL52,IF(A53&lt;'Données projet'!$A$88,$BA$205^A53,IF(A53='Données projet'!$A$88,'Données projet'!$B$88,BD52+BC53-BL52)))</f>
        <v>283.99999999999989</v>
      </c>
      <c r="BE53" s="13">
        <f>BD53*VLOOKUP('Données projet'!$B$11,Paramètres!$A$1:$I$89,3,0)*VLOOKUP('Données projet'!$B$11,Paramètres!$A$1:$I$89,5,0)</f>
        <v>169.83199999999997</v>
      </c>
      <c r="BF53" s="13">
        <f t="shared" si="37"/>
        <v>43.052395009050464</v>
      </c>
      <c r="BG53" s="20">
        <f t="shared" si="7"/>
        <v>370.7736546407628</v>
      </c>
      <c r="BH53" s="59">
        <f t="shared" si="8"/>
        <v>664.10698797409611</v>
      </c>
      <c r="BI53" s="59">
        <f ca="1">AVERAGE(OFFSET($BH$3,0,0,'Données projet'!$E$11+1,1))-AVERAGE(OFFSET($H$3,0,0,'Données projet'!$E$11+1,1))</f>
        <v>165.39579887388538</v>
      </c>
      <c r="BJ53" s="59">
        <f t="shared" si="38"/>
        <v>155.89639262545802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56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4.18657196188384</v>
      </c>
      <c r="BR53" s="21">
        <f>EXP(-LN(2)/2)*BR52+(1-EXP(-LN(2)/2))/(LN(2)/2)*BL53*BO53*VLOOKUP('Données projet'!$B$11,Paramètres!$A$1:$I$89,3,0)*0.475*44/12</f>
        <v>1.3554722397829054E-2</v>
      </c>
      <c r="BS53" s="22">
        <f t="shared" si="9"/>
        <v>4.2001266842816687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135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134.99999999999997</v>
      </c>
      <c r="BZ53" s="13">
        <f>BY53*VLOOKUP('Données projet'!$B$12,Paramètres!$A$1:$I$89,3,0)*VLOOKUP('Données projet'!$B$12,Paramètres!$A$1:$I$89,5,0)</f>
        <v>130.57199999999997</v>
      </c>
      <c r="CA53" s="13">
        <f t="shared" si="39"/>
        <v>34.12849794659828</v>
      </c>
      <c r="CB53" s="20">
        <f t="shared" si="10"/>
        <v>286.85336725699199</v>
      </c>
      <c r="CC53" s="59">
        <f t="shared" si="11"/>
        <v>580.18670059032524</v>
      </c>
      <c r="CD53" s="59">
        <f ca="1">AVERAGE(OFFSET($CC$3,0,0,'Données projet'!$E$12+1,1))-AVERAGE(OFFSET($H$3,0,0,'Données projet'!$E$12+1,1))</f>
        <v>156.26368818265388</v>
      </c>
      <c r="CE53" s="59">
        <f t="shared" si="40"/>
        <v>56.347130462109817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135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134.99999999999997</v>
      </c>
      <c r="CU53" s="17">
        <f>CT53*VLOOKUP('Données projet'!$B$13,Paramètres!$A$1:$I$89,3,0)*VLOOKUP('Données projet'!$B$13,Paramètres!$A$1:$I$89,5,0)</f>
        <v>109.51199999999999</v>
      </c>
      <c r="CV53" s="13">
        <f t="shared" si="41"/>
        <v>29.215978230632555</v>
      </c>
      <c r="CW53" s="20">
        <f t="shared" si="13"/>
        <v>241.61789541835171</v>
      </c>
      <c r="CX53" s="59">
        <f t="shared" si="14"/>
        <v>534.95122875168499</v>
      </c>
      <c r="CY53" s="59">
        <f ca="1">AVERAGE(OFFSET($CX$3,0,0,'Données projet'!$E$13+1,1))-AVERAGE(OFFSET($H$3,0,0,'Données projet'!$E$13+1,1))</f>
        <v>112.78807760743126</v>
      </c>
      <c r="CZ53" s="59">
        <f t="shared" si="42"/>
        <v>37.867745922003564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192</v>
      </c>
      <c r="DM53" s="12">
        <f>VLOOKUP(A53,'Données projet'!$A$165:$I$185,9,0)</f>
        <v>6</v>
      </c>
      <c r="DN53" s="12">
        <f t="array" ref="DN53">INDEX(DM:DM,MIN(IF(ISNUMBER(DM53:DM249),ROW(DM53:DM249),"")))</f>
        <v>6</v>
      </c>
      <c r="DO53" s="12">
        <f>IF('Données projet'!$A$166&gt;35,DO52+DN53-DW52,IF(A53&lt;'Données projet'!$A$166,$DL$205^A53,IF(A53='Données projet'!$A$166,'Données projet'!$B$166,DO52+DN53-DW52)))</f>
        <v>191.99999999999997</v>
      </c>
      <c r="DP53" s="17">
        <f>DO53*VLOOKUP('Données projet'!$B$14,Paramètres!$A$1:$I$89,3,0)*VLOOKUP('Données projet'!$B$14,Paramètres!$A$1:$I$89,5,0)</f>
        <v>128.7936</v>
      </c>
      <c r="DQ53" s="13">
        <f t="shared" si="43"/>
        <v>33.717444631501564</v>
      </c>
      <c r="DR53" s="20">
        <f t="shared" si="16"/>
        <v>283.04006939986522</v>
      </c>
      <c r="DS53" s="59">
        <f t="shared" si="17"/>
        <v>576.37340273319853</v>
      </c>
      <c r="DT53" s="59">
        <f ca="1">AVERAGE(OFFSET($DS$3,0,0,'Données projet'!$E$14+1,1))-AVERAGE(OFFSET($H$3,0,0,'Données projet'!$E$14+1,1))</f>
        <v>107.15837202366862</v>
      </c>
      <c r="DU53" s="59">
        <f t="shared" si="44"/>
        <v>139.67031833740026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31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3.2554417448695547</v>
      </c>
      <c r="EC53" s="21">
        <f>EXP(-LN(2)/2)*EC52+(1-EXP(-LN(2)/2))/(LN(2)/2)*DW53*DZ53*VLOOKUP('Données projet'!$B$14,Paramètres!$A$1:$I$89,3,0)*0.475*44/12</f>
        <v>6.5912847224663335E-3</v>
      </c>
      <c r="ED53" s="22">
        <f t="shared" si="18"/>
        <v>3.262033029592021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241.4</v>
      </c>
      <c r="EH53" s="12">
        <f>VLOOKUP(A53,'Données projet'!$A$191:$I$211,9,0)</f>
        <v>7.0000000000000027</v>
      </c>
      <c r="EI53" s="12">
        <f t="array" ref="EI53">INDEX(EH:EH,MIN(IF(ISNUMBER(EH53:EH249),ROW(EH53:EH249),"")))</f>
        <v>7.0000000000000027</v>
      </c>
      <c r="EJ53" s="12">
        <f>IF('Données projet'!$A$192&gt;35,EJ52+EI53-ER52,IF(A53&lt;'Données projet'!$A$192,$EG$205^A53,IF(A53='Données projet'!$A$192,'Données projet'!$B$192,EJ52+EI53-ER52)))</f>
        <v>241.39999999999998</v>
      </c>
      <c r="EK53" s="17">
        <f>EJ53*VLOOKUP('Données projet'!$B$15,Paramètres!$A$1:$I$89,3,0)*VLOOKUP('Données projet'!$B$15,Paramètres!$A$1:$I$89,5,0)</f>
        <v>112.97519999999999</v>
      </c>
      <c r="EL53" s="13">
        <f t="shared" si="45"/>
        <v>30.030872399306435</v>
      </c>
      <c r="EM53" s="20">
        <f t="shared" si="19"/>
        <v>249.06890942879204</v>
      </c>
      <c r="EN53" s="59">
        <f t="shared" si="20"/>
        <v>542.4022427621253</v>
      </c>
      <c r="EO53" s="59">
        <f ca="1">AVERAGE(OFFSET($EN$3,0,0,'Données projet'!$E$15+1,1))-AVERAGE(OFFSET($H$3,0,0,'Données projet'!$E$15+1,1))</f>
        <v>123.60520571614535</v>
      </c>
      <c r="EP53" s="59">
        <f t="shared" si="46"/>
        <v>119.00926870519527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46.3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0.58365132426738375</v>
      </c>
      <c r="EW53" s="21">
        <f>EXP(-LN(2)/25)*EW52+(1-EXP(-LN(2)/25))/(LN(2)/25)*Calculateur!ER53*Calculateur!ET53*VLOOKUP('Données projet'!$B$15,Paramètres!$A$1:$I$89,3,0)*0.475*44/12</f>
        <v>2.7435271451387395</v>
      </c>
      <c r="EX53" s="21">
        <f>EXP(-LN(2)/2)*EX52+(1-EXP(-LN(2)/2))/(LN(2)/2)*ER53*EU53*VLOOKUP('Données projet'!$B$15,Paramètres!$A$1:$I$89,3,0)*0.475*44/12</f>
        <v>5.9704204014477983E-3</v>
      </c>
      <c r="EY53" s="22">
        <f t="shared" si="21"/>
        <v>3.3331488898075712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329</v>
      </c>
      <c r="FC53" s="12">
        <f>VLOOKUP(A53,'Données projet'!$A$217:$I$237,9,0)</f>
        <v>6.9</v>
      </c>
      <c r="FD53" s="12">
        <f t="array" ref="FD53">INDEX(FC:FC,MIN(IF(ISNUMBER(FC53:FC249),ROW(FC53:FC249),"")))</f>
        <v>6.9</v>
      </c>
      <c r="FE53" s="12">
        <f>IF('Données projet'!$A$218&gt;35,FE52+FD53-FM52,IF(A53&lt;'Données projet'!$A$218,$FB$205^A53,IF(A53='Données projet'!$A$218,'Données projet'!$B$218,FE52+FD53-FM52)))</f>
        <v>328.99999999999983</v>
      </c>
      <c r="FF53" s="17">
        <f>FE53*VLOOKUP('Données projet'!$B$16,Paramètres!$A$1:$I$89,3,0)*VLOOKUP('Données projet'!$B$16,Paramètres!$A$1:$I$89,5,0)</f>
        <v>158.24899999999991</v>
      </c>
      <c r="FG53" s="13">
        <f t="shared" si="47"/>
        <v>40.447319889129993</v>
      </c>
      <c r="FH53" s="20">
        <f t="shared" si="22"/>
        <v>346.06275714023462</v>
      </c>
      <c r="FI53" s="59">
        <f t="shared" si="23"/>
        <v>639.39609047356794</v>
      </c>
      <c r="FJ53" s="59">
        <f ca="1">AVERAGE(OFFSET($FI$3,0,0,'Données projet'!$E$16+1,1))-AVERAGE(OFFSET($H$3,0,0,'Données projet'!$E$16+1,1))</f>
        <v>197.66963254934603</v>
      </c>
      <c r="FK53" s="59">
        <f t="shared" si="48"/>
        <v>158.08388141976138</v>
      </c>
      <c r="FL53" s="15">
        <f>IF(ISNA(VLOOKUP(A53,'Données projet'!$A$217:$I$237,3,0)),0,VLOOKUP(A53,'Données projet'!$A$217:$I$237,3,0))</f>
        <v>3</v>
      </c>
      <c r="FM53" s="15">
        <f>IF(ISNA(VLOOKUP(A53,'Données projet'!$A$217:$I$237,4,0)),0,VLOOKUP(A53,'Données projet'!$A$217:$I$237,4,0))</f>
        <v>84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1.7948682456691627</v>
      </c>
      <c r="FR53" s="21">
        <f>EXP(-LN(2)/25)*FR52+(1-EXP(-LN(2)/25))/(LN(2)/25)*Calculateur!FM53*Calculateur!FO53*VLOOKUP('Données projet'!$B$16,Paramètres!$A$1:$I$89,3,0)*0.475*44/12</f>
        <v>3.0517036390948737</v>
      </c>
      <c r="FS53" s="21">
        <f>EXP(-LN(2)/2)*FS52+(1-EXP(-LN(2)/2))/(LN(2)/2)*FM53*FP53*VLOOKUP('Données projet'!$B$16,Paramètres!$A$1:$I$89,3,0)*0.475*44/12</f>
        <v>8.0839616930424799E-3</v>
      </c>
      <c r="FT53" s="22">
        <f t="shared" si="24"/>
        <v>4.8546558464570788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284</v>
      </c>
      <c r="FX53" s="12">
        <f>VLOOKUP(A53,'Données projet'!$A$243:$I$263,9,0)</f>
        <v>10.7</v>
      </c>
      <c r="FY53" s="12">
        <f t="array" ref="FY53">INDEX(FX:FX,MIN(IF(ISNUMBER(FX53:FX249),ROW(FX53:FX249),"")))</f>
        <v>10.7</v>
      </c>
      <c r="FZ53" s="12">
        <f>IF('Données projet'!$A$244&gt;35,FZ52+FY53-GH52,IF(A53&lt;'Données projet'!$A$244,$FW$205^A53,IF(A53='Données projet'!$A$244,'Données projet'!$B$244,FZ52+FY53-GH52)))</f>
        <v>283.99999999999989</v>
      </c>
      <c r="GA53" s="17">
        <f>FZ53*VLOOKUP('Données projet'!$B$17,Paramètres!$A$1:$I$89,3,0)*VLOOKUP('Données projet'!$B$17,Paramètres!$A$1:$I$89,5,0)</f>
        <v>169.83199999999997</v>
      </c>
      <c r="GB53" s="13">
        <f t="shared" si="49"/>
        <v>43.052395009050464</v>
      </c>
      <c r="GC53" s="20">
        <f t="shared" si="25"/>
        <v>370.7736546407628</v>
      </c>
      <c r="GD53" s="59">
        <f t="shared" si="26"/>
        <v>664.10698797409611</v>
      </c>
      <c r="GE53" s="59">
        <f ca="1">AVERAGE(OFFSET($GD$3,0,0,'Données projet'!$E$17+1,1))-AVERAGE(OFFSET($H$3,0,0,'Données projet'!$E$17+1,1))</f>
        <v>165.39579887388538</v>
      </c>
      <c r="GF53" s="59">
        <f t="shared" si="50"/>
        <v>155.89639262545802</v>
      </c>
      <c r="GG53" s="15">
        <f>IF(ISNA(VLOOKUP(A53,'Données projet'!$A$243:$I$263,3,0)),0,VLOOKUP(A53,'Données projet'!$A$243:$I$263,3,0))</f>
        <v>3</v>
      </c>
      <c r="GH53" s="15">
        <f>IF(ISNA(VLOOKUP(A53,'Données projet'!$A$243:$I$263,4,0)),0,VLOOKUP(A53,'Données projet'!$A$243:$I$263,4,0))</f>
        <v>56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4.18657196188384</v>
      </c>
      <c r="GN53" s="21">
        <f>EXP(-LN(2)/2)*GN52+(1-EXP(-LN(2)/2))/(LN(2)/2)*GH53*GK53*VLOOKUP('Données projet'!$B$17,Paramètres!$A$1:$I$89,3,0)*0.475*44/12</f>
        <v>1.3554722397829054E-2</v>
      </c>
      <c r="GO53" s="21">
        <f t="shared" si="27"/>
        <v>4.2001266842816687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135</v>
      </c>
      <c r="GS53" s="12">
        <f>VLOOKUP(A53,'Données projet'!$A$269:$I$289,9,0)</f>
        <v>5.6</v>
      </c>
      <c r="GT53" s="12">
        <f t="array" ref="GT53">INDEX(GS:GS,MIN(IF(ISNUMBER(GS53:GS249),ROW(GS53:GS249),"")))</f>
        <v>5.6</v>
      </c>
      <c r="GU53" s="12">
        <f>IF('Données projet'!$A$270&gt;35,GU52+GT53-HC52,IF(A53&lt;'Données projet'!$A$270,$GR$205^A53,IF(A53='Données projet'!$A$270,'Données projet'!$B$270,GU52+GT53-HC52)))</f>
        <v>134.99999999999997</v>
      </c>
      <c r="GV53" s="17">
        <f>GU53*VLOOKUP('Données projet'!$B$18,Paramètres!$A$1:$I$89,3,0)*VLOOKUP('Données projet'!$B$18,Paramètres!$A$1:$I$89,5,0)</f>
        <v>145.31399999999996</v>
      </c>
      <c r="GW53" s="13">
        <f t="shared" si="51"/>
        <v>37.511716231443025</v>
      </c>
      <c r="GX53" s="20">
        <f t="shared" si="28"/>
        <v>318.42145576976321</v>
      </c>
      <c r="GY53" s="59">
        <f t="shared" si="29"/>
        <v>611.75478910309653</v>
      </c>
      <c r="GZ53" s="59">
        <f ca="1">AVERAGE(OFFSET($GY$3,0,0,'Données projet'!$E$18+1,1))-AVERAGE(OFFSET($H$3,0,0,'Données projet'!$E$18+1,1))</f>
        <v>186.60545265015247</v>
      </c>
      <c r="HA53" s="59">
        <f t="shared" si="52"/>
        <v>69.239647548491234</v>
      </c>
      <c r="HB53" s="15">
        <f>IF(ISNA(VLOOKUP(A53,'Données projet'!$A$269:$I$289,3,0)),0,VLOOKUP(A53,'Données projet'!$A$269:$I$289,3,0))</f>
        <v>2</v>
      </c>
      <c r="HC53" s="15">
        <f>IF(ISNA(VLOOKUP(A53,'Données projet'!$A$269:$I$289,4,0)),0,VLOOKUP(A53,'Données projet'!$A$269:$I$289,4,0))</f>
        <v>28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0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13.2</v>
      </c>
      <c r="N54" s="13">
        <f>IF('Données projet'!$A$36&gt;35,N53+M54-V53,IF(A54&lt;'Données projet'!$A$36,$K$205^A54,IF(A54='Données projet'!$A$36,'Données projet'!$B$36,N53+M54-V53)))</f>
        <v>329.2000000000001</v>
      </c>
      <c r="O54" s="13">
        <f>N54*VLOOKUP('Données projet'!$B$9,Paramètres!$A$1:$I$89,3,0)*VLOOKUP('Données projet'!$B$9,Paramètres!$A$1:$I$89,5,0)</f>
        <v>184.02280000000005</v>
      </c>
      <c r="P54" s="13">
        <f t="shared" si="33"/>
        <v>46.21603048993093</v>
      </c>
      <c r="Q54" s="20">
        <f t="shared" si="53"/>
        <v>400.99929643662978</v>
      </c>
      <c r="R54" s="59">
        <f t="shared" si="0"/>
        <v>694.33262976996309</v>
      </c>
      <c r="S54" s="59">
        <f ca="1">AVERAGE(OFFSET($R$3,0,0,'Données projet'!$E$9+1,1))-AVERAGE(OFFSET($H$3,0,0,'Données projet'!$E$9+1,1))</f>
        <v>235.10258076192054</v>
      </c>
      <c r="T54" s="59">
        <f t="shared" si="34"/>
        <v>233.47316052603765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2.2602898899604669</v>
      </c>
      <c r="AA54" s="21">
        <f>EXP(-LN(2)/25)*AA53+(1-EXP(-LN(2)/25))/(LN(2)/25)*Calculateur!V54*Calculateur!X54*VLOOKUP('Données projet'!$B$9,Paramètres!$A$1:$I$89,3,0)*0.475*44/12</f>
        <v>10.298529754976112</v>
      </c>
      <c r="AB54" s="21">
        <f>EXP(-LN(2)/2)*AB53+(1-EXP(-LN(2)/2))/(LN(2)/2)*V54*Y54*VLOOKUP('Données projet'!$B$9,Paramètres!$A$1:$I$89,3,0)*0.475*44/12</f>
        <v>1.6657116760189983E-2</v>
      </c>
      <c r="AC54" s="22">
        <f t="shared" si="3"/>
        <v>12.575476761696768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8.1999999999999993</v>
      </c>
      <c r="AI54" s="13">
        <f>IF('Données projet'!$A$62&gt;35,AI53+AH54-AQ53,IF(A54&lt;'Données projet'!$A$62,$AF$205^A54,IF(A54='Données projet'!$A$62,'Données projet'!$B$62,AI53+AH54-AQ53)))</f>
        <v>255.19999999999987</v>
      </c>
      <c r="AJ54" s="13">
        <f>AI54*VLOOKUP('Données projet'!$B$10,Paramètres!$A$1:$I$89,3,0)*VLOOKUP('Données projet'!$B$10,Paramètres!$A$1:$I$89,5,0)</f>
        <v>139.33919999999992</v>
      </c>
      <c r="AK54" s="13">
        <f t="shared" si="35"/>
        <v>36.145583836349623</v>
      </c>
      <c r="AL54" s="20">
        <f t="shared" si="4"/>
        <v>305.63599851497548</v>
      </c>
      <c r="AM54" s="59">
        <f t="shared" si="5"/>
        <v>598.9693318483088</v>
      </c>
      <c r="AN54" s="59">
        <f ca="1">AVERAGE(OFFSET($AM$3,0,0,'Données projet'!$E$10+1,1))-AVERAGE(OFFSET($H$3,0,0,'Données projet'!$E$10+1,1))</f>
        <v>168.72306536277267</v>
      </c>
      <c r="AO54" s="59">
        <f t="shared" si="36"/>
        <v>203.35476578922339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2.0070227352714509</v>
      </c>
      <c r="AV54" s="21">
        <f>EXP(-LN(2)/25)*AV53+(1-EXP(-LN(2)/25))/(LN(2)/25)*Calculateur!AQ54*Calculateur!AS54*VLOOKUP('Données projet'!$B$10,Paramètres!$A$1:$I$89,3,0)*0.475*44/12</f>
        <v>12.840434471046073</v>
      </c>
      <c r="AW54" s="21">
        <f>EXP(-LN(2)/2)*AW53+(1-EXP(-LN(2)/2))/(LN(2)/2)*AQ54*AT54*VLOOKUP('Données projet'!$B$10,Paramètres!$A$1:$I$89,3,0)*0.475*44/12</f>
        <v>1.3827146222576818E-2</v>
      </c>
      <c r="AX54" s="21">
        <f t="shared" si="6"/>
        <v>14.861284352540101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9.6</v>
      </c>
      <c r="BD54" s="12">
        <f>IF('Données projet'!$A$88&gt;35,BD53+BC54-BL53,IF(A54&lt;'Données projet'!$A$88,$BA$205^A54,IF(A54='Données projet'!$A$88,'Données projet'!$B$88,BD53+BC54-BL53)))</f>
        <v>237.59999999999991</v>
      </c>
      <c r="BE54" s="13">
        <f>BD54*VLOOKUP('Données projet'!$B$11,Paramètres!$A$1:$I$89,3,0)*VLOOKUP('Données projet'!$B$11,Paramètres!$A$1:$I$89,5,0)</f>
        <v>142.08479999999994</v>
      </c>
      <c r="BF54" s="13">
        <f t="shared" si="37"/>
        <v>36.77419224965486</v>
      </c>
      <c r="BG54" s="20">
        <f t="shared" si="7"/>
        <v>311.51274483481546</v>
      </c>
      <c r="BH54" s="59">
        <f t="shared" si="8"/>
        <v>604.84607816814878</v>
      </c>
      <c r="BI54" s="59">
        <f ca="1">AVERAGE(OFFSET($BH$3,0,0,'Données projet'!$E$11+1,1))-AVERAGE(OFFSET($H$3,0,0,'Données projet'!$E$11+1,1))</f>
        <v>165.39579887388538</v>
      </c>
      <c r="BJ54" s="59">
        <f t="shared" si="38"/>
        <v>155.89639262545802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4.072089931423875</v>
      </c>
      <c r="BR54" s="21">
        <f>EXP(-LN(2)/2)*BR53+(1-EXP(-LN(2)/2))/(LN(2)/2)*BL54*BO54*VLOOKUP('Données projet'!$B$11,Paramètres!$A$1:$I$89,3,0)*0.475*44/12</f>
        <v>9.5846361246061038E-3</v>
      </c>
      <c r="BS54" s="22">
        <f t="shared" si="9"/>
        <v>4.0816745675484807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5.5</v>
      </c>
      <c r="BY54" s="12">
        <f>IF('Données projet'!$A$114&gt;35,BY53+BX54-CG53,IF(A54&lt;'Données projet'!$A$114,$BV$205^A54,IF(A54='Données projet'!$A$114,'Données projet'!$B$114,BY53+BX54-CG53)))</f>
        <v>112.49999999999997</v>
      </c>
      <c r="BZ54" s="13">
        <f>BY54*VLOOKUP('Données projet'!$B$12,Paramètres!$A$1:$I$89,3,0)*VLOOKUP('Données projet'!$B$12,Paramètres!$A$1:$I$89,5,0)</f>
        <v>108.80999999999999</v>
      </c>
      <c r="CA54" s="13">
        <f t="shared" si="39"/>
        <v>29.05043404802263</v>
      </c>
      <c r="CB54" s="20">
        <f t="shared" si="10"/>
        <v>240.10692263363936</v>
      </c>
      <c r="CC54" s="59">
        <f t="shared" si="11"/>
        <v>533.4402559669727</v>
      </c>
      <c r="CD54" s="59">
        <f ca="1">AVERAGE(OFFSET($CC$3,0,0,'Données projet'!$E$12+1,1))-AVERAGE(OFFSET($H$3,0,0,'Données projet'!$E$12+1,1))</f>
        <v>156.26368818265388</v>
      </c>
      <c r="CE54" s="59">
        <f t="shared" si="40"/>
        <v>56.347130462109817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5.5</v>
      </c>
      <c r="CT54" s="12">
        <f>IF('Données projet'!$A$140&gt;35,CT53+CS54-DB53,IF(A54&lt;'Données projet'!$A$140,$CQ$205^A54,IF(A54='Données projet'!$A$140,'Données projet'!$B$140,CT53+CS54-DB53)))</f>
        <v>112.49999999999997</v>
      </c>
      <c r="CU54" s="17">
        <f>CT54*VLOOKUP('Données projet'!$B$13,Paramètres!$A$1:$I$89,3,0)*VLOOKUP('Données projet'!$B$13,Paramètres!$A$1:$I$89,5,0)</f>
        <v>91.259999999999977</v>
      </c>
      <c r="CV54" s="13">
        <f t="shared" si="41"/>
        <v>24.868860330902777</v>
      </c>
      <c r="CW54" s="20">
        <f t="shared" si="13"/>
        <v>202.25776507632227</v>
      </c>
      <c r="CX54" s="59">
        <f t="shared" si="14"/>
        <v>495.59109840965561</v>
      </c>
      <c r="CY54" s="59">
        <f ca="1">AVERAGE(OFFSET($CX$3,0,0,'Données projet'!$E$13+1,1))-AVERAGE(OFFSET($H$3,0,0,'Données projet'!$E$13+1,1))</f>
        <v>112.78807760743126</v>
      </c>
      <c r="CZ54" s="59">
        <f t="shared" si="42"/>
        <v>37.867745922003564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4.4000000000000004</v>
      </c>
      <c r="DO54" s="12">
        <f>IF('Données projet'!$A$166&gt;35,DO53+DN54-DW53,IF(A54&lt;'Données projet'!$A$166,$DL$205^A54,IF(A54='Données projet'!$A$166,'Données projet'!$B$166,DO53+DN54-DW53)))</f>
        <v>165.39999999999998</v>
      </c>
      <c r="DP54" s="17">
        <f>DO54*VLOOKUP('Données projet'!$B$14,Paramètres!$A$1:$I$89,3,0)*VLOOKUP('Données projet'!$B$14,Paramètres!$A$1:$I$89,5,0)</f>
        <v>110.95031999999998</v>
      </c>
      <c r="DQ54" s="13">
        <f t="shared" si="43"/>
        <v>29.554775157474669</v>
      </c>
      <c r="DR54" s="20">
        <f t="shared" si="16"/>
        <v>244.71304073260163</v>
      </c>
      <c r="DS54" s="59">
        <f t="shared" si="17"/>
        <v>538.04637406593497</v>
      </c>
      <c r="DT54" s="59">
        <f ca="1">AVERAGE(OFFSET($DS$3,0,0,'Données projet'!$E$14+1,1))-AVERAGE(OFFSET($H$3,0,0,'Données projet'!$E$14+1,1))</f>
        <v>107.15837202366862</v>
      </c>
      <c r="DU54" s="59">
        <f t="shared" si="44"/>
        <v>139.67031833740026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3.1664215191598557</v>
      </c>
      <c r="EC54" s="21">
        <f>EXP(-LN(2)/2)*EC53+(1-EXP(-LN(2)/2))/(LN(2)/2)*DW54*DZ54*VLOOKUP('Données projet'!$B$14,Paramètres!$A$1:$I$89,3,0)*0.475*44/12</f>
        <v>4.6607421239872352E-3</v>
      </c>
      <c r="ED54" s="22">
        <f t="shared" si="18"/>
        <v>3.1710822612838427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8</v>
      </c>
      <c r="EJ54" s="12">
        <f>IF('Données projet'!$A$192&gt;35,EJ53+EI54-ER53,IF(A54&lt;'Données projet'!$A$192,$EG$205^A54,IF(A54='Données projet'!$A$192,'Données projet'!$B$192,EJ53+EI54-ER53)))</f>
        <v>203.09999999999997</v>
      </c>
      <c r="EK54" s="17">
        <f>EJ54*VLOOKUP('Données projet'!$B$15,Paramètres!$A$1:$I$89,3,0)*VLOOKUP('Données projet'!$B$15,Paramètres!$A$1:$I$89,5,0)</f>
        <v>95.050799999999981</v>
      </c>
      <c r="EL54" s="13">
        <f t="shared" si="45"/>
        <v>25.779458396145792</v>
      </c>
      <c r="EM54" s="20">
        <f t="shared" si="19"/>
        <v>210.44603337328724</v>
      </c>
      <c r="EN54" s="59">
        <f t="shared" si="20"/>
        <v>503.77936670662052</v>
      </c>
      <c r="EO54" s="59">
        <f ca="1">AVERAGE(OFFSET($EN$3,0,0,'Données projet'!$E$15+1,1))-AVERAGE(OFFSET($H$3,0,0,'Données projet'!$E$15+1,1))</f>
        <v>123.60520571614535</v>
      </c>
      <c r="EP54" s="59">
        <f t="shared" si="46"/>
        <v>119.00926870519527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0.5722062777906568</v>
      </c>
      <c r="EW54" s="21">
        <f>EXP(-LN(2)/25)*EW53+(1-EXP(-LN(2)/25))/(LN(2)/25)*Calculateur!ER54*Calculateur!ET54*VLOOKUP('Données projet'!$B$15,Paramètres!$A$1:$I$89,3,0)*0.475*44/12</f>
        <v>2.6685052510790985</v>
      </c>
      <c r="EX54" s="21">
        <f>EXP(-LN(2)/2)*EX53+(1-EXP(-LN(2)/2))/(LN(2)/2)*ER54*EU54*VLOOKUP('Données projet'!$B$15,Paramètres!$A$1:$I$89,3,0)*0.475*44/12</f>
        <v>4.2217247523982475E-3</v>
      </c>
      <c r="EY54" s="22">
        <f t="shared" si="21"/>
        <v>3.2449332536221536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25.6</v>
      </c>
      <c r="FE54" s="12">
        <f>IF('Données projet'!$A$218&gt;35,FE53+FD54-FM53,IF(A54&lt;'Données projet'!$A$218,$FB$205^A54,IF(A54='Données projet'!$A$218,'Données projet'!$B$218,FE53+FD54-FM53)))</f>
        <v>270.59999999999985</v>
      </c>
      <c r="FF54" s="17">
        <f>FE54*VLOOKUP('Données projet'!$B$16,Paramètres!$A$1:$I$89,3,0)*VLOOKUP('Données projet'!$B$16,Paramètres!$A$1:$I$89,5,0)</f>
        <v>130.15859999999992</v>
      </c>
      <c r="FG54" s="13">
        <f t="shared" si="47"/>
        <v>34.033004534779138</v>
      </c>
      <c r="FH54" s="20">
        <f t="shared" si="22"/>
        <v>285.96704456474021</v>
      </c>
      <c r="FI54" s="59">
        <f t="shared" si="23"/>
        <v>579.30037789807352</v>
      </c>
      <c r="FJ54" s="59">
        <f ca="1">AVERAGE(OFFSET($FI$3,0,0,'Données projet'!$E$16+1,1))-AVERAGE(OFFSET($H$3,0,0,'Données projet'!$E$16+1,1))</f>
        <v>197.66963254934603</v>
      </c>
      <c r="FK54" s="59">
        <f t="shared" si="48"/>
        <v>158.08388141976138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1.7596719741331215</v>
      </c>
      <c r="FR54" s="21">
        <f>EXP(-LN(2)/25)*FR53+(1-EXP(-LN(2)/25))/(LN(2)/25)*Calculateur!FM54*Calculateur!FO54*VLOOKUP('Données projet'!$B$16,Paramètres!$A$1:$I$89,3,0)*0.475*44/12</f>
        <v>2.9682546426017047</v>
      </c>
      <c r="FS54" s="21">
        <f>EXP(-LN(2)/2)*FS53+(1-EXP(-LN(2)/2))/(LN(2)/2)*FM54*FP54*VLOOKUP('Données projet'!$B$16,Paramètres!$A$1:$I$89,3,0)*0.475*44/12</f>
        <v>5.7162241320026213E-3</v>
      </c>
      <c r="FT54" s="22">
        <f t="shared" si="24"/>
        <v>4.7336428408668283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9.6</v>
      </c>
      <c r="FZ54" s="12">
        <f>IF('Données projet'!$A$244&gt;35,FZ53+FY54-GH53,IF(A54&lt;'Données projet'!$A$244,$FW$205^A54,IF(A54='Données projet'!$A$244,'Données projet'!$B$244,FZ53+FY54-GH53)))</f>
        <v>237.59999999999991</v>
      </c>
      <c r="GA54" s="17">
        <f>FZ54*VLOOKUP('Données projet'!$B$17,Paramètres!$A$1:$I$89,3,0)*VLOOKUP('Données projet'!$B$17,Paramètres!$A$1:$I$89,5,0)</f>
        <v>142.08479999999994</v>
      </c>
      <c r="GB54" s="13">
        <f t="shared" si="49"/>
        <v>36.77419224965486</v>
      </c>
      <c r="GC54" s="20">
        <f t="shared" si="25"/>
        <v>311.51274483481546</v>
      </c>
      <c r="GD54" s="59">
        <f t="shared" si="26"/>
        <v>604.84607816814878</v>
      </c>
      <c r="GE54" s="59">
        <f ca="1">AVERAGE(OFFSET($GD$3,0,0,'Données projet'!$E$17+1,1))-AVERAGE(OFFSET($H$3,0,0,'Données projet'!$E$17+1,1))</f>
        <v>165.39579887388538</v>
      </c>
      <c r="GF54" s="59">
        <f t="shared" si="50"/>
        <v>155.89639262545802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4.072089931423875</v>
      </c>
      <c r="GN54" s="21">
        <f>EXP(-LN(2)/2)*GN53+(1-EXP(-LN(2)/2))/(LN(2)/2)*GH54*GK54*VLOOKUP('Données projet'!$B$17,Paramètres!$A$1:$I$89,3,0)*0.475*44/12</f>
        <v>9.5846361246061038E-3</v>
      </c>
      <c r="GO54" s="21">
        <f t="shared" si="27"/>
        <v>4.0816745675484807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5.5</v>
      </c>
      <c r="GU54" s="12">
        <f>IF('Données projet'!$A$270&gt;35,GU53+GT54-HC53,IF(A54&lt;'Données projet'!$A$270,$GR$205^A54,IF(A54='Données projet'!$A$270,'Données projet'!$B$270,GU53+GT54-HC53)))</f>
        <v>112.49999999999997</v>
      </c>
      <c r="GV54" s="17">
        <f>GU54*VLOOKUP('Données projet'!$B$18,Paramètres!$A$1:$I$89,3,0)*VLOOKUP('Données projet'!$B$18,Paramètres!$A$1:$I$89,5,0)</f>
        <v>121.09499999999996</v>
      </c>
      <c r="GW54" s="13">
        <f t="shared" si="51"/>
        <v>31.930254888885099</v>
      </c>
      <c r="GX54" s="20">
        <f t="shared" si="28"/>
        <v>266.51898559814146</v>
      </c>
      <c r="GY54" s="59">
        <f t="shared" si="29"/>
        <v>559.85231893147477</v>
      </c>
      <c r="GZ54" s="59">
        <f ca="1">AVERAGE(OFFSET($GY$3,0,0,'Données projet'!$E$18+1,1))-AVERAGE(OFFSET($H$3,0,0,'Données projet'!$E$18+1,1))</f>
        <v>186.60545265015247</v>
      </c>
      <c r="HA54" s="59">
        <f t="shared" si="52"/>
        <v>69.239647548491234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0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13.2</v>
      </c>
      <c r="N55" s="13">
        <f>IF('Données projet'!$A$36&gt;35,N54+M55-V54,IF(A55&lt;'Données projet'!$A$36,$K$205^A55,IF(A55='Données projet'!$A$36,'Données projet'!$B$36,N54+M55-V54)))</f>
        <v>342.40000000000009</v>
      </c>
      <c r="O55" s="13">
        <f>N55*VLOOKUP('Données projet'!$B$9,Paramètres!$A$1:$I$89,3,0)*VLOOKUP('Données projet'!$B$9,Paramètres!$A$1:$I$89,5,0)</f>
        <v>191.40160000000003</v>
      </c>
      <c r="P55" s="13">
        <f t="shared" si="33"/>
        <v>47.849694035977251</v>
      </c>
      <c r="Q55" s="20">
        <f t="shared" si="53"/>
        <v>416.6960037793271</v>
      </c>
      <c r="R55" s="59">
        <f t="shared" si="0"/>
        <v>710.02933711266041</v>
      </c>
      <c r="S55" s="59">
        <f ca="1">AVERAGE(OFFSET($R$3,0,0,'Données projet'!$E$9+1,1))-AVERAGE(OFFSET($H$3,0,0,'Données projet'!$E$9+1,1))</f>
        <v>235.10258076192054</v>
      </c>
      <c r="T55" s="59">
        <f t="shared" si="34"/>
        <v>233.47316052603765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2.2159669838590457</v>
      </c>
      <c r="AA55" s="21">
        <f>EXP(-LN(2)/25)*AA54+(1-EXP(-LN(2)/25))/(LN(2)/25)*Calculateur!V55*Calculateur!X55*VLOOKUP('Données projet'!$B$9,Paramètres!$A$1:$I$89,3,0)*0.475*44/12</f>
        <v>10.016915917250149</v>
      </c>
      <c r="AB55" s="21">
        <f>EXP(-LN(2)/2)*AB54+(1-EXP(-LN(2)/2))/(LN(2)/2)*V55*Y55*VLOOKUP('Données projet'!$B$9,Paramètres!$A$1:$I$89,3,0)*0.475*44/12</f>
        <v>1.1778360216146432E-2</v>
      </c>
      <c r="AC55" s="22">
        <f t="shared" si="3"/>
        <v>12.244661261325341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8.1999999999999993</v>
      </c>
      <c r="AI55" s="13">
        <f>IF('Données projet'!$A$62&gt;35,AI54+AH55-AQ54,IF(A55&lt;'Données projet'!$A$62,$AF$205^A55,IF(A55='Données projet'!$A$62,'Données projet'!$B$62,AI54+AH55-AQ54)))</f>
        <v>263.39999999999986</v>
      </c>
      <c r="AJ55" s="13">
        <f>AI55*VLOOKUP('Données projet'!$B$10,Paramètres!$A$1:$I$89,3,0)*VLOOKUP('Données projet'!$B$10,Paramètres!$A$1:$I$89,5,0)</f>
        <v>143.81639999999993</v>
      </c>
      <c r="AK55" s="13">
        <f t="shared" si="35"/>
        <v>37.169915935828818</v>
      </c>
      <c r="AL55" s="20">
        <f t="shared" si="4"/>
        <v>315.21783358823507</v>
      </c>
      <c r="AM55" s="59">
        <f t="shared" si="5"/>
        <v>608.55116692156844</v>
      </c>
      <c r="AN55" s="59">
        <f ca="1">AVERAGE(OFFSET($AM$3,0,0,'Données projet'!$E$10+1,1))-AVERAGE(OFFSET($H$3,0,0,'Données projet'!$E$10+1,1))</f>
        <v>168.72306536277267</v>
      </c>
      <c r="AO55" s="59">
        <f t="shared" si="36"/>
        <v>203.35476578922339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1.9676662435957701</v>
      </c>
      <c r="AV55" s="21">
        <f>EXP(-LN(2)/25)*AV54+(1-EXP(-LN(2)/25))/(LN(2)/25)*Calculateur!AQ55*Calculateur!AS55*VLOOKUP('Données projet'!$B$10,Paramètres!$A$1:$I$89,3,0)*0.475*44/12</f>
        <v>12.489312115186216</v>
      </c>
      <c r="AW55" s="21">
        <f>EXP(-LN(2)/2)*AW54+(1-EXP(-LN(2)/2))/(LN(2)/2)*AQ55*AT55*VLOOKUP('Données projet'!$B$10,Paramètres!$A$1:$I$89,3,0)*0.475*44/12</f>
        <v>9.7772688584420245E-3</v>
      </c>
      <c r="AX55" s="21">
        <f t="shared" si="6"/>
        <v>14.466755627640429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9.6</v>
      </c>
      <c r="BD55" s="12">
        <f>IF('Données projet'!$A$88&gt;35,BD54+BC55-BL54,IF(A55&lt;'Données projet'!$A$88,$BA$205^A55,IF(A55='Données projet'!$A$88,'Données projet'!$B$88,BD54+BC55-BL54)))</f>
        <v>247.1999999999999</v>
      </c>
      <c r="BE55" s="13">
        <f>BD55*VLOOKUP('Données projet'!$B$11,Paramètres!$A$1:$I$89,3,0)*VLOOKUP('Données projet'!$B$11,Paramètres!$A$1:$I$89,5,0)</f>
        <v>147.82559999999995</v>
      </c>
      <c r="BF55" s="13">
        <f t="shared" si="37"/>
        <v>38.084026262138629</v>
      </c>
      <c r="BG55" s="20">
        <f t="shared" si="7"/>
        <v>323.79259907322466</v>
      </c>
      <c r="BH55" s="59">
        <f t="shared" si="8"/>
        <v>617.12593240655792</v>
      </c>
      <c r="BI55" s="59">
        <f ca="1">AVERAGE(OFFSET($BH$3,0,0,'Données projet'!$E$11+1,1))-AVERAGE(OFFSET($H$3,0,0,'Données projet'!$E$11+1,1))</f>
        <v>165.39579887388538</v>
      </c>
      <c r="BJ55" s="59">
        <f t="shared" si="38"/>
        <v>155.89639262545802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3.9607384181071863</v>
      </c>
      <c r="BR55" s="21">
        <f>EXP(-LN(2)/2)*BR54+(1-EXP(-LN(2)/2))/(LN(2)/2)*BL55*BO55*VLOOKUP('Données projet'!$B$11,Paramètres!$A$1:$I$89,3,0)*0.475*44/12</f>
        <v>6.7773611989145272E-3</v>
      </c>
      <c r="BS55" s="22">
        <f t="shared" si="9"/>
        <v>3.9675157793061007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5.5</v>
      </c>
      <c r="BY55" s="12">
        <f>IF('Données projet'!$A$114&gt;35,BY54+BX55-CG54,IF(A55&lt;'Données projet'!$A$114,$BV$205^A55,IF(A55='Données projet'!$A$114,'Données projet'!$B$114,BY54+BX55-CG54)))</f>
        <v>117.99999999999997</v>
      </c>
      <c r="BZ55" s="13">
        <f>BY55*VLOOKUP('Données projet'!$B$12,Paramètres!$A$1:$I$89,3,0)*VLOOKUP('Données projet'!$B$12,Paramètres!$A$1:$I$89,5,0)</f>
        <v>114.12959999999998</v>
      </c>
      <c r="CA55" s="13">
        <f t="shared" si="39"/>
        <v>30.301853799069058</v>
      </c>
      <c r="CB55" s="20">
        <f t="shared" si="10"/>
        <v>251.5514487000452</v>
      </c>
      <c r="CC55" s="59">
        <f t="shared" si="11"/>
        <v>544.88478203337854</v>
      </c>
      <c r="CD55" s="59">
        <f ca="1">AVERAGE(OFFSET($CC$3,0,0,'Données projet'!$E$12+1,1))-AVERAGE(OFFSET($H$3,0,0,'Données projet'!$E$12+1,1))</f>
        <v>156.26368818265388</v>
      </c>
      <c r="CE55" s="59">
        <f t="shared" si="40"/>
        <v>56.347130462109817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5.5</v>
      </c>
      <c r="CT55" s="12">
        <f>IF('Données projet'!$A$140&gt;35,CT54+CS55-DB54,IF(A55&lt;'Données projet'!$A$140,$CQ$205^A55,IF(A55='Données projet'!$A$140,'Données projet'!$B$140,CT54+CS55-DB54)))</f>
        <v>117.99999999999997</v>
      </c>
      <c r="CU55" s="17">
        <f>CT55*VLOOKUP('Données projet'!$B$13,Paramètres!$A$1:$I$89,3,0)*VLOOKUP('Données projet'!$B$13,Paramètres!$A$1:$I$89,5,0)</f>
        <v>95.721599999999981</v>
      </c>
      <c r="CV55" s="13">
        <f t="shared" si="41"/>
        <v>25.940148386449934</v>
      </c>
      <c r="CW55" s="20">
        <f t="shared" si="13"/>
        <v>211.89421177306693</v>
      </c>
      <c r="CX55" s="59">
        <f t="shared" si="14"/>
        <v>505.22754510640027</v>
      </c>
      <c r="CY55" s="59">
        <f ca="1">AVERAGE(OFFSET($CX$3,0,0,'Données projet'!$E$13+1,1))-AVERAGE(OFFSET($H$3,0,0,'Données projet'!$E$13+1,1))</f>
        <v>112.78807760743126</v>
      </c>
      <c r="CZ55" s="59">
        <f t="shared" si="42"/>
        <v>37.867745922003564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4.4000000000000004</v>
      </c>
      <c r="DO55" s="12">
        <f>IF('Données projet'!$A$166&gt;35,DO54+DN55-DW54,IF(A55&lt;'Données projet'!$A$166,$DL$205^A55,IF(A55='Données projet'!$A$166,'Données projet'!$B$166,DO54+DN55-DW54)))</f>
        <v>169.79999999999998</v>
      </c>
      <c r="DP55" s="17">
        <f>DO55*VLOOKUP('Données projet'!$B$14,Paramètres!$A$1:$I$89,3,0)*VLOOKUP('Données projet'!$B$14,Paramètres!$A$1:$I$89,5,0)</f>
        <v>113.90183999999999</v>
      </c>
      <c r="DQ55" s="13">
        <f t="shared" si="43"/>
        <v>30.248415264444404</v>
      </c>
      <c r="DR55" s="20">
        <f t="shared" si="16"/>
        <v>251.06169458557397</v>
      </c>
      <c r="DS55" s="59">
        <f t="shared" si="17"/>
        <v>544.39502791890732</v>
      </c>
      <c r="DT55" s="59">
        <f ca="1">AVERAGE(OFFSET($DS$3,0,0,'Données projet'!$E$14+1,1))-AVERAGE(OFFSET($H$3,0,0,'Données projet'!$E$14+1,1))</f>
        <v>107.15837202366862</v>
      </c>
      <c r="DU55" s="59">
        <f t="shared" si="44"/>
        <v>139.67031833740026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3.0798355562035589</v>
      </c>
      <c r="EC55" s="21">
        <f>EXP(-LN(2)/2)*EC54+(1-EXP(-LN(2)/2))/(LN(2)/2)*DW55*DZ55*VLOOKUP('Données projet'!$B$14,Paramètres!$A$1:$I$89,3,0)*0.475*44/12</f>
        <v>3.2956423612331667E-3</v>
      </c>
      <c r="ED55" s="22">
        <f t="shared" si="18"/>
        <v>3.083131198564792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8</v>
      </c>
      <c r="EJ55" s="12">
        <f>IF('Données projet'!$A$192&gt;35,EJ54+EI55-ER54,IF(A55&lt;'Données projet'!$A$192,$EG$205^A55,IF(A55='Données projet'!$A$192,'Données projet'!$B$192,EJ54+EI55-ER54)))</f>
        <v>211.09999999999997</v>
      </c>
      <c r="EK55" s="17">
        <f>EJ55*VLOOKUP('Données projet'!$B$15,Paramètres!$A$1:$I$89,3,0)*VLOOKUP('Données projet'!$B$15,Paramètres!$A$1:$I$89,5,0)</f>
        <v>98.794799999999981</v>
      </c>
      <c r="EL55" s="13">
        <f t="shared" si="45"/>
        <v>26.674672963454121</v>
      </c>
      <c r="EM55" s="20">
        <f t="shared" si="19"/>
        <v>218.52599874468254</v>
      </c>
      <c r="EN55" s="59">
        <f t="shared" si="20"/>
        <v>511.85933207801588</v>
      </c>
      <c r="EO55" s="59">
        <f ca="1">AVERAGE(OFFSET($EN$3,0,0,'Données projet'!$E$15+1,1))-AVERAGE(OFFSET($H$3,0,0,'Données projet'!$E$15+1,1))</f>
        <v>123.60520571614535</v>
      </c>
      <c r="EP55" s="59">
        <f t="shared" si="46"/>
        <v>119.00926870519527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0.56098566169454944</v>
      </c>
      <c r="EW55" s="21">
        <f>EXP(-LN(2)/25)*EW54+(1-EXP(-LN(2)/25))/(LN(2)/25)*Calculateur!ER55*Calculateur!ET55*VLOOKUP('Données projet'!$B$15,Paramètres!$A$1:$I$89,3,0)*0.475*44/12</f>
        <v>2.5955348346577485</v>
      </c>
      <c r="EX55" s="21">
        <f>EXP(-LN(2)/2)*EX54+(1-EXP(-LN(2)/2))/(LN(2)/2)*ER55*EU55*VLOOKUP('Données projet'!$B$15,Paramètres!$A$1:$I$89,3,0)*0.475*44/12</f>
        <v>2.9852102007238992E-3</v>
      </c>
      <c r="EY55" s="22">
        <f t="shared" si="21"/>
        <v>3.1595057065530217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25.6</v>
      </c>
      <c r="FE55" s="12">
        <f>IF('Données projet'!$A$218&gt;35,FE54+FD55-FM54,IF(A55&lt;'Données projet'!$A$218,$FB$205^A55,IF(A55='Données projet'!$A$218,'Données projet'!$B$218,FE54+FD55-FM54)))</f>
        <v>296.19999999999987</v>
      </c>
      <c r="FF55" s="17">
        <f>FE55*VLOOKUP('Données projet'!$B$16,Paramètres!$A$1:$I$89,3,0)*VLOOKUP('Données projet'!$B$16,Paramètres!$A$1:$I$89,5,0)</f>
        <v>142.47219999999993</v>
      </c>
      <c r="FG55" s="13">
        <f t="shared" si="47"/>
        <v>36.862773538300196</v>
      </c>
      <c r="FH55" s="20">
        <f t="shared" si="22"/>
        <v>312.34174557920602</v>
      </c>
      <c r="FI55" s="59">
        <f t="shared" si="23"/>
        <v>605.67507891253933</v>
      </c>
      <c r="FJ55" s="59">
        <f ca="1">AVERAGE(OFFSET($FI$3,0,0,'Données projet'!$E$16+1,1))-AVERAGE(OFFSET($H$3,0,0,'Données projet'!$E$16+1,1))</f>
        <v>197.66963254934603</v>
      </c>
      <c r="FK55" s="59">
        <f t="shared" si="48"/>
        <v>158.08388141976138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1.7251658800142962</v>
      </c>
      <c r="FR55" s="21">
        <f>EXP(-LN(2)/25)*FR54+(1-EXP(-LN(2)/25))/(LN(2)/25)*Calculateur!FM55*Calculateur!FO55*VLOOKUP('Données projet'!$B$16,Paramètres!$A$1:$I$89,3,0)*0.475*44/12</f>
        <v>2.8870875633060336</v>
      </c>
      <c r="FS55" s="21">
        <f>EXP(-LN(2)/2)*FS54+(1-EXP(-LN(2)/2))/(LN(2)/2)*FM55*FP55*VLOOKUP('Données projet'!$B$16,Paramètres!$A$1:$I$89,3,0)*0.475*44/12</f>
        <v>4.04198084652124E-3</v>
      </c>
      <c r="FT55" s="22">
        <f t="shared" si="24"/>
        <v>4.616295424166851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9.6</v>
      </c>
      <c r="FZ55" s="12">
        <f>IF('Données projet'!$A$244&gt;35,FZ54+FY55-GH54,IF(A55&lt;'Données projet'!$A$244,$FW$205^A55,IF(A55='Données projet'!$A$244,'Données projet'!$B$244,FZ54+FY55-GH54)))</f>
        <v>247.1999999999999</v>
      </c>
      <c r="GA55" s="17">
        <f>FZ55*VLOOKUP('Données projet'!$B$17,Paramètres!$A$1:$I$89,3,0)*VLOOKUP('Données projet'!$B$17,Paramètres!$A$1:$I$89,5,0)</f>
        <v>147.82559999999995</v>
      </c>
      <c r="GB55" s="13">
        <f t="shared" si="49"/>
        <v>38.084026262138629</v>
      </c>
      <c r="GC55" s="20">
        <f t="shared" si="25"/>
        <v>323.79259907322466</v>
      </c>
      <c r="GD55" s="59">
        <f t="shared" si="26"/>
        <v>617.12593240655792</v>
      </c>
      <c r="GE55" s="59">
        <f ca="1">AVERAGE(OFFSET($GD$3,0,0,'Données projet'!$E$17+1,1))-AVERAGE(OFFSET($H$3,0,0,'Données projet'!$E$17+1,1))</f>
        <v>165.39579887388538</v>
      </c>
      <c r="GF55" s="59">
        <f t="shared" si="50"/>
        <v>155.89639262545802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3.9607384181071863</v>
      </c>
      <c r="GN55" s="21">
        <f>EXP(-LN(2)/2)*GN54+(1-EXP(-LN(2)/2))/(LN(2)/2)*GH55*GK55*VLOOKUP('Données projet'!$B$17,Paramètres!$A$1:$I$89,3,0)*0.475*44/12</f>
        <v>6.7773611989145272E-3</v>
      </c>
      <c r="GO55" s="21">
        <f t="shared" si="27"/>
        <v>3.9675157793061007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5.5</v>
      </c>
      <c r="GU55" s="12">
        <f>IF('Données projet'!$A$270&gt;35,GU54+GT55-HC54,IF(A55&lt;'Données projet'!$A$270,$GR$205^A55,IF(A55='Données projet'!$A$270,'Données projet'!$B$270,GU54+GT55-HC54)))</f>
        <v>117.99999999999997</v>
      </c>
      <c r="GV55" s="17">
        <f>GU55*VLOOKUP('Données projet'!$B$18,Paramètres!$A$1:$I$89,3,0)*VLOOKUP('Données projet'!$B$18,Paramètres!$A$1:$I$89,5,0)</f>
        <v>127.01519999999996</v>
      </c>
      <c r="GW55" s="13">
        <f t="shared" si="51"/>
        <v>33.305730090317354</v>
      </c>
      <c r="GX55" s="20">
        <f t="shared" si="28"/>
        <v>279.22561990730264</v>
      </c>
      <c r="GY55" s="59">
        <f t="shared" si="29"/>
        <v>572.5589532406359</v>
      </c>
      <c r="GZ55" s="59">
        <f ca="1">AVERAGE(OFFSET($GY$3,0,0,'Données projet'!$E$18+1,1))-AVERAGE(OFFSET($H$3,0,0,'Données projet'!$E$18+1,1))</f>
        <v>186.60545265015247</v>
      </c>
      <c r="HA55" s="59">
        <f t="shared" si="52"/>
        <v>69.239647548491234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0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13.2</v>
      </c>
      <c r="N56" s="13">
        <f>IF('Données projet'!$A$36&gt;35,N55+M56-V55,IF(A56&lt;'Données projet'!$A$36,$K$205^A56,IF(A56='Données projet'!$A$36,'Données projet'!$B$36,N55+M56-V55)))</f>
        <v>355.60000000000008</v>
      </c>
      <c r="O56" s="13">
        <f>N56*VLOOKUP('Données projet'!$B$9,Paramètres!$A$1:$I$89,3,0)*VLOOKUP('Données projet'!$B$9,Paramètres!$A$1:$I$89,5,0)</f>
        <v>198.78040000000007</v>
      </c>
      <c r="P56" s="13">
        <f t="shared" si="33"/>
        <v>49.476041217213542</v>
      </c>
      <c r="Q56" s="20">
        <f t="shared" si="53"/>
        <v>432.37996845331372</v>
      </c>
      <c r="R56" s="59">
        <f t="shared" si="0"/>
        <v>725.71330178664698</v>
      </c>
      <c r="S56" s="59">
        <f ca="1">AVERAGE(OFFSET($R$3,0,0,'Données projet'!$E$9+1,1))-AVERAGE(OFFSET($H$3,0,0,'Données projet'!$E$9+1,1))</f>
        <v>235.10258076192054</v>
      </c>
      <c r="T56" s="59">
        <f t="shared" si="34"/>
        <v>233.47316052603765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2.1725132229119697</v>
      </c>
      <c r="AA56" s="21">
        <f>EXP(-LN(2)/25)*AA55+(1-EXP(-LN(2)/25))/(LN(2)/25)*Calculateur!V56*Calculateur!X56*VLOOKUP('Données projet'!$B$9,Paramètres!$A$1:$I$89,3,0)*0.475*44/12</f>
        <v>9.7430028247262292</v>
      </c>
      <c r="AB56" s="21">
        <f>EXP(-LN(2)/2)*AB55+(1-EXP(-LN(2)/2))/(LN(2)/2)*V56*Y56*VLOOKUP('Données projet'!$B$9,Paramètres!$A$1:$I$89,3,0)*0.475*44/12</f>
        <v>8.3285583800949917E-3</v>
      </c>
      <c r="AC56" s="22">
        <f t="shared" si="3"/>
        <v>11.923844606018294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8.1999999999999993</v>
      </c>
      <c r="AI56" s="13">
        <f>IF('Données projet'!$A$62&gt;35,AI55+AH56-AQ55,IF(A56&lt;'Données projet'!$A$62,$AF$205^A56,IF(A56='Données projet'!$A$62,'Données projet'!$B$62,AI55+AH56-AQ55)))</f>
        <v>271.59999999999985</v>
      </c>
      <c r="AJ56" s="13">
        <f>AI56*VLOOKUP('Données projet'!$B$10,Paramètres!$A$1:$I$89,3,0)*VLOOKUP('Données projet'!$B$10,Paramètres!$A$1:$I$89,5,0)</f>
        <v>148.29359999999991</v>
      </c>
      <c r="AK56" s="13">
        <f t="shared" si="35"/>
        <v>38.190542257893661</v>
      </c>
      <c r="AL56" s="20">
        <f t="shared" si="4"/>
        <v>324.79321443249796</v>
      </c>
      <c r="AM56" s="59">
        <f t="shared" si="5"/>
        <v>618.12654776583122</v>
      </c>
      <c r="AN56" s="59">
        <f ca="1">AVERAGE(OFFSET($AM$3,0,0,'Données projet'!$E$10+1,1))-AVERAGE(OFFSET($H$3,0,0,'Données projet'!$E$10+1,1))</f>
        <v>168.72306536277267</v>
      </c>
      <c r="AO56" s="59">
        <f t="shared" si="36"/>
        <v>203.35476578922339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1.9290815087167599</v>
      </c>
      <c r="AV56" s="21">
        <f>EXP(-LN(2)/25)*AV55+(1-EXP(-LN(2)/25))/(LN(2)/25)*Calculateur!AQ56*Calculateur!AS56*VLOOKUP('Données projet'!$B$10,Paramètres!$A$1:$I$89,3,0)*0.475*44/12</f>
        <v>12.14779121861207</v>
      </c>
      <c r="AW56" s="21">
        <f>EXP(-LN(2)/2)*AW55+(1-EXP(-LN(2)/2))/(LN(2)/2)*AQ56*AT56*VLOOKUP('Données projet'!$B$10,Paramètres!$A$1:$I$89,3,0)*0.475*44/12</f>
        <v>6.91357311128841E-3</v>
      </c>
      <c r="AX56" s="21">
        <f t="shared" si="6"/>
        <v>14.083786300440119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9.6</v>
      </c>
      <c r="BD56" s="12">
        <f>IF('Données projet'!$A$88&gt;35,BD55+BC56-BL55,IF(A56&lt;'Données projet'!$A$88,$BA$205^A56,IF(A56='Données projet'!$A$88,'Données projet'!$B$88,BD55+BC56-BL55)))</f>
        <v>256.7999999999999</v>
      </c>
      <c r="BE56" s="13">
        <f>BD56*VLOOKUP('Données projet'!$B$11,Paramètres!$A$1:$I$89,3,0)*VLOOKUP('Données projet'!$B$11,Paramètres!$A$1:$I$89,5,0)</f>
        <v>153.56639999999996</v>
      </c>
      <c r="BF56" s="13">
        <f t="shared" si="37"/>
        <v>39.387951109795566</v>
      </c>
      <c r="BG56" s="20">
        <f t="shared" si="7"/>
        <v>336.06216151622726</v>
      </c>
      <c r="BH56" s="59">
        <f t="shared" si="8"/>
        <v>629.39549484956058</v>
      </c>
      <c r="BI56" s="59">
        <f ca="1">AVERAGE(OFFSET($BH$3,0,0,'Données projet'!$E$11+1,1))-AVERAGE(OFFSET($H$3,0,0,'Données projet'!$E$11+1,1))</f>
        <v>165.39579887388538</v>
      </c>
      <c r="BJ56" s="59">
        <f t="shared" si="38"/>
        <v>155.89639262545802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3.8524318177778643</v>
      </c>
      <c r="BR56" s="21">
        <f>EXP(-LN(2)/2)*BR55+(1-EXP(-LN(2)/2))/(LN(2)/2)*BL56*BO56*VLOOKUP('Données projet'!$B$11,Paramètres!$A$1:$I$89,3,0)*0.475*44/12</f>
        <v>4.7923180623030519E-3</v>
      </c>
      <c r="BS56" s="22">
        <f t="shared" si="9"/>
        <v>3.8572241358401671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5.5</v>
      </c>
      <c r="BY56" s="12">
        <f>IF('Données projet'!$A$114&gt;35,BY55+BX56-CG55,IF(A56&lt;'Données projet'!$A$114,$BV$205^A56,IF(A56='Données projet'!$A$114,'Données projet'!$B$114,BY55+BX56-CG55)))</f>
        <v>123.49999999999997</v>
      </c>
      <c r="BZ56" s="13">
        <f>BY56*VLOOKUP('Données projet'!$B$12,Paramètres!$A$1:$I$89,3,0)*VLOOKUP('Données projet'!$B$12,Paramètres!$A$1:$I$89,5,0)</f>
        <v>119.44919999999998</v>
      </c>
      <c r="CA56" s="13">
        <f t="shared" si="39"/>
        <v>31.546499862627162</v>
      </c>
      <c r="CB56" s="20">
        <f t="shared" si="10"/>
        <v>262.98417726074223</v>
      </c>
      <c r="CC56" s="59">
        <f t="shared" si="11"/>
        <v>556.31751059407554</v>
      </c>
      <c r="CD56" s="59">
        <f ca="1">AVERAGE(OFFSET($CC$3,0,0,'Données projet'!$E$12+1,1))-AVERAGE(OFFSET($H$3,0,0,'Données projet'!$E$12+1,1))</f>
        <v>156.26368818265388</v>
      </c>
      <c r="CE56" s="59">
        <f t="shared" si="40"/>
        <v>56.347130462109817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5.5</v>
      </c>
      <c r="CT56" s="12">
        <f>IF('Données projet'!$A$140&gt;35,CT55+CS56-DB55,IF(A56&lt;'Données projet'!$A$140,$CQ$205^A56,IF(A56='Données projet'!$A$140,'Données projet'!$B$140,CT55+CS56-DB55)))</f>
        <v>123.49999999999997</v>
      </c>
      <c r="CU56" s="17">
        <f>CT56*VLOOKUP('Données projet'!$B$13,Paramètres!$A$1:$I$89,3,0)*VLOOKUP('Données projet'!$B$13,Paramètres!$A$1:$I$89,5,0)</f>
        <v>100.18319999999999</v>
      </c>
      <c r="CV56" s="13">
        <f t="shared" si="41"/>
        <v>27.005637771733042</v>
      </c>
      <c r="CW56" s="20">
        <f t="shared" si="13"/>
        <v>221.52055911910168</v>
      </c>
      <c r="CX56" s="59">
        <f t="shared" si="14"/>
        <v>514.85389245243505</v>
      </c>
      <c r="CY56" s="59">
        <f ca="1">AVERAGE(OFFSET($CX$3,0,0,'Données projet'!$E$13+1,1))-AVERAGE(OFFSET($H$3,0,0,'Données projet'!$E$13+1,1))</f>
        <v>112.78807760743126</v>
      </c>
      <c r="CZ56" s="59">
        <f t="shared" si="42"/>
        <v>37.867745922003564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4.4000000000000004</v>
      </c>
      <c r="DO56" s="12">
        <f>IF('Données projet'!$A$166&gt;35,DO55+DN56-DW55,IF(A56&lt;'Données projet'!$A$166,$DL$205^A56,IF(A56='Données projet'!$A$166,'Données projet'!$B$166,DO55+DN56-DW55)))</f>
        <v>174.2</v>
      </c>
      <c r="DP56" s="17">
        <f>DO56*VLOOKUP('Données projet'!$B$14,Paramètres!$A$1:$I$89,3,0)*VLOOKUP('Données projet'!$B$14,Paramètres!$A$1:$I$89,5,0)</f>
        <v>116.85336</v>
      </c>
      <c r="DQ56" s="13">
        <f t="shared" si="43"/>
        <v>30.939966081410784</v>
      </c>
      <c r="DR56" s="20">
        <f t="shared" si="16"/>
        <v>257.40670959179045</v>
      </c>
      <c r="DS56" s="59">
        <f t="shared" si="17"/>
        <v>550.74004292512382</v>
      </c>
      <c r="DT56" s="59">
        <f ca="1">AVERAGE(OFFSET($DS$3,0,0,'Données projet'!$E$14+1,1))-AVERAGE(OFFSET($H$3,0,0,'Données projet'!$E$14+1,1))</f>
        <v>107.15837202366862</v>
      </c>
      <c r="DU56" s="59">
        <f t="shared" si="44"/>
        <v>139.67031833740026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2.9956172909576595</v>
      </c>
      <c r="EC56" s="21">
        <f>EXP(-LN(2)/2)*EC55+(1-EXP(-LN(2)/2))/(LN(2)/2)*DW56*DZ56*VLOOKUP('Données projet'!$B$14,Paramètres!$A$1:$I$89,3,0)*0.475*44/12</f>
        <v>2.3303710619936176E-3</v>
      </c>
      <c r="ED56" s="22">
        <f t="shared" si="18"/>
        <v>2.9979476620196532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8</v>
      </c>
      <c r="EJ56" s="12">
        <f>IF('Données projet'!$A$192&gt;35,EJ55+EI56-ER55,IF(A56&lt;'Données projet'!$A$192,$EG$205^A56,IF(A56='Données projet'!$A$192,'Données projet'!$B$192,EJ55+EI56-ER55)))</f>
        <v>219.09999999999997</v>
      </c>
      <c r="EK56" s="17">
        <f>EJ56*VLOOKUP('Données projet'!$B$15,Paramètres!$A$1:$I$89,3,0)*VLOOKUP('Données projet'!$B$15,Paramètres!$A$1:$I$89,5,0)</f>
        <v>102.53879999999999</v>
      </c>
      <c r="EL56" s="13">
        <f t="shared" si="45"/>
        <v>27.565946279127903</v>
      </c>
      <c r="EM56" s="20">
        <f t="shared" si="19"/>
        <v>226.59909976948109</v>
      </c>
      <c r="EN56" s="59">
        <f t="shared" si="20"/>
        <v>519.93243310281446</v>
      </c>
      <c r="EO56" s="59">
        <f ca="1">AVERAGE(OFFSET($EN$3,0,0,'Données projet'!$E$15+1,1))-AVERAGE(OFFSET($H$3,0,0,'Données projet'!$E$15+1,1))</f>
        <v>123.60520571614535</v>
      </c>
      <c r="EP56" s="59">
        <f t="shared" si="46"/>
        <v>119.00926870519527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0.54998507503618677</v>
      </c>
      <c r="EW56" s="21">
        <f>EXP(-LN(2)/25)*EW55+(1-EXP(-LN(2)/25))/(LN(2)/25)*Calculateur!ER56*Calculateur!ET56*VLOOKUP('Données projet'!$B$15,Paramètres!$A$1:$I$89,3,0)*0.475*44/12</f>
        <v>2.5245597981107877</v>
      </c>
      <c r="EX56" s="21">
        <f>EXP(-LN(2)/2)*EX55+(1-EXP(-LN(2)/2))/(LN(2)/2)*ER56*EU56*VLOOKUP('Données projet'!$B$15,Paramètres!$A$1:$I$89,3,0)*0.475*44/12</f>
        <v>2.1108623761991237E-3</v>
      </c>
      <c r="EY56" s="22">
        <f t="shared" si="21"/>
        <v>3.0766557355231736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25.6</v>
      </c>
      <c r="FE56" s="12">
        <f>IF('Données projet'!$A$218&gt;35,FE55+FD56-FM55,IF(A56&lt;'Données projet'!$A$218,$FB$205^A56,IF(A56='Données projet'!$A$218,'Données projet'!$B$218,FE55+FD56-FM55)))</f>
        <v>321.7999999999999</v>
      </c>
      <c r="FF56" s="17">
        <f>FE56*VLOOKUP('Données projet'!$B$16,Paramètres!$A$1:$I$89,3,0)*VLOOKUP('Données projet'!$B$16,Paramètres!$A$1:$I$89,5,0)</f>
        <v>154.78579999999997</v>
      </c>
      <c r="FG56" s="13">
        <f t="shared" si="47"/>
        <v>39.664179889328437</v>
      </c>
      <c r="FH56" s="20">
        <f t="shared" si="22"/>
        <v>338.66704830724694</v>
      </c>
      <c r="FI56" s="59">
        <f t="shared" si="23"/>
        <v>632.00038164058026</v>
      </c>
      <c r="FJ56" s="59">
        <f ca="1">AVERAGE(OFFSET($FI$3,0,0,'Données projet'!$E$16+1,1))-AVERAGE(OFFSET($H$3,0,0,'Données projet'!$E$16+1,1))</f>
        <v>197.66963254934603</v>
      </c>
      <c r="FK56" s="59">
        <f t="shared" si="48"/>
        <v>158.08388141976138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1.6913364293545019</v>
      </c>
      <c r="FR56" s="21">
        <f>EXP(-LN(2)/25)*FR55+(1-EXP(-LN(2)/25))/(LN(2)/25)*Calculateur!FM56*Calculateur!FO56*VLOOKUP('Données projet'!$B$16,Paramètres!$A$1:$I$89,3,0)*0.475*44/12</f>
        <v>2.8081400020620935</v>
      </c>
      <c r="FS56" s="21">
        <f>EXP(-LN(2)/2)*FS55+(1-EXP(-LN(2)/2))/(LN(2)/2)*FM56*FP56*VLOOKUP('Données projet'!$B$16,Paramètres!$A$1:$I$89,3,0)*0.475*44/12</f>
        <v>2.8581120660013106E-3</v>
      </c>
      <c r="FT56" s="22">
        <f t="shared" si="24"/>
        <v>4.502334543482597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9.6</v>
      </c>
      <c r="FZ56" s="12">
        <f>IF('Données projet'!$A$244&gt;35,FZ55+FY56-GH55,IF(A56&lt;'Données projet'!$A$244,$FW$205^A56,IF(A56='Données projet'!$A$244,'Données projet'!$B$244,FZ55+FY56-GH55)))</f>
        <v>256.7999999999999</v>
      </c>
      <c r="GA56" s="17">
        <f>FZ56*VLOOKUP('Données projet'!$B$17,Paramètres!$A$1:$I$89,3,0)*VLOOKUP('Données projet'!$B$17,Paramètres!$A$1:$I$89,5,0)</f>
        <v>153.56639999999996</v>
      </c>
      <c r="GB56" s="13">
        <f t="shared" si="49"/>
        <v>39.387951109795566</v>
      </c>
      <c r="GC56" s="20">
        <f t="shared" si="25"/>
        <v>336.06216151622726</v>
      </c>
      <c r="GD56" s="59">
        <f t="shared" si="26"/>
        <v>629.39549484956058</v>
      </c>
      <c r="GE56" s="59">
        <f ca="1">AVERAGE(OFFSET($GD$3,0,0,'Données projet'!$E$17+1,1))-AVERAGE(OFFSET($H$3,0,0,'Données projet'!$E$17+1,1))</f>
        <v>165.39579887388538</v>
      </c>
      <c r="GF56" s="59">
        <f t="shared" si="50"/>
        <v>155.89639262545802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3.8524318177778643</v>
      </c>
      <c r="GN56" s="21">
        <f>EXP(-LN(2)/2)*GN55+(1-EXP(-LN(2)/2))/(LN(2)/2)*GH56*GK56*VLOOKUP('Données projet'!$B$17,Paramètres!$A$1:$I$89,3,0)*0.475*44/12</f>
        <v>4.7923180623030519E-3</v>
      </c>
      <c r="GO56" s="21">
        <f t="shared" si="27"/>
        <v>3.8572241358401671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5.5</v>
      </c>
      <c r="GU56" s="12">
        <f>IF('Données projet'!$A$270&gt;35,GU55+GT56-HC55,IF(A56&lt;'Données projet'!$A$270,$GR$205^A56,IF(A56='Données projet'!$A$270,'Données projet'!$B$270,GU55+GT56-HC55)))</f>
        <v>123.49999999999997</v>
      </c>
      <c r="GV56" s="17">
        <f>GU56*VLOOKUP('Données projet'!$B$18,Paramètres!$A$1:$I$89,3,0)*VLOOKUP('Données projet'!$B$18,Paramètres!$A$1:$I$89,5,0)</f>
        <v>132.93539999999996</v>
      </c>
      <c r="GW56" s="13">
        <f t="shared" si="51"/>
        <v>34.673760116655764</v>
      </c>
      <c r="GX56" s="20">
        <f t="shared" si="28"/>
        <v>291.91928720317537</v>
      </c>
      <c r="GY56" s="59">
        <f t="shared" si="29"/>
        <v>585.25262053650863</v>
      </c>
      <c r="GZ56" s="59">
        <f ca="1">AVERAGE(OFFSET($GY$3,0,0,'Données projet'!$E$18+1,1))-AVERAGE(OFFSET($H$3,0,0,'Données projet'!$E$18+1,1))</f>
        <v>186.60545265015247</v>
      </c>
      <c r="HA56" s="59">
        <f t="shared" si="52"/>
        <v>69.239647548491234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0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13.2</v>
      </c>
      <c r="N57" s="13">
        <f>IF('Données projet'!$A$36&gt;35,N56+M57-V56,IF(A57&lt;'Données projet'!$A$36,$K$205^A57,IF(A57='Données projet'!$A$36,'Données projet'!$B$36,N56+M57-V56)))</f>
        <v>368.80000000000007</v>
      </c>
      <c r="O57" s="13">
        <f>N57*VLOOKUP('Données projet'!$B$9,Paramètres!$A$1:$I$89,3,0)*VLOOKUP('Données projet'!$B$9,Paramètres!$A$1:$I$89,5,0)</f>
        <v>206.15920000000006</v>
      </c>
      <c r="P57" s="13">
        <f t="shared" si="33"/>
        <v>51.09537471972169</v>
      </c>
      <c r="Q57" s="20">
        <f t="shared" si="53"/>
        <v>448.05171763684865</v>
      </c>
      <c r="R57" s="59">
        <f t="shared" si="0"/>
        <v>741.38505097018196</v>
      </c>
      <c r="S57" s="59">
        <f ca="1">AVERAGE(OFFSET($R$3,0,0,'Données projet'!$E$9+1,1))-AVERAGE(OFFSET($H$3,0,0,'Données projet'!$E$9+1,1))</f>
        <v>235.10258076192054</v>
      </c>
      <c r="T57" s="59">
        <f t="shared" si="34"/>
        <v>233.47316052603765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2.1299115637128891</v>
      </c>
      <c r="AA57" s="21">
        <f>EXP(-LN(2)/25)*AA56+(1-EXP(-LN(2)/25))/(LN(2)/25)*Calculateur!V57*Calculateur!X57*VLOOKUP('Données projet'!$B$9,Paramètres!$A$1:$I$89,3,0)*0.475*44/12</f>
        <v>9.4765799001218394</v>
      </c>
      <c r="AB57" s="21">
        <f>EXP(-LN(2)/2)*AB56+(1-EXP(-LN(2)/2))/(LN(2)/2)*V57*Y57*VLOOKUP('Données projet'!$B$9,Paramètres!$A$1:$I$89,3,0)*0.475*44/12</f>
        <v>5.8891801080732161E-3</v>
      </c>
      <c r="AC57" s="22">
        <f t="shared" si="3"/>
        <v>11.612380643942803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8.1999999999999993</v>
      </c>
      <c r="AI57" s="13">
        <f>IF('Données projet'!$A$62&gt;35,AI56+AH57-AQ56,IF(A57&lt;'Données projet'!$A$62,$AF$205^A57,IF(A57='Données projet'!$A$62,'Données projet'!$B$62,AI56+AH57-AQ56)))</f>
        <v>279.79999999999984</v>
      </c>
      <c r="AJ57" s="13">
        <f>AI57*VLOOKUP('Données projet'!$B$10,Paramètres!$A$1:$I$89,3,0)*VLOOKUP('Données projet'!$B$10,Paramètres!$A$1:$I$89,5,0)</f>
        <v>152.77079999999992</v>
      </c>
      <c r="AK57" s="13">
        <f t="shared" si="35"/>
        <v>39.207587527735704</v>
      </c>
      <c r="AL57" s="20">
        <f t="shared" si="4"/>
        <v>334.36235827747288</v>
      </c>
      <c r="AM57" s="59">
        <f t="shared" si="5"/>
        <v>627.69569161080619</v>
      </c>
      <c r="AN57" s="59">
        <f ca="1">AVERAGE(OFFSET($AM$3,0,0,'Données projet'!$E$10+1,1))-AVERAGE(OFFSET($H$3,0,0,'Données projet'!$E$10+1,1))</f>
        <v>168.72306536277267</v>
      </c>
      <c r="AO57" s="59">
        <f t="shared" si="36"/>
        <v>203.35476578922339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1.8912533969543626</v>
      </c>
      <c r="AV57" s="21">
        <f>EXP(-LN(2)/25)*AV56+(1-EXP(-LN(2)/25))/(LN(2)/25)*Calculateur!AQ57*Calculateur!AS57*VLOOKUP('Données projet'!$B$10,Paramètres!$A$1:$I$89,3,0)*0.475*44/12</f>
        <v>11.815609228914548</v>
      </c>
      <c r="AW57" s="21">
        <f>EXP(-LN(2)/2)*AW56+(1-EXP(-LN(2)/2))/(LN(2)/2)*AQ57*AT57*VLOOKUP('Données projet'!$B$10,Paramètres!$A$1:$I$89,3,0)*0.475*44/12</f>
        <v>4.8886344292210122E-3</v>
      </c>
      <c r="AX57" s="21">
        <f t="shared" si="6"/>
        <v>13.711751260298133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9.6</v>
      </c>
      <c r="BD57" s="12">
        <f>IF('Données projet'!$A$88&gt;35,BD56+BC57-BL56,IF(A57&lt;'Données projet'!$A$88,$BA$205^A57,IF(A57='Données projet'!$A$88,'Données projet'!$B$88,BD56+BC57-BL56)))</f>
        <v>266.39999999999992</v>
      </c>
      <c r="BE57" s="13">
        <f>BD57*VLOOKUP('Données projet'!$B$11,Paramètres!$A$1:$I$89,3,0)*VLOOKUP('Données projet'!$B$11,Paramètres!$A$1:$I$89,5,0)</f>
        <v>159.30719999999997</v>
      </c>
      <c r="BF57" s="13">
        <f t="shared" si="37"/>
        <v>40.686212990054052</v>
      </c>
      <c r="BG57" s="20">
        <f t="shared" si="7"/>
        <v>348.32186095767742</v>
      </c>
      <c r="BH57" s="59">
        <f t="shared" si="8"/>
        <v>641.65519429101073</v>
      </c>
      <c r="BI57" s="59">
        <f ca="1">AVERAGE(OFFSET($BH$3,0,0,'Données projet'!$E$11+1,1))-AVERAGE(OFFSET($H$3,0,0,'Données projet'!$E$11+1,1))</f>
        <v>165.39579887388538</v>
      </c>
      <c r="BJ57" s="59">
        <f t="shared" si="38"/>
        <v>155.89639262545802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3.7470868671301441</v>
      </c>
      <c r="BR57" s="21">
        <f>EXP(-LN(2)/2)*BR56+(1-EXP(-LN(2)/2))/(LN(2)/2)*BL57*BO57*VLOOKUP('Données projet'!$B$11,Paramètres!$A$1:$I$89,3,0)*0.475*44/12</f>
        <v>3.3886805994572636E-3</v>
      </c>
      <c r="BS57" s="22">
        <f t="shared" si="9"/>
        <v>3.7504755477296015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5.5</v>
      </c>
      <c r="BY57" s="12">
        <f>IF('Données projet'!$A$114&gt;35,BY56+BX57-CG56,IF(A57&lt;'Données projet'!$A$114,$BV$205^A57,IF(A57='Données projet'!$A$114,'Données projet'!$B$114,BY56+BX57-CG56)))</f>
        <v>128.99999999999997</v>
      </c>
      <c r="BZ57" s="13">
        <f>BY57*VLOOKUP('Données projet'!$B$12,Paramètres!$A$1:$I$89,3,0)*VLOOKUP('Données projet'!$B$12,Paramètres!$A$1:$I$89,5,0)</f>
        <v>124.76879999999997</v>
      </c>
      <c r="CA57" s="13">
        <f t="shared" si="39"/>
        <v>32.784708369928126</v>
      </c>
      <c r="CB57" s="20">
        <f t="shared" si="10"/>
        <v>274.40569374429145</v>
      </c>
      <c r="CC57" s="59">
        <f t="shared" si="11"/>
        <v>567.73902707762477</v>
      </c>
      <c r="CD57" s="59">
        <f ca="1">AVERAGE(OFFSET($CC$3,0,0,'Données projet'!$E$12+1,1))-AVERAGE(OFFSET($H$3,0,0,'Données projet'!$E$12+1,1))</f>
        <v>156.26368818265388</v>
      </c>
      <c r="CE57" s="59">
        <f t="shared" si="40"/>
        <v>56.347130462109817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5.5</v>
      </c>
      <c r="CT57" s="12">
        <f>IF('Données projet'!$A$140&gt;35,CT56+CS57-DB56,IF(A57&lt;'Données projet'!$A$140,$CQ$205^A57,IF(A57='Données projet'!$A$140,'Données projet'!$B$140,CT56+CS57-DB56)))</f>
        <v>128.99999999999997</v>
      </c>
      <c r="CU57" s="17">
        <f>CT57*VLOOKUP('Données projet'!$B$13,Paramètres!$A$1:$I$89,3,0)*VLOOKUP('Données projet'!$B$13,Paramètres!$A$1:$I$89,5,0)</f>
        <v>104.64479999999998</v>
      </c>
      <c r="CV57" s="13">
        <f t="shared" si="41"/>
        <v>28.065616234626216</v>
      </c>
      <c r="CW57" s="20">
        <f t="shared" si="13"/>
        <v>231.1373082753073</v>
      </c>
      <c r="CX57" s="59">
        <f t="shared" si="14"/>
        <v>524.47064160864056</v>
      </c>
      <c r="CY57" s="59">
        <f ca="1">AVERAGE(OFFSET($CX$3,0,0,'Données projet'!$E$13+1,1))-AVERAGE(OFFSET($H$3,0,0,'Données projet'!$E$13+1,1))</f>
        <v>112.78807760743126</v>
      </c>
      <c r="CZ57" s="59">
        <f t="shared" si="42"/>
        <v>37.867745922003564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4.4000000000000004</v>
      </c>
      <c r="DO57" s="12">
        <f>IF('Données projet'!$A$166&gt;35,DO56+DN57-DW56,IF(A57&lt;'Données projet'!$A$166,$DL$205^A57,IF(A57='Données projet'!$A$166,'Données projet'!$B$166,DO56+DN57-DW56)))</f>
        <v>178.6</v>
      </c>
      <c r="DP57" s="17">
        <f>DO57*VLOOKUP('Données projet'!$B$14,Paramètres!$A$1:$I$89,3,0)*VLOOKUP('Données projet'!$B$14,Paramètres!$A$1:$I$89,5,0)</f>
        <v>119.80488000000001</v>
      </c>
      <c r="DQ57" s="13">
        <f t="shared" si="43"/>
        <v>31.629486449130717</v>
      </c>
      <c r="DR57" s="20">
        <f t="shared" si="16"/>
        <v>263.74818823223598</v>
      </c>
      <c r="DS57" s="59">
        <f t="shared" si="17"/>
        <v>557.08152156556935</v>
      </c>
      <c r="DT57" s="59">
        <f ca="1">AVERAGE(OFFSET($DS$3,0,0,'Données projet'!$E$14+1,1))-AVERAGE(OFFSET($H$3,0,0,'Données projet'!$E$14+1,1))</f>
        <v>107.15837202366862</v>
      </c>
      <c r="DU57" s="59">
        <f t="shared" si="44"/>
        <v>139.67031833740026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2.9137019786037555</v>
      </c>
      <c r="EC57" s="21">
        <f>EXP(-LN(2)/2)*EC56+(1-EXP(-LN(2)/2))/(LN(2)/2)*DW57*DZ57*VLOOKUP('Données projet'!$B$14,Paramètres!$A$1:$I$89,3,0)*0.475*44/12</f>
        <v>1.6478211806165834E-3</v>
      </c>
      <c r="ED57" s="22">
        <f t="shared" si="18"/>
        <v>2.915349799784372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8</v>
      </c>
      <c r="EJ57" s="12">
        <f>IF('Données projet'!$A$192&gt;35,EJ56+EI57-ER56,IF(A57&lt;'Données projet'!$A$192,$EG$205^A57,IF(A57='Données projet'!$A$192,'Données projet'!$B$192,EJ56+EI57-ER56)))</f>
        <v>227.09999999999997</v>
      </c>
      <c r="EK57" s="17">
        <f>EJ57*VLOOKUP('Données projet'!$B$15,Paramètres!$A$1:$I$89,3,0)*VLOOKUP('Données projet'!$B$15,Paramètres!$A$1:$I$89,5,0)</f>
        <v>106.28279999999998</v>
      </c>
      <c r="EL57" s="13">
        <f t="shared" si="45"/>
        <v>28.453438732464605</v>
      </c>
      <c r="EM57" s="20">
        <f t="shared" si="19"/>
        <v>234.6656157923758</v>
      </c>
      <c r="EN57" s="59">
        <f t="shared" si="20"/>
        <v>527.99894912570915</v>
      </c>
      <c r="EO57" s="59">
        <f ca="1">AVERAGE(OFFSET($EN$3,0,0,'Données projet'!$E$15+1,1))-AVERAGE(OFFSET($H$3,0,0,'Données projet'!$E$15+1,1))</f>
        <v>123.60520571614535</v>
      </c>
      <c r="EP57" s="59">
        <f t="shared" si="46"/>
        <v>119.00926870519527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0.53920020317249917</v>
      </c>
      <c r="EW57" s="21">
        <f>EXP(-LN(2)/25)*EW56+(1-EXP(-LN(2)/25))/(LN(2)/25)*Calculateur!ER57*Calculateur!ET57*VLOOKUP('Données projet'!$B$15,Paramètres!$A$1:$I$89,3,0)*0.475*44/12</f>
        <v>2.4555255776706182</v>
      </c>
      <c r="EX57" s="21">
        <f>EXP(-LN(2)/2)*EX56+(1-EXP(-LN(2)/2))/(LN(2)/2)*ER57*EU57*VLOOKUP('Données projet'!$B$15,Paramètres!$A$1:$I$89,3,0)*0.475*44/12</f>
        <v>1.4926051003619496E-3</v>
      </c>
      <c r="EY57" s="22">
        <f t="shared" si="21"/>
        <v>2.9962183859434792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25.6</v>
      </c>
      <c r="FE57" s="12">
        <f>IF('Données projet'!$A$218&gt;35,FE56+FD57-FM56,IF(A57&lt;'Données projet'!$A$218,$FB$205^A57,IF(A57='Données projet'!$A$218,'Données projet'!$B$218,FE56+FD57-FM56)))</f>
        <v>347.39999999999992</v>
      </c>
      <c r="FF57" s="17">
        <f>FE57*VLOOKUP('Données projet'!$B$16,Paramètres!$A$1:$I$89,3,0)*VLOOKUP('Données projet'!$B$16,Paramètres!$A$1:$I$89,5,0)</f>
        <v>167.09939999999997</v>
      </c>
      <c r="FG57" s="13">
        <f t="shared" si="47"/>
        <v>42.439736432924484</v>
      </c>
      <c r="FH57" s="20">
        <f t="shared" si="22"/>
        <v>364.94732928734339</v>
      </c>
      <c r="FI57" s="59">
        <f t="shared" si="23"/>
        <v>658.28066262067671</v>
      </c>
      <c r="FJ57" s="59">
        <f ca="1">AVERAGE(OFFSET($FI$3,0,0,'Données projet'!$E$16+1,1))-AVERAGE(OFFSET($H$3,0,0,'Données projet'!$E$16+1,1))</f>
        <v>197.66963254934603</v>
      </c>
      <c r="FK57" s="59">
        <f t="shared" si="48"/>
        <v>158.08388141976138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1.6581703535882186</v>
      </c>
      <c r="FR57" s="21">
        <f>EXP(-LN(2)/25)*FR56+(1-EXP(-LN(2)/25))/(LN(2)/25)*Calculateur!FM57*Calculateur!FO57*VLOOKUP('Données projet'!$B$16,Paramètres!$A$1:$I$89,3,0)*0.475*44/12</f>
        <v>2.7313512660320409</v>
      </c>
      <c r="FS57" s="21">
        <f>EXP(-LN(2)/2)*FS56+(1-EXP(-LN(2)/2))/(LN(2)/2)*FM57*FP57*VLOOKUP('Données projet'!$B$16,Paramètres!$A$1:$I$89,3,0)*0.475*44/12</f>
        <v>2.02099042326062E-3</v>
      </c>
      <c r="FT57" s="22">
        <f t="shared" si="24"/>
        <v>4.39154261004352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9.6</v>
      </c>
      <c r="FZ57" s="12">
        <f>IF('Données projet'!$A$244&gt;35,FZ56+FY57-GH56,IF(A57&lt;'Données projet'!$A$244,$FW$205^A57,IF(A57='Données projet'!$A$244,'Données projet'!$B$244,FZ56+FY57-GH56)))</f>
        <v>266.39999999999992</v>
      </c>
      <c r="GA57" s="17">
        <f>FZ57*VLOOKUP('Données projet'!$B$17,Paramètres!$A$1:$I$89,3,0)*VLOOKUP('Données projet'!$B$17,Paramètres!$A$1:$I$89,5,0)</f>
        <v>159.30719999999997</v>
      </c>
      <c r="GB57" s="13">
        <f t="shared" si="49"/>
        <v>40.686212990054052</v>
      </c>
      <c r="GC57" s="20">
        <f t="shared" si="25"/>
        <v>348.32186095767742</v>
      </c>
      <c r="GD57" s="59">
        <f t="shared" si="26"/>
        <v>641.65519429101073</v>
      </c>
      <c r="GE57" s="59">
        <f ca="1">AVERAGE(OFFSET($GD$3,0,0,'Données projet'!$E$17+1,1))-AVERAGE(OFFSET($H$3,0,0,'Données projet'!$E$17+1,1))</f>
        <v>165.39579887388538</v>
      </c>
      <c r="GF57" s="59">
        <f t="shared" si="50"/>
        <v>155.89639262545802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3.7470868671301441</v>
      </c>
      <c r="GN57" s="21">
        <f>EXP(-LN(2)/2)*GN56+(1-EXP(-LN(2)/2))/(LN(2)/2)*GH57*GK57*VLOOKUP('Données projet'!$B$17,Paramètres!$A$1:$I$89,3,0)*0.475*44/12</f>
        <v>3.3886805994572636E-3</v>
      </c>
      <c r="GO57" s="21">
        <f t="shared" si="27"/>
        <v>3.7504755477296015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5.5</v>
      </c>
      <c r="GU57" s="12">
        <f>IF('Données projet'!$A$270&gt;35,GU56+GT57-HC56,IF(A57&lt;'Données projet'!$A$270,$GR$205^A57,IF(A57='Données projet'!$A$270,'Données projet'!$B$270,GU56+GT57-HC56)))</f>
        <v>128.99999999999997</v>
      </c>
      <c r="GV57" s="17">
        <f>GU57*VLOOKUP('Données projet'!$B$18,Paramètres!$A$1:$I$89,3,0)*VLOOKUP('Données projet'!$B$18,Paramètres!$A$1:$I$89,5,0)</f>
        <v>138.85559999999998</v>
      </c>
      <c r="GW57" s="13">
        <f t="shared" si="51"/>
        <v>36.034714420414154</v>
      </c>
      <c r="GX57" s="20">
        <f t="shared" si="28"/>
        <v>304.60063094888795</v>
      </c>
      <c r="GY57" s="59">
        <f t="shared" si="29"/>
        <v>597.93396428222127</v>
      </c>
      <c r="GZ57" s="59">
        <f ca="1">AVERAGE(OFFSET($GY$3,0,0,'Données projet'!$E$18+1,1))-AVERAGE(OFFSET($H$3,0,0,'Données projet'!$E$18+1,1))</f>
        <v>186.60545265015247</v>
      </c>
      <c r="HA57" s="59">
        <f t="shared" si="52"/>
        <v>69.239647548491234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0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13.2</v>
      </c>
      <c r="N58" s="13">
        <f>IF('Données projet'!$A$36&gt;35,N57+M58-V57,IF(A58&lt;'Données projet'!$A$36,$K$205^A58,IF(A58='Données projet'!$A$36,'Données projet'!$B$36,N57+M58-V57)))</f>
        <v>382.00000000000006</v>
      </c>
      <c r="O58" s="13">
        <f>N58*VLOOKUP('Données projet'!$B$9,Paramètres!$A$1:$I$89,3,0)*VLOOKUP('Données projet'!$B$9,Paramètres!$A$1:$I$89,5,0)</f>
        <v>213.53800000000004</v>
      </c>
      <c r="P58" s="13">
        <f t="shared" si="33"/>
        <v>52.707974334003438</v>
      </c>
      <c r="Q58" s="20">
        <f t="shared" si="53"/>
        <v>463.71173863172265</v>
      </c>
      <c r="R58" s="59">
        <f t="shared" si="0"/>
        <v>757.04507196505597</v>
      </c>
      <c r="S58" s="59">
        <f ca="1">AVERAGE(OFFSET($R$3,0,0,'Données projet'!$E$9+1,1))-AVERAGE(OFFSET($H$3,0,0,'Données projet'!$E$9+1,1))</f>
        <v>235.10258076192054</v>
      </c>
      <c r="T58" s="59">
        <f t="shared" si="34"/>
        <v>233.47316052603765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2.088145297066256</v>
      </c>
      <c r="AA58" s="21">
        <f>EXP(-LN(2)/25)*AA57+(1-EXP(-LN(2)/25))/(LN(2)/25)*Calculateur!V58*Calculateur!X58*VLOOKUP('Données projet'!$B$9,Paramètres!$A$1:$I$89,3,0)*0.475*44/12</f>
        <v>9.217442324401329</v>
      </c>
      <c r="AB58" s="21">
        <f>EXP(-LN(2)/2)*AB57+(1-EXP(-LN(2)/2))/(LN(2)/2)*V58*Y58*VLOOKUP('Données projet'!$B$9,Paramètres!$A$1:$I$89,3,0)*0.475*44/12</f>
        <v>4.1642791900474959E-3</v>
      </c>
      <c r="AC58" s="22">
        <f t="shared" si="3"/>
        <v>11.309751900657632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8.1999999999999993</v>
      </c>
      <c r="AI58" s="13">
        <f>IF('Données projet'!$A$62&gt;35,AI57+AH58-AQ57,IF(A58&lt;'Données projet'!$A$62,$AF$205^A58,IF(A58='Données projet'!$A$62,'Données projet'!$B$62,AI57+AH58-AQ57)))</f>
        <v>287.99999999999983</v>
      </c>
      <c r="AJ58" s="13">
        <f>AI58*VLOOKUP('Données projet'!$B$10,Paramètres!$A$1:$I$89,3,0)*VLOOKUP('Données projet'!$B$10,Paramètres!$A$1:$I$89,5,0)</f>
        <v>157.24799999999991</v>
      </c>
      <c r="AK58" s="13">
        <f t="shared" si="35"/>
        <v>40.22116874434861</v>
      </c>
      <c r="AL58" s="20">
        <f t="shared" si="4"/>
        <v>343.92546889640698</v>
      </c>
      <c r="AM58" s="59">
        <f t="shared" si="5"/>
        <v>637.25880222974024</v>
      </c>
      <c r="AN58" s="59">
        <f ca="1">AVERAGE(OFFSET($AM$3,0,0,'Données projet'!$E$10+1,1))-AVERAGE(OFFSET($H$3,0,0,'Données projet'!$E$10+1,1))</f>
        <v>168.72306536277267</v>
      </c>
      <c r="AO58" s="59">
        <f t="shared" si="36"/>
        <v>203.35476578922339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1.8541670713907561</v>
      </c>
      <c r="AV58" s="21">
        <f>EXP(-LN(2)/25)*AV57+(1-EXP(-LN(2)/25))/(LN(2)/25)*Calculateur!AQ58*Calculateur!AS58*VLOOKUP('Données projet'!$B$10,Paramètres!$A$1:$I$89,3,0)*0.475*44/12</f>
        <v>11.492510773193995</v>
      </c>
      <c r="AW58" s="21">
        <f>EXP(-LN(2)/2)*AW57+(1-EXP(-LN(2)/2))/(LN(2)/2)*AQ58*AT58*VLOOKUP('Données projet'!$B$10,Paramètres!$A$1:$I$89,3,0)*0.475*44/12</f>
        <v>3.456786555644205E-3</v>
      </c>
      <c r="AX58" s="21">
        <f t="shared" si="6"/>
        <v>13.350134631140396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9.6</v>
      </c>
      <c r="BD58" s="12">
        <f>IF('Données projet'!$A$88&gt;35,BD57+BC58-BL57,IF(A58&lt;'Données projet'!$A$88,$BA$205^A58,IF(A58='Données projet'!$A$88,'Données projet'!$B$88,BD57+BC58-BL57)))</f>
        <v>275.99999999999994</v>
      </c>
      <c r="BE58" s="13">
        <f>BD58*VLOOKUP('Données projet'!$B$11,Paramètres!$A$1:$I$89,3,0)*VLOOKUP('Données projet'!$B$11,Paramètres!$A$1:$I$89,5,0)</f>
        <v>165.04799999999997</v>
      </c>
      <c r="BF58" s="13">
        <f t="shared" si="37"/>
        <v>41.979039350635581</v>
      </c>
      <c r="BG58" s="20">
        <f t="shared" si="7"/>
        <v>360.57209353569027</v>
      </c>
      <c r="BH58" s="59">
        <f t="shared" si="8"/>
        <v>653.90542686902359</v>
      </c>
      <c r="BI58" s="59">
        <f ca="1">AVERAGE(OFFSET($BH$3,0,0,'Données projet'!$E$11+1,1))-AVERAGE(OFFSET($H$3,0,0,'Données projet'!$E$11+1,1))</f>
        <v>165.39579887388538</v>
      </c>
      <c r="BJ58" s="59">
        <f t="shared" si="38"/>
        <v>155.89639262545802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3.6446225796977361</v>
      </c>
      <c r="BR58" s="21">
        <f>EXP(-LN(2)/2)*BR57+(1-EXP(-LN(2)/2))/(LN(2)/2)*BL58*BO58*VLOOKUP('Données projet'!$B$11,Paramètres!$A$1:$I$89,3,0)*0.475*44/12</f>
        <v>2.3961590311515259E-3</v>
      </c>
      <c r="BS58" s="22">
        <f t="shared" si="9"/>
        <v>3.6470187387288875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5.5</v>
      </c>
      <c r="BY58" s="12">
        <f>IF('Données projet'!$A$114&gt;35,BY57+BX58-CG57,IF(A58&lt;'Données projet'!$A$114,$BV$205^A58,IF(A58='Données projet'!$A$114,'Données projet'!$B$114,BY57+BX58-CG57)))</f>
        <v>134.49999999999997</v>
      </c>
      <c r="BZ58" s="13">
        <f>BY58*VLOOKUP('Données projet'!$B$12,Paramètres!$A$1:$I$89,3,0)*VLOOKUP('Données projet'!$B$12,Paramètres!$A$1:$I$89,5,0)</f>
        <v>130.08839999999998</v>
      </c>
      <c r="CA58" s="13">
        <f t="shared" si="39"/>
        <v>34.016785168661507</v>
      </c>
      <c r="CB58" s="20">
        <f t="shared" si="10"/>
        <v>285.81653083541875</v>
      </c>
      <c r="CC58" s="59">
        <f t="shared" si="11"/>
        <v>579.14986416875206</v>
      </c>
      <c r="CD58" s="59">
        <f ca="1">AVERAGE(OFFSET($CC$3,0,0,'Données projet'!$E$12+1,1))-AVERAGE(OFFSET($H$3,0,0,'Données projet'!$E$12+1,1))</f>
        <v>156.26368818265388</v>
      </c>
      <c r="CE58" s="59">
        <f t="shared" si="40"/>
        <v>56.347130462109817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5.5</v>
      </c>
      <c r="CT58" s="12">
        <f>IF('Données projet'!$A$140&gt;35,CT57+CS58-DB57,IF(A58&lt;'Données projet'!$A$140,$CQ$205^A58,IF(A58='Données projet'!$A$140,'Données projet'!$B$140,CT57+CS58-DB57)))</f>
        <v>134.49999999999997</v>
      </c>
      <c r="CU58" s="17">
        <f>CT58*VLOOKUP('Données projet'!$B$13,Paramètres!$A$1:$I$89,3,0)*VLOOKUP('Données projet'!$B$13,Paramètres!$A$1:$I$89,5,0)</f>
        <v>109.10639999999998</v>
      </c>
      <c r="CV58" s="13">
        <f t="shared" si="41"/>
        <v>29.1203455985316</v>
      </c>
      <c r="CW58" s="20">
        <f t="shared" si="13"/>
        <v>240.74491525077585</v>
      </c>
      <c r="CX58" s="59">
        <f t="shared" si="14"/>
        <v>534.07824858410913</v>
      </c>
      <c r="CY58" s="59">
        <f ca="1">AVERAGE(OFFSET($CX$3,0,0,'Données projet'!$E$13+1,1))-AVERAGE(OFFSET($H$3,0,0,'Données projet'!$E$13+1,1))</f>
        <v>112.78807760743126</v>
      </c>
      <c r="CZ58" s="59">
        <f t="shared" si="42"/>
        <v>37.867745922003564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4.4000000000000004</v>
      </c>
      <c r="DO58" s="12">
        <f>IF('Données projet'!$A$166&gt;35,DO57+DN58-DW57,IF(A58&lt;'Données projet'!$A$166,$DL$205^A58,IF(A58='Données projet'!$A$166,'Données projet'!$B$166,DO57+DN58-DW57)))</f>
        <v>183</v>
      </c>
      <c r="DP58" s="17">
        <f>DO58*VLOOKUP('Données projet'!$B$14,Paramètres!$A$1:$I$89,3,0)*VLOOKUP('Données projet'!$B$14,Paramètres!$A$1:$I$89,5,0)</f>
        <v>122.7564</v>
      </c>
      <c r="DQ58" s="13">
        <f t="shared" si="43"/>
        <v>32.317032143878919</v>
      </c>
      <c r="DR58" s="20">
        <f t="shared" si="16"/>
        <v>270.08622765058908</v>
      </c>
      <c r="DS58" s="59">
        <f t="shared" si="17"/>
        <v>563.41956098392234</v>
      </c>
      <c r="DT58" s="59">
        <f ca="1">AVERAGE(OFFSET($DS$3,0,0,'Données projet'!$E$14+1,1))-AVERAGE(OFFSET($H$3,0,0,'Données projet'!$E$14+1,1))</f>
        <v>107.15837202366862</v>
      </c>
      <c r="DU58" s="59">
        <f t="shared" si="44"/>
        <v>139.67031833740026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2.8340266447739082</v>
      </c>
      <c r="EC58" s="21">
        <f>EXP(-LN(2)/2)*EC57+(1-EXP(-LN(2)/2))/(LN(2)/2)*DW58*DZ58*VLOOKUP('Données projet'!$B$14,Paramètres!$A$1:$I$89,3,0)*0.475*44/12</f>
        <v>1.1651855309968088E-3</v>
      </c>
      <c r="ED58" s="22">
        <f t="shared" si="18"/>
        <v>2.8351918303049048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8</v>
      </c>
      <c r="EJ58" s="12">
        <f>IF('Données projet'!$A$192&gt;35,EJ57+EI58-ER57,IF(A58&lt;'Données projet'!$A$192,$EG$205^A58,IF(A58='Données projet'!$A$192,'Données projet'!$B$192,EJ57+EI58-ER57)))</f>
        <v>235.09999999999997</v>
      </c>
      <c r="EK58" s="17">
        <f>EJ58*VLOOKUP('Données projet'!$B$15,Paramètres!$A$1:$I$89,3,0)*VLOOKUP('Données projet'!$B$15,Paramètres!$A$1:$I$89,5,0)</f>
        <v>110.02679999999998</v>
      </c>
      <c r="EL58" s="13">
        <f t="shared" si="45"/>
        <v>29.337298772065111</v>
      </c>
      <c r="EM58" s="20">
        <f t="shared" si="19"/>
        <v>242.72580536134669</v>
      </c>
      <c r="EN58" s="59">
        <f t="shared" si="20"/>
        <v>536.05913869467997</v>
      </c>
      <c r="EO58" s="59">
        <f ca="1">AVERAGE(OFFSET($EN$3,0,0,'Données projet'!$E$15+1,1))-AVERAGE(OFFSET($H$3,0,0,'Données projet'!$E$15+1,1))</f>
        <v>123.60520571614535</v>
      </c>
      <c r="EP58" s="59">
        <f t="shared" si="46"/>
        <v>119.00926870519527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0.52862681606793627</v>
      </c>
      <c r="EW58" s="21">
        <f>EXP(-LN(2)/25)*EW57+(1-EXP(-LN(2)/25))/(LN(2)/25)*Calculateur!ER58*Calculateur!ET58*VLOOKUP('Données projet'!$B$15,Paramètres!$A$1:$I$89,3,0)*0.475*44/12</f>
        <v>2.388379101618737</v>
      </c>
      <c r="EX58" s="21">
        <f>EXP(-LN(2)/2)*EX57+(1-EXP(-LN(2)/2))/(LN(2)/2)*ER58*EU58*VLOOKUP('Données projet'!$B$15,Paramètres!$A$1:$I$89,3,0)*0.475*44/12</f>
        <v>1.0554311880995619E-3</v>
      </c>
      <c r="EY58" s="22">
        <f t="shared" si="21"/>
        <v>2.9180613488747729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25.6</v>
      </c>
      <c r="FE58" s="12">
        <f>IF('Données projet'!$A$218&gt;35,FE57+FD58-FM57,IF(A58&lt;'Données projet'!$A$218,$FB$205^A58,IF(A58='Données projet'!$A$218,'Données projet'!$B$218,FE57+FD58-FM57)))</f>
        <v>372.99999999999994</v>
      </c>
      <c r="FF58" s="17">
        <f>FE58*VLOOKUP('Données projet'!$B$16,Paramètres!$A$1:$I$89,3,0)*VLOOKUP('Données projet'!$B$16,Paramètres!$A$1:$I$89,5,0)</f>
        <v>179.41299999999998</v>
      </c>
      <c r="FG58" s="13">
        <f t="shared" si="47"/>
        <v>45.19156466444926</v>
      </c>
      <c r="FH58" s="20">
        <f t="shared" si="22"/>
        <v>391.18628345724909</v>
      </c>
      <c r="FI58" s="59">
        <f t="shared" si="23"/>
        <v>684.5196167905824</v>
      </c>
      <c r="FJ58" s="59">
        <f ca="1">AVERAGE(OFFSET($FI$3,0,0,'Données projet'!$E$16+1,1))-AVERAGE(OFFSET($H$3,0,0,'Données projet'!$E$16+1,1))</f>
        <v>197.66963254934603</v>
      </c>
      <c r="FK58" s="59">
        <f t="shared" si="48"/>
        <v>158.08388141976138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1.6256546443384035</v>
      </c>
      <c r="FR58" s="21">
        <f>EXP(-LN(2)/25)*FR57+(1-EXP(-LN(2)/25))/(LN(2)/25)*Calculateur!FM58*Calculateur!FO58*VLOOKUP('Données projet'!$B$16,Paramètres!$A$1:$I$89,3,0)*0.475*44/12</f>
        <v>2.6566623220268744</v>
      </c>
      <c r="FS58" s="21">
        <f>EXP(-LN(2)/2)*FS57+(1-EXP(-LN(2)/2))/(LN(2)/2)*FM58*FP58*VLOOKUP('Données projet'!$B$16,Paramètres!$A$1:$I$89,3,0)*0.475*44/12</f>
        <v>1.4290560330006553E-3</v>
      </c>
      <c r="FT58" s="22">
        <f t="shared" si="24"/>
        <v>4.2837460223982777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9.6</v>
      </c>
      <c r="FZ58" s="12">
        <f>IF('Données projet'!$A$244&gt;35,FZ57+FY58-GH57,IF(A58&lt;'Données projet'!$A$244,$FW$205^A58,IF(A58='Données projet'!$A$244,'Données projet'!$B$244,FZ57+FY58-GH57)))</f>
        <v>275.99999999999994</v>
      </c>
      <c r="GA58" s="17">
        <f>FZ58*VLOOKUP('Données projet'!$B$17,Paramètres!$A$1:$I$89,3,0)*VLOOKUP('Données projet'!$B$17,Paramètres!$A$1:$I$89,5,0)</f>
        <v>165.04799999999997</v>
      </c>
      <c r="GB58" s="13">
        <f t="shared" si="49"/>
        <v>41.979039350635581</v>
      </c>
      <c r="GC58" s="20">
        <f t="shared" si="25"/>
        <v>360.57209353569027</v>
      </c>
      <c r="GD58" s="59">
        <f t="shared" si="26"/>
        <v>653.90542686902359</v>
      </c>
      <c r="GE58" s="59">
        <f ca="1">AVERAGE(OFFSET($GD$3,0,0,'Données projet'!$E$17+1,1))-AVERAGE(OFFSET($H$3,0,0,'Données projet'!$E$17+1,1))</f>
        <v>165.39579887388538</v>
      </c>
      <c r="GF58" s="59">
        <f t="shared" si="50"/>
        <v>155.89639262545802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3.6446225796977361</v>
      </c>
      <c r="GN58" s="21">
        <f>EXP(-LN(2)/2)*GN57+(1-EXP(-LN(2)/2))/(LN(2)/2)*GH58*GK58*VLOOKUP('Données projet'!$B$17,Paramètres!$A$1:$I$89,3,0)*0.475*44/12</f>
        <v>2.3961590311515259E-3</v>
      </c>
      <c r="GO58" s="21">
        <f t="shared" si="27"/>
        <v>3.6470187387288875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5.5</v>
      </c>
      <c r="GU58" s="12">
        <f>IF('Données projet'!$A$270&gt;35,GU57+GT58-HC57,IF(A58&lt;'Données projet'!$A$270,$GR$205^A58,IF(A58='Données projet'!$A$270,'Données projet'!$B$270,GU57+GT58-HC57)))</f>
        <v>134.49999999999997</v>
      </c>
      <c r="GV58" s="17">
        <f>GU58*VLOOKUP('Données projet'!$B$18,Paramètres!$A$1:$I$89,3,0)*VLOOKUP('Données projet'!$B$18,Paramètres!$A$1:$I$89,5,0)</f>
        <v>144.77579999999998</v>
      </c>
      <c r="GW58" s="13">
        <f t="shared" si="51"/>
        <v>37.388929168503786</v>
      </c>
      <c r="GX58" s="20">
        <f t="shared" si="28"/>
        <v>317.27023663514404</v>
      </c>
      <c r="GY58" s="59">
        <f t="shared" si="29"/>
        <v>610.60356996847736</v>
      </c>
      <c r="GZ58" s="59">
        <f ca="1">AVERAGE(OFFSET($GY$3,0,0,'Données projet'!$E$18+1,1))-AVERAGE(OFFSET($H$3,0,0,'Données projet'!$E$18+1,1))</f>
        <v>186.60545265015247</v>
      </c>
      <c r="HA58" s="59">
        <f t="shared" si="52"/>
        <v>69.239647548491234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0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13.2</v>
      </c>
      <c r="N59" s="13">
        <f>IF('Données projet'!$A$36&gt;35,N58+M59-V58,IF(A59&lt;'Données projet'!$A$36,$K$205^A59,IF(A59='Données projet'!$A$36,'Données projet'!$B$36,N58+M59-V58)))</f>
        <v>395.20000000000005</v>
      </c>
      <c r="O59" s="13">
        <f>N59*VLOOKUP('Données projet'!$B$9,Paramètres!$A$1:$I$89,3,0)*VLOOKUP('Données projet'!$B$9,Paramètres!$A$1:$I$89,5,0)</f>
        <v>220.91680000000002</v>
      </c>
      <c r="P59" s="13">
        <f t="shared" si="33"/>
        <v>54.314099417595145</v>
      </c>
      <c r="Q59" s="20">
        <f t="shared" si="53"/>
        <v>479.36048315231164</v>
      </c>
      <c r="R59" s="59">
        <f t="shared" si="0"/>
        <v>772.6938164856449</v>
      </c>
      <c r="S59" s="59">
        <f ca="1">AVERAGE(OFFSET($R$3,0,0,'Données projet'!$E$9+1,1))-AVERAGE(OFFSET($H$3,0,0,'Données projet'!$E$9+1,1))</f>
        <v>235.10258076192054</v>
      </c>
      <c r="T59" s="59">
        <f t="shared" si="34"/>
        <v>233.47316052603765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2.0471980414336559</v>
      </c>
      <c r="AA59" s="21">
        <f>EXP(-LN(2)/25)*AA58+(1-EXP(-LN(2)/25))/(LN(2)/25)*Calculateur!V59*Calculateur!X59*VLOOKUP('Données projet'!$B$9,Paramètres!$A$1:$I$89,3,0)*0.475*44/12</f>
        <v>8.9653908793163488</v>
      </c>
      <c r="AB59" s="21">
        <f>EXP(-LN(2)/2)*AB58+(1-EXP(-LN(2)/2))/(LN(2)/2)*V59*Y59*VLOOKUP('Données projet'!$B$9,Paramètres!$A$1:$I$89,3,0)*0.475*44/12</f>
        <v>2.9445900540366081E-3</v>
      </c>
      <c r="AC59" s="22">
        <f t="shared" si="3"/>
        <v>11.015533510804042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8.1999999999999993</v>
      </c>
      <c r="AI59" s="13">
        <f>IF('Données projet'!$A$62&gt;35,AI58+AH59-AQ58,IF(A59&lt;'Données projet'!$A$62,$AF$205^A59,IF(A59='Données projet'!$A$62,'Données projet'!$B$62,AI58+AH59-AQ58)))</f>
        <v>296.19999999999982</v>
      </c>
      <c r="AJ59" s="13">
        <f>AI59*VLOOKUP('Données projet'!$B$10,Paramètres!$A$1:$I$89,3,0)*VLOOKUP('Données projet'!$B$10,Paramètres!$A$1:$I$89,5,0)</f>
        <v>161.72519999999992</v>
      </c>
      <c r="AK59" s="13">
        <f t="shared" si="35"/>
        <v>41.231395865320792</v>
      </c>
      <c r="AL59" s="20">
        <f t="shared" si="4"/>
        <v>353.48273779876689</v>
      </c>
      <c r="AM59" s="59">
        <f t="shared" si="5"/>
        <v>646.81607113210021</v>
      </c>
      <c r="AN59" s="59">
        <f ca="1">AVERAGE(OFFSET($AM$3,0,0,'Données projet'!$E$10+1,1))-AVERAGE(OFFSET($H$3,0,0,'Données projet'!$E$10+1,1))</f>
        <v>168.72306536277267</v>
      </c>
      <c r="AO59" s="59">
        <f t="shared" si="36"/>
        <v>203.35476578922339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1.8178079860510268</v>
      </c>
      <c r="AV59" s="21">
        <f>EXP(-LN(2)/25)*AV58+(1-EXP(-LN(2)/25))/(LN(2)/25)*Calculateur!AQ59*Calculateur!AS59*VLOOKUP('Données projet'!$B$10,Paramètres!$A$1:$I$89,3,0)*0.475*44/12</f>
        <v>11.178247461736131</v>
      </c>
      <c r="AW59" s="21">
        <f>EXP(-LN(2)/2)*AW58+(1-EXP(-LN(2)/2))/(LN(2)/2)*AQ59*AT59*VLOOKUP('Données projet'!$B$10,Paramètres!$A$1:$I$89,3,0)*0.475*44/12</f>
        <v>2.4443172146105061E-3</v>
      </c>
      <c r="AX59" s="21">
        <f t="shared" si="6"/>
        <v>12.998499765001768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9.6</v>
      </c>
      <c r="BD59" s="12">
        <f>IF('Données projet'!$A$88&gt;35,BD58+BC59-BL58,IF(A59&lt;'Données projet'!$A$88,$BA$205^A59,IF(A59='Données projet'!$A$88,'Données projet'!$B$88,BD58+BC59-BL58)))</f>
        <v>285.59999999999997</v>
      </c>
      <c r="BE59" s="13">
        <f>BD59*VLOOKUP('Données projet'!$B$11,Paramètres!$A$1:$I$89,3,0)*VLOOKUP('Données projet'!$B$11,Paramètres!$A$1:$I$89,5,0)</f>
        <v>170.78879999999998</v>
      </c>
      <c r="BF59" s="13">
        <f t="shared" si="37"/>
        <v>43.26664091952621</v>
      </c>
      <c r="BG59" s="20">
        <f t="shared" si="7"/>
        <v>372.81322626817473</v>
      </c>
      <c r="BH59" s="59">
        <f t="shared" si="8"/>
        <v>666.14655960150799</v>
      </c>
      <c r="BI59" s="59">
        <f ca="1">AVERAGE(OFFSET($BH$3,0,0,'Données projet'!$E$11+1,1))-AVERAGE(OFFSET($H$3,0,0,'Données projet'!$E$11+1,1))</f>
        <v>165.39579887388538</v>
      </c>
      <c r="BJ59" s="59">
        <f t="shared" si="38"/>
        <v>155.89639262545802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3.5449601835935298</v>
      </c>
      <c r="BR59" s="21">
        <f>EXP(-LN(2)/2)*BR58+(1-EXP(-LN(2)/2))/(LN(2)/2)*BL59*BO59*VLOOKUP('Données projet'!$B$11,Paramètres!$A$1:$I$89,3,0)*0.475*44/12</f>
        <v>1.6943402997286318E-3</v>
      </c>
      <c r="BS59" s="22">
        <f t="shared" si="9"/>
        <v>3.5466545238932583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5.5</v>
      </c>
      <c r="BY59" s="12">
        <f>IF('Données projet'!$A$114&gt;35,BY58+BX59-CG58,IF(A59&lt;'Données projet'!$A$114,$BV$205^A59,IF(A59='Données projet'!$A$114,'Données projet'!$B$114,BY58+BX59-CG58)))</f>
        <v>139.99999999999997</v>
      </c>
      <c r="BZ59" s="13">
        <f>BY59*VLOOKUP('Données projet'!$B$12,Paramètres!$A$1:$I$89,3,0)*VLOOKUP('Données projet'!$B$12,Paramètres!$A$1:$I$89,5,0)</f>
        <v>135.40799999999999</v>
      </c>
      <c r="CA59" s="13">
        <f t="shared" si="39"/>
        <v>35.243009677478732</v>
      </c>
      <c r="CB59" s="20">
        <f t="shared" si="10"/>
        <v>297.21717518827546</v>
      </c>
      <c r="CC59" s="59">
        <f t="shared" si="11"/>
        <v>590.55050852160878</v>
      </c>
      <c r="CD59" s="59">
        <f ca="1">AVERAGE(OFFSET($CC$3,0,0,'Données projet'!$E$12+1,1))-AVERAGE(OFFSET($H$3,0,0,'Données projet'!$E$12+1,1))</f>
        <v>156.26368818265388</v>
      </c>
      <c r="CE59" s="59">
        <f t="shared" si="40"/>
        <v>56.347130462109817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5.5</v>
      </c>
      <c r="CT59" s="12">
        <f>IF('Données projet'!$A$140&gt;35,CT58+CS59-DB58,IF(A59&lt;'Données projet'!$A$140,$CQ$205^A59,IF(A59='Données projet'!$A$140,'Données projet'!$B$140,CT58+CS59-DB58)))</f>
        <v>139.99999999999997</v>
      </c>
      <c r="CU59" s="17">
        <f>CT59*VLOOKUP('Données projet'!$B$13,Paramètres!$A$1:$I$89,3,0)*VLOOKUP('Données projet'!$B$13,Paramètres!$A$1:$I$89,5,0)</f>
        <v>113.56799999999998</v>
      </c>
      <c r="CV59" s="13">
        <f t="shared" si="41"/>
        <v>30.17006506205821</v>
      </c>
      <c r="CW59" s="20">
        <f t="shared" si="13"/>
        <v>250.34379664975131</v>
      </c>
      <c r="CX59" s="59">
        <f t="shared" si="14"/>
        <v>543.67712998308457</v>
      </c>
      <c r="CY59" s="59">
        <f ca="1">AVERAGE(OFFSET($CX$3,0,0,'Données projet'!$E$13+1,1))-AVERAGE(OFFSET($H$3,0,0,'Données projet'!$E$13+1,1))</f>
        <v>112.78807760743126</v>
      </c>
      <c r="CZ59" s="59">
        <f t="shared" si="42"/>
        <v>37.867745922003564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4.4000000000000004</v>
      </c>
      <c r="DO59" s="12">
        <f>IF('Données projet'!$A$166&gt;35,DO58+DN59-DW58,IF(A59&lt;'Données projet'!$A$166,$DL$205^A59,IF(A59='Données projet'!$A$166,'Données projet'!$B$166,DO58+DN59-DW58)))</f>
        <v>187.4</v>
      </c>
      <c r="DP59" s="17">
        <f>DO59*VLOOKUP('Données projet'!$B$14,Paramètres!$A$1:$I$89,3,0)*VLOOKUP('Données projet'!$B$14,Paramètres!$A$1:$I$89,5,0)</f>
        <v>125.70792000000002</v>
      </c>
      <c r="DQ59" s="13">
        <f t="shared" si="43"/>
        <v>33.0026561068373</v>
      </c>
      <c r="DR59" s="20">
        <f t="shared" si="16"/>
        <v>276.42092005274168</v>
      </c>
      <c r="DS59" s="59">
        <f t="shared" si="17"/>
        <v>569.75425338607499</v>
      </c>
      <c r="DT59" s="59">
        <f ca="1">AVERAGE(OFFSET($DS$3,0,0,'Données projet'!$E$14+1,1))-AVERAGE(OFFSET($H$3,0,0,'Données projet'!$E$14+1,1))</f>
        <v>107.15837202366862</v>
      </c>
      <c r="DU59" s="59">
        <f t="shared" si="44"/>
        <v>139.67031833740026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2.7565300371375816</v>
      </c>
      <c r="EC59" s="21">
        <f>EXP(-LN(2)/2)*EC58+(1-EXP(-LN(2)/2))/(LN(2)/2)*DW59*DZ59*VLOOKUP('Données projet'!$B$14,Paramètres!$A$1:$I$89,3,0)*0.475*44/12</f>
        <v>8.2391059030829169E-4</v>
      </c>
      <c r="ED59" s="22">
        <f t="shared" si="18"/>
        <v>2.7573539477278901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8</v>
      </c>
      <c r="EJ59" s="12">
        <f>IF('Données projet'!$A$192&gt;35,EJ58+EI59-ER58,IF(A59&lt;'Données projet'!$A$192,$EG$205^A59,IF(A59='Données projet'!$A$192,'Données projet'!$B$192,EJ58+EI59-ER58)))</f>
        <v>243.09999999999997</v>
      </c>
      <c r="EK59" s="17">
        <f>EJ59*VLOOKUP('Données projet'!$B$15,Paramètres!$A$1:$I$89,3,0)*VLOOKUP('Données projet'!$B$15,Paramètres!$A$1:$I$89,5,0)</f>
        <v>113.77079999999999</v>
      </c>
      <c r="EL59" s="13">
        <f t="shared" si="45"/>
        <v>30.217664170580228</v>
      </c>
      <c r="EM59" s="20">
        <f t="shared" si="19"/>
        <v>250.77990843042718</v>
      </c>
      <c r="EN59" s="59">
        <f t="shared" si="20"/>
        <v>544.11324176376047</v>
      </c>
      <c r="EO59" s="59">
        <f ca="1">AVERAGE(OFFSET($EN$3,0,0,'Données projet'!$E$15+1,1))-AVERAGE(OFFSET($H$3,0,0,'Données projet'!$E$15+1,1))</f>
        <v>123.60520571614535</v>
      </c>
      <c r="EP59" s="59">
        <f t="shared" si="46"/>
        <v>119.00926870519527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0.51826076663536447</v>
      </c>
      <c r="EW59" s="21">
        <f>EXP(-LN(2)/25)*EW58+(1-EXP(-LN(2)/25))/(LN(2)/25)*Calculateur!ER59*Calculateur!ET59*VLOOKUP('Données projet'!$B$15,Paramètres!$A$1:$I$89,3,0)*0.475*44/12</f>
        <v>2.3230687494855746</v>
      </c>
      <c r="EX59" s="21">
        <f>EXP(-LN(2)/2)*EX58+(1-EXP(-LN(2)/2))/(LN(2)/2)*ER59*EU59*VLOOKUP('Données projet'!$B$15,Paramètres!$A$1:$I$89,3,0)*0.475*44/12</f>
        <v>7.4630255018097479E-4</v>
      </c>
      <c r="EY59" s="22">
        <f t="shared" si="21"/>
        <v>2.8420758186711197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25.6</v>
      </c>
      <c r="FE59" s="12">
        <f>IF('Données projet'!$A$218&gt;35,FE58+FD59-FM58,IF(A59&lt;'Données projet'!$A$218,$FB$205^A59,IF(A59='Données projet'!$A$218,'Données projet'!$B$218,FE58+FD59-FM58)))</f>
        <v>398.59999999999997</v>
      </c>
      <c r="FF59" s="17">
        <f>FE59*VLOOKUP('Données projet'!$B$16,Paramètres!$A$1:$I$89,3,0)*VLOOKUP('Données projet'!$B$16,Paramètres!$A$1:$I$89,5,0)</f>
        <v>191.72660000000002</v>
      </c>
      <c r="FG59" s="13">
        <f t="shared" si="47"/>
        <v>47.921478386570421</v>
      </c>
      <c r="FH59" s="20">
        <f t="shared" si="22"/>
        <v>417.38706985661014</v>
      </c>
      <c r="FI59" s="59">
        <f t="shared" si="23"/>
        <v>710.72040318994345</v>
      </c>
      <c r="FJ59" s="59">
        <f ca="1">AVERAGE(OFFSET($FI$3,0,0,'Données projet'!$E$16+1,1))-AVERAGE(OFFSET($H$3,0,0,'Données projet'!$E$16+1,1))</f>
        <v>197.66963254934603</v>
      </c>
      <c r="FK59" s="59">
        <f t="shared" si="48"/>
        <v>158.08388141976138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1.5937765483143529</v>
      </c>
      <c r="FR59" s="21">
        <f>EXP(-LN(2)/25)*FR58+(1-EXP(-LN(2)/25))/(LN(2)/25)*Calculateur!FM59*Calculateur!FO59*VLOOKUP('Données projet'!$B$16,Paramètres!$A$1:$I$89,3,0)*0.475*44/12</f>
        <v>2.5840157511232498</v>
      </c>
      <c r="FS59" s="21">
        <f>EXP(-LN(2)/2)*FS58+(1-EXP(-LN(2)/2))/(LN(2)/2)*FM59*FP59*VLOOKUP('Données projet'!$B$16,Paramètres!$A$1:$I$89,3,0)*0.475*44/12</f>
        <v>1.01049521163031E-3</v>
      </c>
      <c r="FT59" s="22">
        <f t="shared" si="24"/>
        <v>4.1788027946492328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9.6</v>
      </c>
      <c r="FZ59" s="12">
        <f>IF('Données projet'!$A$244&gt;35,FZ58+FY59-GH58,IF(A59&lt;'Données projet'!$A$244,$FW$205^A59,IF(A59='Données projet'!$A$244,'Données projet'!$B$244,FZ58+FY59-GH58)))</f>
        <v>285.59999999999997</v>
      </c>
      <c r="GA59" s="17">
        <f>FZ59*VLOOKUP('Données projet'!$B$17,Paramètres!$A$1:$I$89,3,0)*VLOOKUP('Données projet'!$B$17,Paramètres!$A$1:$I$89,5,0)</f>
        <v>170.78879999999998</v>
      </c>
      <c r="GB59" s="13">
        <f t="shared" si="49"/>
        <v>43.26664091952621</v>
      </c>
      <c r="GC59" s="20">
        <f t="shared" si="25"/>
        <v>372.81322626817473</v>
      </c>
      <c r="GD59" s="59">
        <f t="shared" si="26"/>
        <v>666.14655960150799</v>
      </c>
      <c r="GE59" s="59">
        <f ca="1">AVERAGE(OFFSET($GD$3,0,0,'Données projet'!$E$17+1,1))-AVERAGE(OFFSET($H$3,0,0,'Données projet'!$E$17+1,1))</f>
        <v>165.39579887388538</v>
      </c>
      <c r="GF59" s="59">
        <f t="shared" si="50"/>
        <v>155.89639262545802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3.5449601835935298</v>
      </c>
      <c r="GN59" s="21">
        <f>EXP(-LN(2)/2)*GN58+(1-EXP(-LN(2)/2))/(LN(2)/2)*GH59*GK59*VLOOKUP('Données projet'!$B$17,Paramètres!$A$1:$I$89,3,0)*0.475*44/12</f>
        <v>1.6943402997286318E-3</v>
      </c>
      <c r="GO59" s="21">
        <f t="shared" si="27"/>
        <v>3.5466545238932583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5.5</v>
      </c>
      <c r="GU59" s="12">
        <f>IF('Données projet'!$A$270&gt;35,GU58+GT59-HC58,IF(A59&lt;'Données projet'!$A$270,$GR$205^A59,IF(A59='Données projet'!$A$270,'Données projet'!$B$270,GU58+GT59-HC58)))</f>
        <v>139.99999999999997</v>
      </c>
      <c r="GV59" s="17">
        <f>GU59*VLOOKUP('Données projet'!$B$18,Paramètres!$A$1:$I$89,3,0)*VLOOKUP('Données projet'!$B$18,Paramètres!$A$1:$I$89,5,0)</f>
        <v>150.69599999999994</v>
      </c>
      <c r="GW59" s="13">
        <f t="shared" si="51"/>
        <v>38.736711478840633</v>
      </c>
      <c r="GX59" s="20">
        <f t="shared" si="28"/>
        <v>329.92863915898073</v>
      </c>
      <c r="GY59" s="59">
        <f t="shared" si="29"/>
        <v>623.26197249231404</v>
      </c>
      <c r="GZ59" s="59">
        <f ca="1">AVERAGE(OFFSET($GY$3,0,0,'Données projet'!$E$18+1,1))-AVERAGE(OFFSET($H$3,0,0,'Données projet'!$E$18+1,1))</f>
        <v>186.60545265015247</v>
      </c>
      <c r="HA59" s="59">
        <f t="shared" si="52"/>
        <v>69.239647548491234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0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13.2</v>
      </c>
      <c r="N60" s="13">
        <f>IF('Données projet'!$A$36&gt;35,N59+M60-V59,IF(A60&lt;'Données projet'!$A$36,$K$205^A60,IF(A60='Données projet'!$A$36,'Données projet'!$B$36,N59+M60-V59)))</f>
        <v>408.40000000000003</v>
      </c>
      <c r="O60" s="13">
        <f>N60*VLOOKUP('Données projet'!$B$9,Paramètres!$A$1:$I$89,3,0)*VLOOKUP('Données projet'!$B$9,Paramètres!$A$1:$I$89,5,0)</f>
        <v>228.29560000000004</v>
      </c>
      <c r="P60" s="13">
        <f t="shared" si="33"/>
        <v>55.913991019426796</v>
      </c>
      <c r="Q60" s="20">
        <f t="shared" si="53"/>
        <v>494.99837102550174</v>
      </c>
      <c r="R60" s="59">
        <f t="shared" si="0"/>
        <v>788.33170435883505</v>
      </c>
      <c r="S60" s="59">
        <f ca="1">AVERAGE(OFFSET($R$3,0,0,'Données projet'!$E$9+1,1))-AVERAGE(OFFSET($H$3,0,0,'Données projet'!$E$9+1,1))</f>
        <v>235.10258076192054</v>
      </c>
      <c r="T60" s="59">
        <f t="shared" si="34"/>
        <v>233.47316052603765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2.0070537365086514</v>
      </c>
      <c r="AA60" s="21">
        <f>EXP(-LN(2)/25)*AA59+(1-EXP(-LN(2)/25))/(LN(2)/25)*Calculateur!V60*Calculateur!X60*VLOOKUP('Données projet'!$B$9,Paramètres!$A$1:$I$89,3,0)*0.475*44/12</f>
        <v>8.7202317942520278</v>
      </c>
      <c r="AB60" s="21">
        <f>EXP(-LN(2)/2)*AB59+(1-EXP(-LN(2)/2))/(LN(2)/2)*V60*Y60*VLOOKUP('Données projet'!$B$9,Paramètres!$A$1:$I$89,3,0)*0.475*44/12</f>
        <v>2.0821395950237479E-3</v>
      </c>
      <c r="AC60" s="22">
        <f t="shared" si="3"/>
        <v>10.729367670355701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8.1999999999999993</v>
      </c>
      <c r="AI60" s="13">
        <f>IF('Données projet'!$A$62&gt;35,AI59+AH60-AQ59,IF(A60&lt;'Données projet'!$A$62,$AF$205^A60,IF(A60='Données projet'!$A$62,'Données projet'!$B$62,AI59+AH60-AQ59)))</f>
        <v>304.39999999999981</v>
      </c>
      <c r="AJ60" s="13">
        <f>AI60*VLOOKUP('Données projet'!$B$10,Paramètres!$A$1:$I$89,3,0)*VLOOKUP('Données projet'!$B$10,Paramètres!$A$1:$I$89,5,0)</f>
        <v>166.2023999999999</v>
      </c>
      <c r="AK60" s="13">
        <f t="shared" si="35"/>
        <v>42.238372413664599</v>
      </c>
      <c r="AL60" s="20">
        <f t="shared" si="4"/>
        <v>363.03434528713234</v>
      </c>
      <c r="AM60" s="59">
        <f t="shared" si="5"/>
        <v>656.36767862046565</v>
      </c>
      <c r="AN60" s="59">
        <f ca="1">AVERAGE(OFFSET($AM$3,0,0,'Données projet'!$E$10+1,1))-AVERAGE(OFFSET($H$3,0,0,'Données projet'!$E$10+1,1))</f>
        <v>168.72306536277267</v>
      </c>
      <c r="AO60" s="59">
        <f t="shared" si="36"/>
        <v>203.35476578922339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1.7821618801979573</v>
      </c>
      <c r="AV60" s="21">
        <f>EXP(-LN(2)/25)*AV59+(1-EXP(-LN(2)/25))/(LN(2)/25)*Calculateur!AQ60*Calculateur!AS60*VLOOKUP('Données projet'!$B$10,Paramètres!$A$1:$I$89,3,0)*0.475*44/12</f>
        <v>10.872577697056471</v>
      </c>
      <c r="AW60" s="21">
        <f>EXP(-LN(2)/2)*AW59+(1-EXP(-LN(2)/2))/(LN(2)/2)*AQ60*AT60*VLOOKUP('Données projet'!$B$10,Paramètres!$A$1:$I$89,3,0)*0.475*44/12</f>
        <v>1.7283932778221025E-3</v>
      </c>
      <c r="AX60" s="21">
        <f t="shared" si="6"/>
        <v>12.656467970532251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9.6</v>
      </c>
      <c r="BD60" s="12">
        <f>IF('Données projet'!$A$88&gt;35,BD59+BC60-BL59,IF(A60&lt;'Données projet'!$A$88,$BA$205^A60,IF(A60='Données projet'!$A$88,'Données projet'!$B$88,BD59+BC60-BL59)))</f>
        <v>295.2</v>
      </c>
      <c r="BE60" s="13">
        <f>BD60*VLOOKUP('Données projet'!$B$11,Paramètres!$A$1:$I$89,3,0)*VLOOKUP('Données projet'!$B$11,Paramètres!$A$1:$I$89,5,0)</f>
        <v>176.52960000000002</v>
      </c>
      <c r="BF60" s="13">
        <f t="shared" si="37"/>
        <v>44.549213454343487</v>
      </c>
      <c r="BG60" s="20">
        <f t="shared" si="7"/>
        <v>385.04560009964825</v>
      </c>
      <c r="BH60" s="59">
        <f t="shared" si="8"/>
        <v>678.37893343298151</v>
      </c>
      <c r="BI60" s="59">
        <f ca="1">AVERAGE(OFFSET($BH$3,0,0,'Données projet'!$E$11+1,1))-AVERAGE(OFFSET($H$3,0,0,'Données projet'!$E$11+1,1))</f>
        <v>165.39579887388538</v>
      </c>
      <c r="BJ60" s="59">
        <f t="shared" si="38"/>
        <v>155.89639262545802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3.4480230609518108</v>
      </c>
      <c r="BR60" s="21">
        <f>EXP(-LN(2)/2)*BR59+(1-EXP(-LN(2)/2))/(LN(2)/2)*BL60*BO60*VLOOKUP('Données projet'!$B$11,Paramètres!$A$1:$I$89,3,0)*0.475*44/12</f>
        <v>1.198079515575763E-3</v>
      </c>
      <c r="BS60" s="22">
        <f t="shared" si="9"/>
        <v>3.4492211404673867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5.5</v>
      </c>
      <c r="BY60" s="12">
        <f>IF('Données projet'!$A$114&gt;35,BY59+BX60-CG59,IF(A60&lt;'Données projet'!$A$114,$BV$205^A60,IF(A60='Données projet'!$A$114,'Données projet'!$B$114,BY59+BX60-CG59)))</f>
        <v>145.49999999999997</v>
      </c>
      <c r="BZ60" s="13">
        <f>BY60*VLOOKUP('Données projet'!$B$12,Paramètres!$A$1:$I$89,3,0)*VLOOKUP('Données projet'!$B$12,Paramètres!$A$1:$I$89,5,0)</f>
        <v>140.72759999999997</v>
      </c>
      <c r="CA60" s="13">
        <f t="shared" si="39"/>
        <v>36.463638117745354</v>
      </c>
      <c r="CB60" s="20">
        <f t="shared" si="10"/>
        <v>308.60807305507313</v>
      </c>
      <c r="CC60" s="59">
        <f t="shared" si="11"/>
        <v>601.94140638840645</v>
      </c>
      <c r="CD60" s="59">
        <f ca="1">AVERAGE(OFFSET($CC$3,0,0,'Données projet'!$E$12+1,1))-AVERAGE(OFFSET($H$3,0,0,'Données projet'!$E$12+1,1))</f>
        <v>156.26368818265388</v>
      </c>
      <c r="CE60" s="59">
        <f t="shared" si="40"/>
        <v>56.347130462109817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5.5</v>
      </c>
      <c r="CT60" s="12">
        <f>IF('Données projet'!$A$140&gt;35,CT59+CS60-DB59,IF(A60&lt;'Données projet'!$A$140,$CQ$205^A60,IF(A60='Données projet'!$A$140,'Données projet'!$B$140,CT59+CS60-DB59)))</f>
        <v>145.49999999999997</v>
      </c>
      <c r="CU60" s="17">
        <f>CT60*VLOOKUP('Données projet'!$B$13,Paramètres!$A$1:$I$89,3,0)*VLOOKUP('Données projet'!$B$13,Paramètres!$A$1:$I$89,5,0)</f>
        <v>118.02959999999997</v>
      </c>
      <c r="CV60" s="13">
        <f t="shared" si="41"/>
        <v>31.214993965589844</v>
      </c>
      <c r="CW60" s="20">
        <f t="shared" si="13"/>
        <v>259.93433449006892</v>
      </c>
      <c r="CX60" s="59">
        <f t="shared" si="14"/>
        <v>553.26766782340223</v>
      </c>
      <c r="CY60" s="59">
        <f ca="1">AVERAGE(OFFSET($CX$3,0,0,'Données projet'!$E$13+1,1))-AVERAGE(OFFSET($H$3,0,0,'Données projet'!$E$13+1,1))</f>
        <v>112.78807760743126</v>
      </c>
      <c r="CZ60" s="59">
        <f t="shared" si="42"/>
        <v>37.867745922003564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4.4000000000000004</v>
      </c>
      <c r="DO60" s="12">
        <f>IF('Données projet'!$A$166&gt;35,DO59+DN60-DW59,IF(A60&lt;'Données projet'!$A$166,$DL$205^A60,IF(A60='Données projet'!$A$166,'Données projet'!$B$166,DO59+DN60-DW59)))</f>
        <v>191.8</v>
      </c>
      <c r="DP60" s="17">
        <f>DO60*VLOOKUP('Données projet'!$B$14,Paramètres!$A$1:$I$89,3,0)*VLOOKUP('Données projet'!$B$14,Paramètres!$A$1:$I$89,5,0)</f>
        <v>128.65944000000002</v>
      </c>
      <c r="DQ60" s="13">
        <f t="shared" si="43"/>
        <v>33.686408651333402</v>
      </c>
      <c r="DR60" s="20">
        <f t="shared" si="16"/>
        <v>282.75235306773908</v>
      </c>
      <c r="DS60" s="59">
        <f t="shared" si="17"/>
        <v>576.08568640107239</v>
      </c>
      <c r="DT60" s="59">
        <f ca="1">AVERAGE(OFFSET($DS$3,0,0,'Données projet'!$E$14+1,1))-AVERAGE(OFFSET($H$3,0,0,'Données projet'!$E$14+1,1))</f>
        <v>107.15837202366862</v>
      </c>
      <c r="DU60" s="59">
        <f t="shared" si="44"/>
        <v>139.67031833740026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2.6811525783124397</v>
      </c>
      <c r="EC60" s="21">
        <f>EXP(-LN(2)/2)*EC59+(1-EXP(-LN(2)/2))/(LN(2)/2)*DW60*DZ60*VLOOKUP('Données projet'!$B$14,Paramètres!$A$1:$I$89,3,0)*0.475*44/12</f>
        <v>5.8259276549840441E-4</v>
      </c>
      <c r="ED60" s="22">
        <f t="shared" si="18"/>
        <v>2.6817351710779382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8</v>
      </c>
      <c r="EJ60" s="12">
        <f>IF('Données projet'!$A$192&gt;35,EJ59+EI60-ER59,IF(A60&lt;'Données projet'!$A$192,$EG$205^A60,IF(A60='Données projet'!$A$192,'Données projet'!$B$192,EJ59+EI60-ER59)))</f>
        <v>251.09999999999997</v>
      </c>
      <c r="EK60" s="17">
        <f>EJ60*VLOOKUP('Données projet'!$B$15,Paramètres!$A$1:$I$89,3,0)*VLOOKUP('Données projet'!$B$15,Paramètres!$A$1:$I$89,5,0)</f>
        <v>117.51479999999998</v>
      </c>
      <c r="EL60" s="13">
        <f t="shared" si="45"/>
        <v>31.094663118298477</v>
      </c>
      <c r="EM60" s="20">
        <f t="shared" si="19"/>
        <v>258.82814826436976</v>
      </c>
      <c r="EN60" s="59">
        <f t="shared" si="20"/>
        <v>552.16148159770307</v>
      </c>
      <c r="EO60" s="59">
        <f ca="1">AVERAGE(OFFSET($EN$3,0,0,'Données projet'!$E$15+1,1))-AVERAGE(OFFSET($H$3,0,0,'Données projet'!$E$15+1,1))</f>
        <v>123.60520571614535</v>
      </c>
      <c r="EP60" s="59">
        <f t="shared" si="46"/>
        <v>119.00926870519527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0.50809798910949955</v>
      </c>
      <c r="EW60" s="21">
        <f>EXP(-LN(2)/25)*EW59+(1-EXP(-LN(2)/25))/(LN(2)/25)*Calculateur!ER60*Calculateur!ET60*VLOOKUP('Données projet'!$B$15,Paramètres!$A$1:$I$89,3,0)*0.475*44/12</f>
        <v>2.2595443123660157</v>
      </c>
      <c r="EX60" s="21">
        <f>EXP(-LN(2)/2)*EX59+(1-EXP(-LN(2)/2))/(LN(2)/2)*ER60*EU60*VLOOKUP('Données projet'!$B$15,Paramètres!$A$1:$I$89,3,0)*0.475*44/12</f>
        <v>5.2771559404978094E-4</v>
      </c>
      <c r="EY60" s="22">
        <f t="shared" si="21"/>
        <v>2.7681700170695649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25.6</v>
      </c>
      <c r="FE60" s="12">
        <f>IF('Données projet'!$A$218&gt;35,FE59+FD60-FM59,IF(A60&lt;'Données projet'!$A$218,$FB$205^A60,IF(A60='Données projet'!$A$218,'Données projet'!$B$218,FE59+FD60-FM59)))</f>
        <v>424.2</v>
      </c>
      <c r="FF60" s="17">
        <f>FE60*VLOOKUP('Données projet'!$B$16,Paramètres!$A$1:$I$89,3,0)*VLOOKUP('Données projet'!$B$16,Paramètres!$A$1:$I$89,5,0)</f>
        <v>204.04020000000003</v>
      </c>
      <c r="FG60" s="13">
        <f t="shared" si="47"/>
        <v>50.63104524696827</v>
      </c>
      <c r="FH60" s="20">
        <f t="shared" si="22"/>
        <v>443.55241880513648</v>
      </c>
      <c r="FI60" s="59">
        <f t="shared" si="23"/>
        <v>736.8857521384698</v>
      </c>
      <c r="FJ60" s="59">
        <f ca="1">AVERAGE(OFFSET($FI$3,0,0,'Données projet'!$E$16+1,1))-AVERAGE(OFFSET($H$3,0,0,'Données projet'!$E$16+1,1))</f>
        <v>197.66963254934603</v>
      </c>
      <c r="FK60" s="59">
        <f t="shared" si="48"/>
        <v>158.08388141976138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1.5625235623096152</v>
      </c>
      <c r="FR60" s="21">
        <f>EXP(-LN(2)/25)*FR59+(1-EXP(-LN(2)/25))/(LN(2)/25)*Calculateur!FM60*Calculateur!FO60*VLOOKUP('Données projet'!$B$16,Paramètres!$A$1:$I$89,3,0)*0.475*44/12</f>
        <v>2.513355704521302</v>
      </c>
      <c r="FS60" s="21">
        <f>EXP(-LN(2)/2)*FS59+(1-EXP(-LN(2)/2))/(LN(2)/2)*FM60*FP60*VLOOKUP('Données projet'!$B$16,Paramètres!$A$1:$I$89,3,0)*0.475*44/12</f>
        <v>7.1452801650032766E-4</v>
      </c>
      <c r="FT60" s="22">
        <f t="shared" si="24"/>
        <v>4.0765937948474171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9.6</v>
      </c>
      <c r="FZ60" s="12">
        <f>IF('Données projet'!$A$244&gt;35,FZ59+FY60-GH59,IF(A60&lt;'Données projet'!$A$244,$FW$205^A60,IF(A60='Données projet'!$A$244,'Données projet'!$B$244,FZ59+FY60-GH59)))</f>
        <v>295.2</v>
      </c>
      <c r="GA60" s="17">
        <f>FZ60*VLOOKUP('Données projet'!$B$17,Paramètres!$A$1:$I$89,3,0)*VLOOKUP('Données projet'!$B$17,Paramètres!$A$1:$I$89,5,0)</f>
        <v>176.52960000000002</v>
      </c>
      <c r="GB60" s="13">
        <f t="shared" si="49"/>
        <v>44.549213454343487</v>
      </c>
      <c r="GC60" s="20">
        <f t="shared" si="25"/>
        <v>385.04560009964825</v>
      </c>
      <c r="GD60" s="59">
        <f t="shared" si="26"/>
        <v>678.37893343298151</v>
      </c>
      <c r="GE60" s="59">
        <f ca="1">AVERAGE(OFFSET($GD$3,0,0,'Données projet'!$E$17+1,1))-AVERAGE(OFFSET($H$3,0,0,'Données projet'!$E$17+1,1))</f>
        <v>165.39579887388538</v>
      </c>
      <c r="GF60" s="59">
        <f t="shared" si="50"/>
        <v>155.89639262545802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3.4480230609518108</v>
      </c>
      <c r="GN60" s="21">
        <f>EXP(-LN(2)/2)*GN59+(1-EXP(-LN(2)/2))/(LN(2)/2)*GH60*GK60*VLOOKUP('Données projet'!$B$17,Paramètres!$A$1:$I$89,3,0)*0.475*44/12</f>
        <v>1.198079515575763E-3</v>
      </c>
      <c r="GO60" s="21">
        <f t="shared" si="27"/>
        <v>3.4492211404673867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5.5</v>
      </c>
      <c r="GU60" s="12">
        <f>IF('Données projet'!$A$270&gt;35,GU59+GT60-HC59,IF(A60&lt;'Données projet'!$A$270,$GR$205^A60,IF(A60='Données projet'!$A$270,'Données projet'!$B$270,GU59+GT60-HC59)))</f>
        <v>145.49999999999997</v>
      </c>
      <c r="GV60" s="17">
        <f>GU60*VLOOKUP('Données projet'!$B$18,Paramètres!$A$1:$I$89,3,0)*VLOOKUP('Données projet'!$B$18,Paramètres!$A$1:$I$89,5,0)</f>
        <v>156.61619999999996</v>
      </c>
      <c r="GW60" s="13">
        <f t="shared" si="51"/>
        <v>40.07834297246675</v>
      </c>
      <c r="GX60" s="20">
        <f t="shared" si="28"/>
        <v>342.57632901037942</v>
      </c>
      <c r="GY60" s="59">
        <f t="shared" si="29"/>
        <v>635.90966234371274</v>
      </c>
      <c r="GZ60" s="59">
        <f ca="1">AVERAGE(OFFSET($GY$3,0,0,'Données projet'!$E$18+1,1))-AVERAGE(OFFSET($H$3,0,0,'Données projet'!$E$18+1,1))</f>
        <v>186.60545265015247</v>
      </c>
      <c r="HA60" s="59">
        <f t="shared" si="52"/>
        <v>69.239647548491234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0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13.2</v>
      </c>
      <c r="N61" s="13">
        <f>IF('Données projet'!$A$36&gt;35,N60+M61-V60,IF(A61&lt;'Données projet'!$A$36,$K$205^A61,IF(A61='Données projet'!$A$36,'Données projet'!$B$36,N60+M61-V60)))</f>
        <v>421.6</v>
      </c>
      <c r="O61" s="13">
        <f>N61*VLOOKUP('Données projet'!$B$9,Paramètres!$A$1:$I$89,3,0)*VLOOKUP('Données projet'!$B$9,Paramètres!$A$1:$I$89,5,0)</f>
        <v>235.67440000000002</v>
      </c>
      <c r="P61" s="13">
        <f t="shared" si="33"/>
        <v>57.507873721817681</v>
      </c>
      <c r="Q61" s="20">
        <f t="shared" si="53"/>
        <v>510.62579339883246</v>
      </c>
      <c r="R61" s="59">
        <f t="shared" si="0"/>
        <v>803.95912673216571</v>
      </c>
      <c r="S61" s="59">
        <f ca="1">AVERAGE(OFFSET($R$3,0,0,'Données projet'!$E$9+1,1))-AVERAGE(OFFSET($H$3,0,0,'Données projet'!$E$9+1,1))</f>
        <v>235.10258076192054</v>
      </c>
      <c r="T61" s="59">
        <f t="shared" si="34"/>
        <v>233.47316052603765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1.9676966369176181</v>
      </c>
      <c r="AA61" s="21">
        <f>EXP(-LN(2)/25)*AA60+(1-EXP(-LN(2)/25))/(LN(2)/25)*Calculateur!V61*Calculateur!X61*VLOOKUP('Données projet'!$B$9,Paramètres!$A$1:$I$89,3,0)*0.475*44/12</f>
        <v>8.4817765972611472</v>
      </c>
      <c r="AB61" s="21">
        <f>EXP(-LN(2)/2)*AB60+(1-EXP(-LN(2)/2))/(LN(2)/2)*V61*Y61*VLOOKUP('Données projet'!$B$9,Paramètres!$A$1:$I$89,3,0)*0.475*44/12</f>
        <v>1.472295027018304E-3</v>
      </c>
      <c r="AC61" s="22">
        <f t="shared" si="3"/>
        <v>10.450945529205782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8.1999999999999993</v>
      </c>
      <c r="AI61" s="13">
        <f>IF('Données projet'!$A$62&gt;35,AI60+AH61-AQ60,IF(A61&lt;'Données projet'!$A$62,$AF$205^A61,IF(A61='Données projet'!$A$62,'Données projet'!$B$62,AI60+AH61-AQ60)))</f>
        <v>312.5999999999998</v>
      </c>
      <c r="AJ61" s="13">
        <f>AI61*VLOOKUP('Données projet'!$B$10,Paramètres!$A$1:$I$89,3,0)*VLOOKUP('Données projet'!$B$10,Paramètres!$A$1:$I$89,5,0)</f>
        <v>170.67959999999991</v>
      </c>
      <c r="AK61" s="13">
        <f t="shared" si="35"/>
        <v>43.242196017419161</v>
      </c>
      <c r="AL61" s="20">
        <f t="shared" si="4"/>
        <v>372.58046139700485</v>
      </c>
      <c r="AM61" s="59">
        <f t="shared" si="5"/>
        <v>665.91379473033817</v>
      </c>
      <c r="AN61" s="59">
        <f ca="1">AVERAGE(OFFSET($AM$3,0,0,'Données projet'!$E$10+1,1))-AVERAGE(OFFSET($H$3,0,0,'Données projet'!$E$10+1,1))</f>
        <v>168.72306536277267</v>
      </c>
      <c r="AO61" s="59">
        <f t="shared" si="36"/>
        <v>203.35476578922339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1.7472147727386889</v>
      </c>
      <c r="AV61" s="21">
        <f>EXP(-LN(2)/25)*AV60+(1-EXP(-LN(2)/25))/(LN(2)/25)*Calculateur!AQ61*Calculateur!AS61*VLOOKUP('Données projet'!$B$10,Paramètres!$A$1:$I$89,3,0)*0.475*44/12</f>
        <v>10.57526648816645</v>
      </c>
      <c r="AW61" s="21">
        <f>EXP(-LN(2)/2)*AW60+(1-EXP(-LN(2)/2))/(LN(2)/2)*AQ61*AT61*VLOOKUP('Données projet'!$B$10,Paramètres!$A$1:$I$89,3,0)*0.475*44/12</f>
        <v>1.2221586073052531E-3</v>
      </c>
      <c r="AX61" s="21">
        <f t="shared" si="6"/>
        <v>12.323703419512444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9.6</v>
      </c>
      <c r="BD61" s="12">
        <f>IF('Données projet'!$A$88&gt;35,BD60+BC61-BL60,IF(A61&lt;'Données projet'!$A$88,$BA$205^A61,IF(A61='Données projet'!$A$88,'Données projet'!$B$88,BD60+BC61-BL60)))</f>
        <v>304.8</v>
      </c>
      <c r="BE61" s="13">
        <f>BD61*VLOOKUP('Données projet'!$B$11,Paramètres!$A$1:$I$89,3,0)*VLOOKUP('Données projet'!$B$11,Paramètres!$A$1:$I$89,5,0)</f>
        <v>182.2704</v>
      </c>
      <c r="BF61" s="13">
        <f t="shared" si="37"/>
        <v>45.826939257750922</v>
      </c>
      <c r="BG61" s="20">
        <f t="shared" si="7"/>
        <v>397.26953254058282</v>
      </c>
      <c r="BH61" s="59">
        <f t="shared" si="8"/>
        <v>690.60286587391613</v>
      </c>
      <c r="BI61" s="59">
        <f ca="1">AVERAGE(OFFSET($BH$3,0,0,'Données projet'!$E$11+1,1))-AVERAGE(OFFSET($H$3,0,0,'Données projet'!$E$11+1,1))</f>
        <v>165.39579887388538</v>
      </c>
      <c r="BJ61" s="59">
        <f t="shared" si="38"/>
        <v>155.89639262545802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3.3537366890264311</v>
      </c>
      <c r="BR61" s="21">
        <f>EXP(-LN(2)/2)*BR60+(1-EXP(-LN(2)/2))/(LN(2)/2)*BL61*BO61*VLOOKUP('Données projet'!$B$11,Paramètres!$A$1:$I$89,3,0)*0.475*44/12</f>
        <v>8.471701498643159E-4</v>
      </c>
      <c r="BS61" s="22">
        <f t="shared" si="9"/>
        <v>3.3545838591762953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5.5</v>
      </c>
      <c r="BY61" s="12">
        <f>IF('Données projet'!$A$114&gt;35,BY60+BX61-CG60,IF(A61&lt;'Données projet'!$A$114,$BV$205^A61,IF(A61='Données projet'!$A$114,'Données projet'!$B$114,BY60+BX61-CG60)))</f>
        <v>150.99999999999997</v>
      </c>
      <c r="BZ61" s="13">
        <f>BY61*VLOOKUP('Données projet'!$B$12,Paramètres!$A$1:$I$89,3,0)*VLOOKUP('Données projet'!$B$12,Paramètres!$A$1:$I$89,5,0)</f>
        <v>146.04719999999998</v>
      </c>
      <c r="CA61" s="13">
        <f t="shared" si="39"/>
        <v>37.678906242902855</v>
      </c>
      <c r="CB61" s="20">
        <f t="shared" si="10"/>
        <v>319.98963503972237</v>
      </c>
      <c r="CC61" s="59">
        <f t="shared" si="11"/>
        <v>613.32296837305569</v>
      </c>
      <c r="CD61" s="59">
        <f ca="1">AVERAGE(OFFSET($CC$3,0,0,'Données projet'!$E$12+1,1))-AVERAGE(OFFSET($H$3,0,0,'Données projet'!$E$12+1,1))</f>
        <v>156.26368818265388</v>
      </c>
      <c r="CE61" s="59">
        <f t="shared" si="40"/>
        <v>56.347130462109817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5.5</v>
      </c>
      <c r="CT61" s="12">
        <f>IF('Données projet'!$A$140&gt;35,CT60+CS61-DB60,IF(A61&lt;'Données projet'!$A$140,$CQ$205^A61,IF(A61='Données projet'!$A$140,'Données projet'!$B$140,CT60+CS61-DB60)))</f>
        <v>150.99999999999997</v>
      </c>
      <c r="CU61" s="17">
        <f>CT61*VLOOKUP('Données projet'!$B$13,Paramètres!$A$1:$I$89,3,0)*VLOOKUP('Données projet'!$B$13,Paramètres!$A$1:$I$89,5,0)</f>
        <v>122.49119999999998</v>
      </c>
      <c r="CV61" s="13">
        <f t="shared" si="41"/>
        <v>32.255334127777445</v>
      </c>
      <c r="CW61" s="20">
        <f t="shared" si="13"/>
        <v>269.51688027254562</v>
      </c>
      <c r="CX61" s="59">
        <f t="shared" si="14"/>
        <v>562.85021360587893</v>
      </c>
      <c r="CY61" s="59">
        <f ca="1">AVERAGE(OFFSET($CX$3,0,0,'Données projet'!$E$13+1,1))-AVERAGE(OFFSET($H$3,0,0,'Données projet'!$E$13+1,1))</f>
        <v>112.78807760743126</v>
      </c>
      <c r="CZ61" s="59">
        <f t="shared" si="42"/>
        <v>37.867745922003564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4.4000000000000004</v>
      </c>
      <c r="DO61" s="12">
        <f>IF('Données projet'!$A$166&gt;35,DO60+DN61-DW60,IF(A61&lt;'Données projet'!$A$166,$DL$205^A61,IF(A61='Données projet'!$A$166,'Données projet'!$B$166,DO60+DN61-DW60)))</f>
        <v>196.20000000000002</v>
      </c>
      <c r="DP61" s="17">
        <f>DO61*VLOOKUP('Données projet'!$B$14,Paramètres!$A$1:$I$89,3,0)*VLOOKUP('Données projet'!$B$14,Paramètres!$A$1:$I$89,5,0)</f>
        <v>131.61096000000001</v>
      </c>
      <c r="DQ61" s="13">
        <f t="shared" si="43"/>
        <v>34.36833765052662</v>
      </c>
      <c r="DR61" s="20">
        <f t="shared" si="16"/>
        <v>289.08061007466716</v>
      </c>
      <c r="DS61" s="59">
        <f t="shared" si="17"/>
        <v>582.41394340800048</v>
      </c>
      <c r="DT61" s="59">
        <f ca="1">AVERAGE(OFFSET($DS$3,0,0,'Données projet'!$E$14+1,1))-AVERAGE(OFFSET($H$3,0,0,'Données projet'!$E$14+1,1))</f>
        <v>107.15837202366862</v>
      </c>
      <c r="DU61" s="59">
        <f t="shared" si="44"/>
        <v>139.67031833740026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2.6078363200627996</v>
      </c>
      <c r="EC61" s="21">
        <f>EXP(-LN(2)/2)*EC60+(1-EXP(-LN(2)/2))/(LN(2)/2)*DW61*DZ61*VLOOKUP('Données projet'!$B$14,Paramètres!$A$1:$I$89,3,0)*0.475*44/12</f>
        <v>4.1195529515414584E-4</v>
      </c>
      <c r="ED61" s="22">
        <f t="shared" si="18"/>
        <v>2.6082482753579539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8</v>
      </c>
      <c r="EJ61" s="12">
        <f>IF('Données projet'!$A$192&gt;35,EJ60+EI61-ER60,IF(A61&lt;'Données projet'!$A$192,$EG$205^A61,IF(A61='Données projet'!$A$192,'Données projet'!$B$192,EJ60+EI61-ER60)))</f>
        <v>259.09999999999997</v>
      </c>
      <c r="EK61" s="17">
        <f>EJ61*VLOOKUP('Données projet'!$B$15,Paramètres!$A$1:$I$89,3,0)*VLOOKUP('Données projet'!$B$15,Paramètres!$A$1:$I$89,5,0)</f>
        <v>121.25879999999998</v>
      </c>
      <c r="EL61" s="13">
        <f t="shared" si="45"/>
        <v>31.968415173452456</v>
      </c>
      <c r="EM61" s="20">
        <f t="shared" si="19"/>
        <v>266.87073309376296</v>
      </c>
      <c r="EN61" s="59">
        <f t="shared" si="20"/>
        <v>560.20406642709622</v>
      </c>
      <c r="EO61" s="59">
        <f ca="1">AVERAGE(OFFSET($EN$3,0,0,'Données projet'!$E$15+1,1))-AVERAGE(OFFSET($H$3,0,0,'Données projet'!$E$15+1,1))</f>
        <v>123.60520571614535</v>
      </c>
      <c r="EP61" s="59">
        <f t="shared" si="46"/>
        <v>119.00926870519527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0.49813449745223465</v>
      </c>
      <c r="EW61" s="21">
        <f>EXP(-LN(2)/25)*EW60+(1-EXP(-LN(2)/25))/(LN(2)/25)*Calculateur!ER61*Calculateur!ET61*VLOOKUP('Données projet'!$B$15,Paramètres!$A$1:$I$89,3,0)*0.475*44/12</f>
        <v>2.1977569543200959</v>
      </c>
      <c r="EX61" s="21">
        <f>EXP(-LN(2)/2)*EX60+(1-EXP(-LN(2)/2))/(LN(2)/2)*ER61*EU61*VLOOKUP('Données projet'!$B$15,Paramètres!$A$1:$I$89,3,0)*0.475*44/12</f>
        <v>3.731512750904874E-4</v>
      </c>
      <c r="EY61" s="22">
        <f t="shared" si="21"/>
        <v>2.6962646030474211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25.6</v>
      </c>
      <c r="FE61" s="12">
        <f>IF('Données projet'!$A$218&gt;35,FE60+FD61-FM60,IF(A61&lt;'Données projet'!$A$218,$FB$205^A61,IF(A61='Données projet'!$A$218,'Données projet'!$B$218,FE60+FD61-FM60)))</f>
        <v>449.8</v>
      </c>
      <c r="FF61" s="17">
        <f>FE61*VLOOKUP('Données projet'!$B$16,Paramètres!$A$1:$I$89,3,0)*VLOOKUP('Données projet'!$B$16,Paramètres!$A$1:$I$89,5,0)</f>
        <v>216.35380000000004</v>
      </c>
      <c r="FG61" s="13">
        <f t="shared" si="47"/>
        <v>53.321632991105091</v>
      </c>
      <c r="FH61" s="20">
        <f t="shared" si="22"/>
        <v>469.68471245950815</v>
      </c>
      <c r="FI61" s="59">
        <f t="shared" si="23"/>
        <v>763.01804579284146</v>
      </c>
      <c r="FJ61" s="59">
        <f ca="1">AVERAGE(OFFSET($FI$3,0,0,'Données projet'!$E$16+1,1))-AVERAGE(OFFSET($H$3,0,0,'Données projet'!$E$16+1,1))</f>
        <v>197.66963254934603</v>
      </c>
      <c r="FK61" s="59">
        <f t="shared" si="48"/>
        <v>158.08388141976138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1.5318834282979912</v>
      </c>
      <c r="FR61" s="21">
        <f>EXP(-LN(2)/25)*FR60+(1-EXP(-LN(2)/25))/(LN(2)/25)*Calculateur!FM61*Calculateur!FO61*VLOOKUP('Données projet'!$B$16,Paramètres!$A$1:$I$89,3,0)*0.475*44/12</f>
        <v>2.4446278606095349</v>
      </c>
      <c r="FS61" s="21">
        <f>EXP(-LN(2)/2)*FS60+(1-EXP(-LN(2)/2))/(LN(2)/2)*FM61*FP61*VLOOKUP('Données projet'!$B$16,Paramètres!$A$1:$I$89,3,0)*0.475*44/12</f>
        <v>5.05247605815155E-4</v>
      </c>
      <c r="FT61" s="22">
        <f t="shared" si="24"/>
        <v>3.9770165365133407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9.6</v>
      </c>
      <c r="FZ61" s="12">
        <f>IF('Données projet'!$A$244&gt;35,FZ60+FY61-GH60,IF(A61&lt;'Données projet'!$A$244,$FW$205^A61,IF(A61='Données projet'!$A$244,'Données projet'!$B$244,FZ60+FY61-GH60)))</f>
        <v>304.8</v>
      </c>
      <c r="GA61" s="17">
        <f>FZ61*VLOOKUP('Données projet'!$B$17,Paramètres!$A$1:$I$89,3,0)*VLOOKUP('Données projet'!$B$17,Paramètres!$A$1:$I$89,5,0)</f>
        <v>182.2704</v>
      </c>
      <c r="GB61" s="13">
        <f t="shared" si="49"/>
        <v>45.826939257750922</v>
      </c>
      <c r="GC61" s="20">
        <f t="shared" si="25"/>
        <v>397.26953254058282</v>
      </c>
      <c r="GD61" s="59">
        <f t="shared" si="26"/>
        <v>690.60286587391613</v>
      </c>
      <c r="GE61" s="59">
        <f ca="1">AVERAGE(OFFSET($GD$3,0,0,'Données projet'!$E$17+1,1))-AVERAGE(OFFSET($H$3,0,0,'Données projet'!$E$17+1,1))</f>
        <v>165.39579887388538</v>
      </c>
      <c r="GF61" s="59">
        <f t="shared" si="50"/>
        <v>155.89639262545802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3.3537366890264311</v>
      </c>
      <c r="GN61" s="21">
        <f>EXP(-LN(2)/2)*GN60+(1-EXP(-LN(2)/2))/(LN(2)/2)*GH61*GK61*VLOOKUP('Données projet'!$B$17,Paramètres!$A$1:$I$89,3,0)*0.475*44/12</f>
        <v>8.471701498643159E-4</v>
      </c>
      <c r="GO61" s="21">
        <f t="shared" si="27"/>
        <v>3.3545838591762953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5.5</v>
      </c>
      <c r="GU61" s="12">
        <f>IF('Données projet'!$A$270&gt;35,GU60+GT61-HC60,IF(A61&lt;'Données projet'!$A$270,$GR$205^A61,IF(A61='Données projet'!$A$270,'Données projet'!$B$270,GU60+GT61-HC60)))</f>
        <v>150.99999999999997</v>
      </c>
      <c r="GV61" s="17">
        <f>GU61*VLOOKUP('Données projet'!$B$18,Paramètres!$A$1:$I$89,3,0)*VLOOKUP('Données projet'!$B$18,Paramètres!$A$1:$I$89,5,0)</f>
        <v>162.53639999999996</v>
      </c>
      <c r="GW61" s="13">
        <f t="shared" si="51"/>
        <v>41.414082773478704</v>
      </c>
      <c r="GX61" s="20">
        <f t="shared" si="28"/>
        <v>355.21375749714201</v>
      </c>
      <c r="GY61" s="59">
        <f t="shared" si="29"/>
        <v>648.54709083047533</v>
      </c>
      <c r="GZ61" s="59">
        <f ca="1">AVERAGE(OFFSET($GY$3,0,0,'Données projet'!$E$18+1,1))-AVERAGE(OFFSET($H$3,0,0,'Données projet'!$E$18+1,1))</f>
        <v>186.60545265015247</v>
      </c>
      <c r="HA61" s="59">
        <f t="shared" si="52"/>
        <v>69.239647548491234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0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13.2</v>
      </c>
      <c r="N62" s="13">
        <f>IF('Données projet'!$A$36&gt;35,N61+M62-V61,IF(A62&lt;'Données projet'!$A$36,$K$205^A62,IF(A62='Données projet'!$A$36,'Données projet'!$B$36,N61+M62-V61)))</f>
        <v>434.8</v>
      </c>
      <c r="O62" s="13">
        <f>N62*VLOOKUP('Données projet'!$B$9,Paramètres!$A$1:$I$89,3,0)*VLOOKUP('Données projet'!$B$9,Paramètres!$A$1:$I$89,5,0)</f>
        <v>243.0532</v>
      </c>
      <c r="P62" s="13">
        <f t="shared" si="33"/>
        <v>59.095957245305804</v>
      </c>
      <c r="Q62" s="20">
        <f t="shared" si="53"/>
        <v>526.24311553557425</v>
      </c>
      <c r="R62" s="59">
        <f t="shared" si="0"/>
        <v>819.57644886890762</v>
      </c>
      <c r="S62" s="59">
        <f ca="1">AVERAGE(OFFSET($R$3,0,0,'Données projet'!$E$9+1,1))-AVERAGE(OFFSET($H$3,0,0,'Données projet'!$E$9+1,1))</f>
        <v>235.10258076192054</v>
      </c>
      <c r="T62" s="59">
        <f t="shared" si="34"/>
        <v>233.47316052603765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1.9291113060441045</v>
      </c>
      <c r="AA62" s="21">
        <f>EXP(-LN(2)/25)*AA61+(1-EXP(-LN(2)/25))/(LN(2)/25)*Calculateur!V62*Calculateur!X62*VLOOKUP('Données projet'!$B$9,Paramètres!$A$1:$I$89,3,0)*0.475*44/12</f>
        <v>8.2498419701717953</v>
      </c>
      <c r="AB62" s="21">
        <f>EXP(-LN(2)/2)*AB61+(1-EXP(-LN(2)/2))/(LN(2)/2)*V62*Y62*VLOOKUP('Données projet'!$B$9,Paramètres!$A$1:$I$89,3,0)*0.475*44/12</f>
        <v>1.041069797511874E-3</v>
      </c>
      <c r="AC62" s="22">
        <f t="shared" si="3"/>
        <v>10.179994346013412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8.1999999999999993</v>
      </c>
      <c r="AI62" s="13">
        <f>IF('Données projet'!$A$62&gt;35,AI61+AH62-AQ61,IF(A62&lt;'Données projet'!$A$62,$AF$205^A62,IF(A62='Données projet'!$A$62,'Données projet'!$B$62,AI61+AH62-AQ61)))</f>
        <v>320.79999999999978</v>
      </c>
      <c r="AJ62" s="13">
        <f>AI62*VLOOKUP('Données projet'!$B$10,Paramètres!$A$1:$I$89,3,0)*VLOOKUP('Données projet'!$B$10,Paramètres!$A$1:$I$89,5,0)</f>
        <v>175.15679999999989</v>
      </c>
      <c r="AK62" s="13">
        <f t="shared" si="35"/>
        <v>44.242958891041738</v>
      </c>
      <c r="AL62" s="20">
        <f t="shared" si="4"/>
        <v>382.12124673523084</v>
      </c>
      <c r="AM62" s="59">
        <f t="shared" si="5"/>
        <v>675.45458006856416</v>
      </c>
      <c r="AN62" s="59">
        <f ca="1">AVERAGE(OFFSET($AM$3,0,0,'Données projet'!$E$10+1,1))-AVERAGE(OFFSET($H$3,0,0,'Données projet'!$E$10+1,1))</f>
        <v>168.72306536277267</v>
      </c>
      <c r="AO62" s="59">
        <f t="shared" si="36"/>
        <v>203.35476578922339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1.7129529567410657</v>
      </c>
      <c r="AV62" s="21">
        <f>EXP(-LN(2)/25)*AV61+(1-EXP(-LN(2)/25))/(LN(2)/25)*Calculateur!AQ62*Calculateur!AS62*VLOOKUP('Données projet'!$B$10,Paramètres!$A$1:$I$89,3,0)*0.475*44/12</f>
        <v>10.286085269918445</v>
      </c>
      <c r="AW62" s="21">
        <f>EXP(-LN(2)/2)*AW61+(1-EXP(-LN(2)/2))/(LN(2)/2)*AQ62*AT62*VLOOKUP('Données projet'!$B$10,Paramètres!$A$1:$I$89,3,0)*0.475*44/12</f>
        <v>8.6419663891105125E-4</v>
      </c>
      <c r="AX62" s="21">
        <f t="shared" si="6"/>
        <v>11.999902423298423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9.6</v>
      </c>
      <c r="BD62" s="12">
        <f>IF('Données projet'!$A$88&gt;35,BD61+BC62-BL61,IF(A62&lt;'Données projet'!$A$88,$BA$205^A62,IF(A62='Données projet'!$A$88,'Données projet'!$B$88,BD61+BC62-BL61)))</f>
        <v>314.40000000000003</v>
      </c>
      <c r="BE62" s="13">
        <f>BD62*VLOOKUP('Données projet'!$B$11,Paramètres!$A$1:$I$89,3,0)*VLOOKUP('Données projet'!$B$11,Paramètres!$A$1:$I$89,5,0)</f>
        <v>188.01120000000003</v>
      </c>
      <c r="BF62" s="13">
        <f t="shared" si="37"/>
        <v>47.099988496590989</v>
      </c>
      <c r="BG62" s="20">
        <f t="shared" si="7"/>
        <v>409.48531996489601</v>
      </c>
      <c r="BH62" s="59">
        <f t="shared" si="8"/>
        <v>702.81865329822926</v>
      </c>
      <c r="BI62" s="59">
        <f ca="1">AVERAGE(OFFSET($BH$3,0,0,'Données projet'!$E$11+1,1))-AVERAGE(OFFSET($H$3,0,0,'Données projet'!$E$11+1,1))</f>
        <v>165.39579887388538</v>
      </c>
      <c r="BJ62" s="59">
        <f t="shared" si="38"/>
        <v>155.89639262545802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3.262028582899656</v>
      </c>
      <c r="BR62" s="21">
        <f>EXP(-LN(2)/2)*BR61+(1-EXP(-LN(2)/2))/(LN(2)/2)*BL62*BO62*VLOOKUP('Données projet'!$B$11,Paramètres!$A$1:$I$89,3,0)*0.475*44/12</f>
        <v>5.9903975778788148E-4</v>
      </c>
      <c r="BS62" s="22">
        <f t="shared" si="9"/>
        <v>3.262627622657444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5.5</v>
      </c>
      <c r="BY62" s="12">
        <f>IF('Données projet'!$A$114&gt;35,BY61+BX62-CG61,IF(A62&lt;'Données projet'!$A$114,$BV$205^A62,IF(A62='Données projet'!$A$114,'Données projet'!$B$114,BY61+BX62-CG61)))</f>
        <v>156.49999999999997</v>
      </c>
      <c r="BZ62" s="13">
        <f>BY62*VLOOKUP('Données projet'!$B$12,Paramètres!$A$1:$I$89,3,0)*VLOOKUP('Données projet'!$B$12,Paramètres!$A$1:$I$89,5,0)</f>
        <v>151.36679999999998</v>
      </c>
      <c r="CA62" s="13">
        <f t="shared" si="39"/>
        <v>38.889031658998476</v>
      </c>
      <c r="CB62" s="20">
        <f t="shared" si="10"/>
        <v>331.36224013942228</v>
      </c>
      <c r="CC62" s="59">
        <f t="shared" si="11"/>
        <v>624.69557347275554</v>
      </c>
      <c r="CD62" s="59">
        <f ca="1">AVERAGE(OFFSET($CC$3,0,0,'Données projet'!$E$12+1,1))-AVERAGE(OFFSET($H$3,0,0,'Données projet'!$E$12+1,1))</f>
        <v>156.26368818265388</v>
      </c>
      <c r="CE62" s="59">
        <f t="shared" si="40"/>
        <v>56.347130462109817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5.5</v>
      </c>
      <c r="CT62" s="12">
        <f>IF('Données projet'!$A$140&gt;35,CT61+CS62-DB61,IF(A62&lt;'Données projet'!$A$140,$CQ$205^A62,IF(A62='Données projet'!$A$140,'Données projet'!$B$140,CT61+CS62-DB61)))</f>
        <v>156.49999999999997</v>
      </c>
      <c r="CU62" s="17">
        <f>CT62*VLOOKUP('Données projet'!$B$13,Paramètres!$A$1:$I$89,3,0)*VLOOKUP('Données projet'!$B$13,Paramètres!$A$1:$I$89,5,0)</f>
        <v>126.95279999999998</v>
      </c>
      <c r="CV62" s="13">
        <f t="shared" si="41"/>
        <v>33.291271832047514</v>
      </c>
      <c r="CW62" s="20">
        <f t="shared" si="13"/>
        <v>279.09175844081602</v>
      </c>
      <c r="CX62" s="59">
        <f t="shared" si="14"/>
        <v>572.42509177414934</v>
      </c>
      <c r="CY62" s="59">
        <f ca="1">AVERAGE(OFFSET($CX$3,0,0,'Données projet'!$E$13+1,1))-AVERAGE(OFFSET($H$3,0,0,'Données projet'!$E$13+1,1))</f>
        <v>112.78807760743126</v>
      </c>
      <c r="CZ62" s="59">
        <f t="shared" si="42"/>
        <v>37.867745922003564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4.4000000000000004</v>
      </c>
      <c r="DO62" s="12">
        <f>IF('Données projet'!$A$166&gt;35,DO61+DN62-DW61,IF(A62&lt;'Données projet'!$A$166,$DL$205^A62,IF(A62='Données projet'!$A$166,'Données projet'!$B$166,DO61+DN62-DW61)))</f>
        <v>200.60000000000002</v>
      </c>
      <c r="DP62" s="17">
        <f>DO62*VLOOKUP('Données projet'!$B$14,Paramètres!$A$1:$I$89,3,0)*VLOOKUP('Données projet'!$B$14,Paramètres!$A$1:$I$89,5,0)</f>
        <v>134.56248000000002</v>
      </c>
      <c r="DQ62" s="13">
        <f t="shared" si="43"/>
        <v>35.048488707783243</v>
      </c>
      <c r="DR62" s="20">
        <f t="shared" si="16"/>
        <v>295.40577049938912</v>
      </c>
      <c r="DS62" s="59">
        <f t="shared" si="17"/>
        <v>588.73910383272244</v>
      </c>
      <c r="DT62" s="59">
        <f ca="1">AVERAGE(OFFSET($DS$3,0,0,'Données projet'!$E$14+1,1))-AVERAGE(OFFSET($H$3,0,0,'Données projet'!$E$14+1,1))</f>
        <v>107.15837202366862</v>
      </c>
      <c r="DU62" s="59">
        <f t="shared" si="44"/>
        <v>139.67031833740026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2.5365248987505304</v>
      </c>
      <c r="EC62" s="21">
        <f>EXP(-LN(2)/2)*EC61+(1-EXP(-LN(2)/2))/(LN(2)/2)*DW62*DZ62*VLOOKUP('Données projet'!$B$14,Paramètres!$A$1:$I$89,3,0)*0.475*44/12</f>
        <v>2.912963827492022E-4</v>
      </c>
      <c r="ED62" s="22">
        <f t="shared" si="18"/>
        <v>2.5368161951332797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8</v>
      </c>
      <c r="EJ62" s="12">
        <f>IF('Données projet'!$A$192&gt;35,EJ61+EI62-ER61,IF(A62&lt;'Données projet'!$A$192,$EG$205^A62,IF(A62='Données projet'!$A$192,'Données projet'!$B$192,EJ61+EI62-ER61)))</f>
        <v>267.09999999999997</v>
      </c>
      <c r="EK62" s="17">
        <f>EJ62*VLOOKUP('Données projet'!$B$15,Paramètres!$A$1:$I$89,3,0)*VLOOKUP('Données projet'!$B$15,Paramètres!$A$1:$I$89,5,0)</f>
        <v>125.00279999999998</v>
      </c>
      <c r="EL62" s="13">
        <f t="shared" si="45"/>
        <v>32.839032091861341</v>
      </c>
      <c r="EM62" s="20">
        <f t="shared" si="19"/>
        <v>274.90785755999178</v>
      </c>
      <c r="EN62" s="59">
        <f t="shared" si="20"/>
        <v>568.2411908933251</v>
      </c>
      <c r="EO62" s="59">
        <f ca="1">AVERAGE(OFFSET($EN$3,0,0,'Données projet'!$E$15+1,1))-AVERAGE(OFFSET($H$3,0,0,'Données projet'!$E$15+1,1))</f>
        <v>123.60520571614535</v>
      </c>
      <c r="EP62" s="59">
        <f t="shared" si="46"/>
        <v>119.00926870519527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0.48836638378923886</v>
      </c>
      <c r="EW62" s="21">
        <f>EXP(-LN(2)/25)*EW61+(1-EXP(-LN(2)/25))/(LN(2)/25)*Calculateur!ER62*Calculateur!ET62*VLOOKUP('Données projet'!$B$15,Paramètres!$A$1:$I$89,3,0)*0.475*44/12</f>
        <v>2.1376591748291975</v>
      </c>
      <c r="EX62" s="21">
        <f>EXP(-LN(2)/2)*EX61+(1-EXP(-LN(2)/2))/(LN(2)/2)*ER62*EU62*VLOOKUP('Données projet'!$B$15,Paramètres!$A$1:$I$89,3,0)*0.475*44/12</f>
        <v>2.6385779702489047E-4</v>
      </c>
      <c r="EY62" s="22">
        <f t="shared" si="21"/>
        <v>2.6262894164154611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25.6</v>
      </c>
      <c r="FE62" s="12">
        <f>IF('Données projet'!$A$218&gt;35,FE61+FD62-FM61,IF(A62&lt;'Données projet'!$A$218,$FB$205^A62,IF(A62='Données projet'!$A$218,'Données projet'!$B$218,FE61+FD62-FM61)))</f>
        <v>475.40000000000003</v>
      </c>
      <c r="FF62" s="17">
        <f>FE62*VLOOKUP('Données projet'!$B$16,Paramètres!$A$1:$I$89,3,0)*VLOOKUP('Données projet'!$B$16,Paramètres!$A$1:$I$89,5,0)</f>
        <v>228.66740000000004</v>
      </c>
      <c r="FG62" s="13">
        <f t="shared" si="47"/>
        <v>55.994444882593307</v>
      </c>
      <c r="FH62" s="20">
        <f t="shared" si="22"/>
        <v>495.78604650385006</v>
      </c>
      <c r="FI62" s="59">
        <f t="shared" si="23"/>
        <v>789.11937983718337</v>
      </c>
      <c r="FJ62" s="59">
        <f ca="1">AVERAGE(OFFSET($FI$3,0,0,'Données projet'!$E$16+1,1))-AVERAGE(OFFSET($H$3,0,0,'Données projet'!$E$16+1,1))</f>
        <v>197.66963254934603</v>
      </c>
      <c r="FK62" s="59">
        <f t="shared" si="48"/>
        <v>158.08388141976138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1.5018441286256987</v>
      </c>
      <c r="FR62" s="21">
        <f>EXP(-LN(2)/25)*FR61+(1-EXP(-LN(2)/25))/(LN(2)/25)*Calculateur!FM62*Calculateur!FO62*VLOOKUP('Données projet'!$B$16,Paramètres!$A$1:$I$89,3,0)*0.475*44/12</f>
        <v>2.3777793832037752</v>
      </c>
      <c r="FS62" s="21">
        <f>EXP(-LN(2)/2)*FS61+(1-EXP(-LN(2)/2))/(LN(2)/2)*FM62*FP62*VLOOKUP('Données projet'!$B$16,Paramètres!$A$1:$I$89,3,0)*0.475*44/12</f>
        <v>3.5726400825016383E-4</v>
      </c>
      <c r="FT62" s="22">
        <f t="shared" si="24"/>
        <v>3.879980775837724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9.6</v>
      </c>
      <c r="FZ62" s="12">
        <f>IF('Données projet'!$A$244&gt;35,FZ61+FY62-GH61,IF(A62&lt;'Données projet'!$A$244,$FW$205^A62,IF(A62='Données projet'!$A$244,'Données projet'!$B$244,FZ61+FY62-GH61)))</f>
        <v>314.40000000000003</v>
      </c>
      <c r="GA62" s="17">
        <f>FZ62*VLOOKUP('Données projet'!$B$17,Paramètres!$A$1:$I$89,3,0)*VLOOKUP('Données projet'!$B$17,Paramètres!$A$1:$I$89,5,0)</f>
        <v>188.01120000000003</v>
      </c>
      <c r="GB62" s="13">
        <f t="shared" si="49"/>
        <v>47.099988496590989</v>
      </c>
      <c r="GC62" s="20">
        <f t="shared" si="25"/>
        <v>409.48531996489601</v>
      </c>
      <c r="GD62" s="59">
        <f t="shared" si="26"/>
        <v>702.81865329822926</v>
      </c>
      <c r="GE62" s="59">
        <f ca="1">AVERAGE(OFFSET($GD$3,0,0,'Données projet'!$E$17+1,1))-AVERAGE(OFFSET($H$3,0,0,'Données projet'!$E$17+1,1))</f>
        <v>165.39579887388538</v>
      </c>
      <c r="GF62" s="59">
        <f t="shared" si="50"/>
        <v>155.89639262545802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3.262028582899656</v>
      </c>
      <c r="GN62" s="21">
        <f>EXP(-LN(2)/2)*GN61+(1-EXP(-LN(2)/2))/(LN(2)/2)*GH62*GK62*VLOOKUP('Données projet'!$B$17,Paramètres!$A$1:$I$89,3,0)*0.475*44/12</f>
        <v>5.9903975778788148E-4</v>
      </c>
      <c r="GO62" s="21">
        <f t="shared" si="27"/>
        <v>3.262627622657444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5.5</v>
      </c>
      <c r="GU62" s="12">
        <f>IF('Données projet'!$A$270&gt;35,GU61+GT62-HC61,IF(A62&lt;'Données projet'!$A$270,$GR$205^A62,IF(A62='Données projet'!$A$270,'Données projet'!$B$270,GU61+GT62-HC61)))</f>
        <v>156.49999999999997</v>
      </c>
      <c r="GV62" s="17">
        <f>GU62*VLOOKUP('Données projet'!$B$18,Paramètres!$A$1:$I$89,3,0)*VLOOKUP('Données projet'!$B$18,Paramètres!$A$1:$I$89,5,0)</f>
        <v>168.45659999999995</v>
      </c>
      <c r="GW62" s="13">
        <f t="shared" si="51"/>
        <v>42.744170059595596</v>
      </c>
      <c r="GX62" s="20">
        <f t="shared" si="28"/>
        <v>367.84134118712888</v>
      </c>
      <c r="GY62" s="59">
        <f t="shared" si="29"/>
        <v>661.17467452046219</v>
      </c>
      <c r="GZ62" s="59">
        <f ca="1">AVERAGE(OFFSET($GY$3,0,0,'Données projet'!$E$18+1,1))-AVERAGE(OFFSET($H$3,0,0,'Données projet'!$E$18+1,1))</f>
        <v>186.60545265015247</v>
      </c>
      <c r="HA62" s="59">
        <f t="shared" si="52"/>
        <v>69.239647548491234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0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448</v>
      </c>
      <c r="L63" s="12">
        <f>VLOOKUP(A63,'Données projet'!$A$35:$I$55,9,0)</f>
        <v>13.2</v>
      </c>
      <c r="M63" s="12">
        <f t="array" ref="M63">INDEX(L:L,MIN(IF(ISNUMBER(L63:L259),ROW(L63:L259),"")))</f>
        <v>13.2</v>
      </c>
      <c r="N63" s="13">
        <f>IF('Données projet'!$A$36&gt;35,N62+M63-V62,IF(A63&lt;'Données projet'!$A$36,$K$205^A63,IF(A63='Données projet'!$A$36,'Données projet'!$B$36,N62+M63-V62)))</f>
        <v>448</v>
      </c>
      <c r="O63" s="13">
        <f>N63*VLOOKUP('Données projet'!$B$9,Paramètres!$A$1:$I$89,3,0)*VLOOKUP('Données projet'!$B$9,Paramètres!$A$1:$I$89,5,0)</f>
        <v>250.43199999999999</v>
      </c>
      <c r="P63" s="13">
        <f t="shared" si="33"/>
        <v>60.67843785311895</v>
      </c>
      <c r="Q63" s="20">
        <f t="shared" si="53"/>
        <v>541.85067926084878</v>
      </c>
      <c r="R63" s="59">
        <f t="shared" si="0"/>
        <v>835.18401259418215</v>
      </c>
      <c r="S63" s="59">
        <f ca="1">AVERAGE(OFFSET($R$3,0,0,'Données projet'!$E$9+1,1))-AVERAGE(OFFSET($H$3,0,0,'Données projet'!$E$9+1,1))</f>
        <v>235.10258076192054</v>
      </c>
      <c r="T63" s="59">
        <f t="shared" si="34"/>
        <v>233.47316052603765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69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1.8912826099742925</v>
      </c>
      <c r="AA63" s="21">
        <f>EXP(-LN(2)/25)*AA62+(1-EXP(-LN(2)/25))/(LN(2)/25)*Calculateur!V63*Calculateur!X63*VLOOKUP('Données projet'!$B$9,Paramètres!$A$1:$I$89,3,0)*0.475*44/12</f>
        <v>8.0242496076571133</v>
      </c>
      <c r="AB63" s="21">
        <f>EXP(-LN(2)/2)*AB62+(1-EXP(-LN(2)/2))/(LN(2)/2)*V63*Y63*VLOOKUP('Données projet'!$B$9,Paramètres!$A$1:$I$89,3,0)*0.475*44/12</f>
        <v>7.3614751350915201E-4</v>
      </c>
      <c r="AC63" s="22">
        <f t="shared" si="3"/>
        <v>9.9162683651449139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329</v>
      </c>
      <c r="AG63" s="12">
        <f>VLOOKUP(A63,'Données projet'!$A$61:$I$81,9,0)</f>
        <v>8.1999999999999993</v>
      </c>
      <c r="AH63" s="12">
        <f t="array" ref="AH63">INDEX(AG:AG,MIN(IF(ISNUMBER(AG63:AG259),ROW(AG63:AG259),"")))</f>
        <v>8.1999999999999993</v>
      </c>
      <c r="AI63" s="13">
        <f>IF('Données projet'!$A$62&gt;35,AI62+AH63-AQ62,IF(A63&lt;'Données projet'!$A$62,$AF$205^A63,IF(A63='Données projet'!$A$62,'Données projet'!$B$62,AI62+AH63-AQ62)))</f>
        <v>328.99999999999977</v>
      </c>
      <c r="AJ63" s="13">
        <f>AI63*VLOOKUP('Données projet'!$B$10,Paramètres!$A$1:$I$89,3,0)*VLOOKUP('Données projet'!$B$10,Paramètres!$A$1:$I$89,5,0)</f>
        <v>179.63399999999987</v>
      </c>
      <c r="AK63" s="13">
        <f t="shared" si="35"/>
        <v>45.240748266194686</v>
      </c>
      <c r="AL63" s="20">
        <f t="shared" si="4"/>
        <v>391.65685323028885</v>
      </c>
      <c r="AM63" s="59">
        <f t="shared" si="5"/>
        <v>684.99018656362216</v>
      </c>
      <c r="AN63" s="59">
        <f ca="1">AVERAGE(OFFSET($AM$3,0,0,'Données projet'!$E$10+1,1))-AVERAGE(OFFSET($H$3,0,0,'Données projet'!$E$10+1,1))</f>
        <v>168.72306536277267</v>
      </c>
      <c r="AO63" s="59">
        <f t="shared" si="36"/>
        <v>203.35476578922339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1.6793629940575119</v>
      </c>
      <c r="AV63" s="21">
        <f>EXP(-LN(2)/25)*AV62+(1-EXP(-LN(2)/25))/(LN(2)/25)*Calculateur!AQ63*Calculateur!AS63*VLOOKUP('Données projet'!$B$10,Paramètres!$A$1:$I$89,3,0)*0.475*44/12</f>
        <v>10.004811727290809</v>
      </c>
      <c r="AW63" s="21">
        <f>EXP(-LN(2)/2)*AW62+(1-EXP(-LN(2)/2))/(LN(2)/2)*AQ63*AT63*VLOOKUP('Données projet'!$B$10,Paramètres!$A$1:$I$89,3,0)*0.475*44/12</f>
        <v>6.1107930365262653E-4</v>
      </c>
      <c r="AX63" s="21">
        <f t="shared" si="6"/>
        <v>11.684785800651973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324</v>
      </c>
      <c r="BB63" s="12">
        <f>VLOOKUP(A63,'Données projet'!$A$87:$I$107,9,0)</f>
        <v>9.6</v>
      </c>
      <c r="BC63" s="12">
        <f t="array" ref="BC63">INDEX(BB:BB,MIN(IF(ISNUMBER(BB63:BB259),ROW(BB63:BB259),"")))</f>
        <v>9.6</v>
      </c>
      <c r="BD63" s="12">
        <f>IF('Données projet'!$A$88&gt;35,BD62+BC63-BL62,IF(A63&lt;'Données projet'!$A$88,$BA$205^A63,IF(A63='Données projet'!$A$88,'Données projet'!$B$88,BD62+BC63-BL62)))</f>
        <v>324.00000000000006</v>
      </c>
      <c r="BE63" s="13">
        <f>BD63*VLOOKUP('Données projet'!$B$11,Paramètres!$A$1:$I$89,3,0)*VLOOKUP('Données projet'!$B$11,Paramètres!$A$1:$I$89,5,0)</f>
        <v>193.75200000000004</v>
      </c>
      <c r="BF63" s="13">
        <f t="shared" si="37"/>
        <v>48.368520355376113</v>
      </c>
      <c r="BG63" s="20">
        <f t="shared" si="7"/>
        <v>421.69323961894679</v>
      </c>
      <c r="BH63" s="59">
        <f t="shared" si="8"/>
        <v>715.02657295228005</v>
      </c>
      <c r="BI63" s="59">
        <f ca="1">AVERAGE(OFFSET($BH$3,0,0,'Données projet'!$E$11+1,1))-AVERAGE(OFFSET($H$3,0,0,'Données projet'!$E$11+1,1))</f>
        <v>165.39579887388538</v>
      </c>
      <c r="BJ63" s="59">
        <f t="shared" si="38"/>
        <v>155.89639262545802</v>
      </c>
      <c r="BK63" s="15">
        <f>IF(ISNA(VLOOKUP(A63,'Données projet'!$A$87:$I$107,3,0)),0,VLOOKUP(A63,'Données projet'!$A$87:$I$107,3,0))</f>
        <v>4</v>
      </c>
      <c r="BL63" s="15">
        <f>IF(ISNA(VLOOKUP(A63,'Données projet'!$A$87:$I$107,4,0)),0,VLOOKUP(A63,'Données projet'!$A$87:$I$107,4,0))</f>
        <v>49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3.1728282397576373</v>
      </c>
      <c r="BR63" s="21">
        <f>EXP(-LN(2)/2)*BR62+(1-EXP(-LN(2)/2))/(LN(2)/2)*BL63*BO63*VLOOKUP('Données projet'!$B$11,Paramètres!$A$1:$I$89,3,0)*0.475*44/12</f>
        <v>4.2358507493215795E-4</v>
      </c>
      <c r="BS63" s="22">
        <f t="shared" si="9"/>
        <v>3.1732518248325694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162</v>
      </c>
      <c r="BW63" s="12">
        <f>VLOOKUP(A63,'Données projet'!$A$113:$I$133,9,0)</f>
        <v>5.5</v>
      </c>
      <c r="BX63" s="12">
        <f t="array" ref="BX63">INDEX(BW:BW,MIN(IF(ISNUMBER(BW63:BW259),ROW(BW63:BW259),"")))</f>
        <v>5.5</v>
      </c>
      <c r="BY63" s="12">
        <f>IF('Données projet'!$A$114&gt;35,BY62+BX63-CG62,IF(A63&lt;'Données projet'!$A$114,$BV$205^A63,IF(A63='Données projet'!$A$114,'Données projet'!$B$114,BY62+BX63-CG62)))</f>
        <v>161.99999999999997</v>
      </c>
      <c r="BZ63" s="13">
        <f>BY63*VLOOKUP('Données projet'!$B$12,Paramètres!$A$1:$I$89,3,0)*VLOOKUP('Données projet'!$B$12,Paramètres!$A$1:$I$89,5,0)</f>
        <v>156.68639999999999</v>
      </c>
      <c r="CA63" s="13">
        <f t="shared" si="39"/>
        <v>40.094215809840712</v>
      </c>
      <c r="CB63" s="20">
        <f t="shared" si="10"/>
        <v>342.7262392021392</v>
      </c>
      <c r="CC63" s="59">
        <f t="shared" si="11"/>
        <v>636.05957253547251</v>
      </c>
      <c r="CD63" s="59">
        <f ca="1">AVERAGE(OFFSET($CC$3,0,0,'Données projet'!$E$12+1,1))-AVERAGE(OFFSET($H$3,0,0,'Données projet'!$E$12+1,1))</f>
        <v>156.26368818265388</v>
      </c>
      <c r="CE63" s="59">
        <f t="shared" si="40"/>
        <v>56.347130462109817</v>
      </c>
      <c r="CF63" s="15">
        <f>IF(ISNA(VLOOKUP(A63,'Données projet'!$A$113:$I$133,3,0)),0,VLOOKUP(A63,'Données projet'!$A$113:$I$133,3,0))</f>
        <v>3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162</v>
      </c>
      <c r="CR63" s="12">
        <f>VLOOKUP(A63,'Données projet'!$A$139:$I$159,9,0)</f>
        <v>5.5</v>
      </c>
      <c r="CS63" s="12">
        <f t="array" ref="CS63">INDEX(CR:CR,MIN(IF(ISNUMBER(CR63:CR259),ROW(CR63:CR259),"")))</f>
        <v>5.5</v>
      </c>
      <c r="CT63" s="12">
        <f>IF('Données projet'!$A$140&gt;35,CT62+CS63-DB62,IF(A63&lt;'Données projet'!$A$140,$CQ$205^A63,IF(A63='Données projet'!$A$140,'Données projet'!$B$140,CT62+CS63-DB62)))</f>
        <v>161.99999999999997</v>
      </c>
      <c r="CU63" s="17">
        <f>CT63*VLOOKUP('Données projet'!$B$13,Paramètres!$A$1:$I$89,3,0)*VLOOKUP('Données projet'!$B$13,Paramètres!$A$1:$I$89,5,0)</f>
        <v>131.4144</v>
      </c>
      <c r="CV63" s="13">
        <f t="shared" si="41"/>
        <v>34.32297952601067</v>
      </c>
      <c r="CW63" s="20">
        <f t="shared" si="13"/>
        <v>288.6592693411352</v>
      </c>
      <c r="CX63" s="59">
        <f t="shared" si="14"/>
        <v>581.99260267446857</v>
      </c>
      <c r="CY63" s="59">
        <f ca="1">AVERAGE(OFFSET($CX$3,0,0,'Données projet'!$E$13+1,1))-AVERAGE(OFFSET($H$3,0,0,'Données projet'!$E$13+1,1))</f>
        <v>112.78807760743126</v>
      </c>
      <c r="CZ63" s="59">
        <f t="shared" si="42"/>
        <v>37.867745922003564</v>
      </c>
      <c r="DA63" s="15">
        <f>IF(ISNA(VLOOKUP(A63,'Données projet'!$A$139:$I$159,3,0)),0,VLOOKUP(A63,'Données projet'!$A$139:$I$159,3,0))</f>
        <v>3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205</v>
      </c>
      <c r="DM63" s="12">
        <f>VLOOKUP(A63,'Données projet'!$A$165:$I$185,9,0)</f>
        <v>4.4000000000000004</v>
      </c>
      <c r="DN63" s="12">
        <f t="array" ref="DN63">INDEX(DM:DM,MIN(IF(ISNUMBER(DM63:DM259),ROW(DM63:DM259),"")))</f>
        <v>4.4000000000000004</v>
      </c>
      <c r="DO63" s="12">
        <f>IF('Données projet'!$A$166&gt;35,DO62+DN63-DW62,IF(A63&lt;'Données projet'!$A$166,$DL$205^A63,IF(A63='Données projet'!$A$166,'Données projet'!$B$166,DO62+DN63-DW62)))</f>
        <v>205.00000000000003</v>
      </c>
      <c r="DP63" s="17">
        <f>DO63*VLOOKUP('Données projet'!$B$14,Paramètres!$A$1:$I$89,3,0)*VLOOKUP('Données projet'!$B$14,Paramètres!$A$1:$I$89,5,0)</f>
        <v>137.51400000000001</v>
      </c>
      <c r="DQ63" s="13">
        <f t="shared" si="43"/>
        <v>35.726905311681854</v>
      </c>
      <c r="DR63" s="20">
        <f t="shared" si="16"/>
        <v>301.72791008451253</v>
      </c>
      <c r="DS63" s="59">
        <f t="shared" si="17"/>
        <v>595.06124341784584</v>
      </c>
      <c r="DT63" s="59">
        <f ca="1">AVERAGE(OFFSET($DS$3,0,0,'Données projet'!$E$14+1,1))-AVERAGE(OFFSET($H$3,0,0,'Données projet'!$E$14+1,1))</f>
        <v>107.15837202366862</v>
      </c>
      <c r="DU63" s="59">
        <f t="shared" si="44"/>
        <v>139.67031833740026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20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2.4671634920041501</v>
      </c>
      <c r="EC63" s="21">
        <f>EXP(-LN(2)/2)*EC62+(1-EXP(-LN(2)/2))/(LN(2)/2)*DW63*DZ63*VLOOKUP('Données projet'!$B$14,Paramètres!$A$1:$I$89,3,0)*0.475*44/12</f>
        <v>2.0597764757707292E-4</v>
      </c>
      <c r="ED63" s="22">
        <f t="shared" si="18"/>
        <v>2.467369469651727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275.10000000000002</v>
      </c>
      <c r="EH63" s="12">
        <f>VLOOKUP(A63,'Données projet'!$A$191:$I$211,9,0)</f>
        <v>8</v>
      </c>
      <c r="EI63" s="12">
        <f t="array" ref="EI63">INDEX(EH:EH,MIN(IF(ISNUMBER(EH63:EH259),ROW(EH63:EH259),"")))</f>
        <v>8</v>
      </c>
      <c r="EJ63" s="12">
        <f>IF('Données projet'!$A$192&gt;35,EJ62+EI63-ER62,IF(A63&lt;'Données projet'!$A$192,$EG$205^A63,IF(A63='Données projet'!$A$192,'Données projet'!$B$192,EJ62+EI63-ER62)))</f>
        <v>275.09999999999997</v>
      </c>
      <c r="EK63" s="17">
        <f>EJ63*VLOOKUP('Données projet'!$B$15,Paramètres!$A$1:$I$89,3,0)*VLOOKUP('Données projet'!$B$15,Paramètres!$A$1:$I$89,5,0)</f>
        <v>128.74679999999998</v>
      </c>
      <c r="EL63" s="13">
        <f t="shared" si="45"/>
        <v>33.706618554384562</v>
      </c>
      <c r="EM63" s="20">
        <f t="shared" si="19"/>
        <v>282.93970398221973</v>
      </c>
      <c r="EN63" s="59">
        <f t="shared" si="20"/>
        <v>576.27303731555298</v>
      </c>
      <c r="EO63" s="59">
        <f ca="1">AVERAGE(OFFSET($EN$3,0,0,'Données projet'!$E$15+1,1))-AVERAGE(OFFSET($H$3,0,0,'Données projet'!$E$15+1,1))</f>
        <v>123.60520571614535</v>
      </c>
      <c r="EP63" s="59">
        <f t="shared" si="46"/>
        <v>119.00926870519527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46.3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0.47878981687721339</v>
      </c>
      <c r="EW63" s="21">
        <f>EXP(-LN(2)/25)*EW62+(1-EXP(-LN(2)/25))/(LN(2)/25)*Calculateur!ER63*Calculateur!ET63*VLOOKUP('Données projet'!$B$15,Paramètres!$A$1:$I$89,3,0)*0.475*44/12</f>
        <v>2.0792047722788829</v>
      </c>
      <c r="EX63" s="21">
        <f>EXP(-LN(2)/2)*EX62+(1-EXP(-LN(2)/2))/(LN(2)/2)*ER63*EU63*VLOOKUP('Données projet'!$B$15,Paramètres!$A$1:$I$89,3,0)*0.475*44/12</f>
        <v>1.865756375452437E-4</v>
      </c>
      <c r="EY63" s="22">
        <f t="shared" si="21"/>
        <v>2.5581811647936417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501</v>
      </c>
      <c r="FC63" s="12">
        <f>VLOOKUP(A63,'Données projet'!$A$217:$I$237,9,0)</f>
        <v>25.6</v>
      </c>
      <c r="FD63" s="12">
        <f t="array" ref="FD63">INDEX(FC:FC,MIN(IF(ISNUMBER(FC63:FC259),ROW(FC63:FC259),"")))</f>
        <v>25.6</v>
      </c>
      <c r="FE63" s="12">
        <f>IF('Données projet'!$A$218&gt;35,FE62+FD63-FM62,IF(A63&lt;'Données projet'!$A$218,$FB$205^A63,IF(A63='Données projet'!$A$218,'Données projet'!$B$218,FE62+FD63-FM62)))</f>
        <v>501.00000000000006</v>
      </c>
      <c r="FF63" s="17">
        <f>FE63*VLOOKUP('Données projet'!$B$16,Paramètres!$A$1:$I$89,3,0)*VLOOKUP('Données projet'!$B$16,Paramètres!$A$1:$I$89,5,0)</f>
        <v>240.98100000000005</v>
      </c>
      <c r="FG63" s="13">
        <f t="shared" si="47"/>
        <v>58.65054727602201</v>
      </c>
      <c r="FH63" s="20">
        <f t="shared" si="22"/>
        <v>521.85827817240499</v>
      </c>
      <c r="FI63" s="59">
        <f t="shared" si="23"/>
        <v>815.19161150573836</v>
      </c>
      <c r="FJ63" s="59">
        <f ca="1">AVERAGE(OFFSET($FI$3,0,0,'Données projet'!$E$16+1,1))-AVERAGE(OFFSET($H$3,0,0,'Données projet'!$E$16+1,1))</f>
        <v>197.66963254934603</v>
      </c>
      <c r="FK63" s="59">
        <f t="shared" si="48"/>
        <v>158.08388141976138</v>
      </c>
      <c r="FL63" s="15">
        <f>IF(ISNA(VLOOKUP(A63,'Données projet'!$A$217:$I$237,3,0)),0,VLOOKUP(A63,'Données projet'!$A$217:$I$237,3,0))</f>
        <v>4</v>
      </c>
      <c r="FM63" s="15">
        <f>IF(ISNA(VLOOKUP(A63,'Données projet'!$A$217:$I$237,4,0)),0,VLOOKUP(A63,'Données projet'!$A$217:$I$237,4,0))</f>
        <v>84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1.4723938812978163</v>
      </c>
      <c r="FR63" s="21">
        <f>EXP(-LN(2)/25)*FR62+(1-EXP(-LN(2)/25))/(LN(2)/25)*Calculateur!FM63*Calculateur!FO63*VLOOKUP('Données projet'!$B$16,Paramètres!$A$1:$I$89,3,0)*0.475*44/12</f>
        <v>2.3127588809280848</v>
      </c>
      <c r="FS63" s="21">
        <f>EXP(-LN(2)/2)*FS62+(1-EXP(-LN(2)/2))/(LN(2)/2)*FM63*FP63*VLOOKUP('Données projet'!$B$16,Paramètres!$A$1:$I$89,3,0)*0.475*44/12</f>
        <v>2.526238029075775E-4</v>
      </c>
      <c r="FT63" s="22">
        <f t="shared" si="24"/>
        <v>3.7854053860288088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324</v>
      </c>
      <c r="FX63" s="12">
        <f>VLOOKUP(A63,'Données projet'!$A$243:$I$263,9,0)</f>
        <v>9.6</v>
      </c>
      <c r="FY63" s="12">
        <f t="array" ref="FY63">INDEX(FX:FX,MIN(IF(ISNUMBER(FX63:FX259),ROW(FX63:FX259),"")))</f>
        <v>9.6</v>
      </c>
      <c r="FZ63" s="12">
        <f>IF('Données projet'!$A$244&gt;35,FZ62+FY63-GH62,IF(A63&lt;'Données projet'!$A$244,$FW$205^A63,IF(A63='Données projet'!$A$244,'Données projet'!$B$244,FZ62+FY63-GH62)))</f>
        <v>324.00000000000006</v>
      </c>
      <c r="GA63" s="17">
        <f>FZ63*VLOOKUP('Données projet'!$B$17,Paramètres!$A$1:$I$89,3,0)*VLOOKUP('Données projet'!$B$17,Paramètres!$A$1:$I$89,5,0)</f>
        <v>193.75200000000004</v>
      </c>
      <c r="GB63" s="13">
        <f t="shared" si="49"/>
        <v>48.368520355376113</v>
      </c>
      <c r="GC63" s="20">
        <f t="shared" si="25"/>
        <v>421.69323961894679</v>
      </c>
      <c r="GD63" s="59">
        <f t="shared" si="26"/>
        <v>715.02657295228005</v>
      </c>
      <c r="GE63" s="59">
        <f ca="1">AVERAGE(OFFSET($GD$3,0,0,'Données projet'!$E$17+1,1))-AVERAGE(OFFSET($H$3,0,0,'Données projet'!$E$17+1,1))</f>
        <v>165.39579887388538</v>
      </c>
      <c r="GF63" s="59">
        <f t="shared" si="50"/>
        <v>155.89639262545802</v>
      </c>
      <c r="GG63" s="15">
        <f>IF(ISNA(VLOOKUP(A63,'Données projet'!$A$243:$I$263,3,0)),0,VLOOKUP(A63,'Données projet'!$A$243:$I$263,3,0))</f>
        <v>4</v>
      </c>
      <c r="GH63" s="15">
        <f>IF(ISNA(VLOOKUP(A63,'Données projet'!$A$243:$I$263,4,0)),0,VLOOKUP(A63,'Données projet'!$A$243:$I$263,4,0))</f>
        <v>49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3.1728282397576373</v>
      </c>
      <c r="GN63" s="21">
        <f>EXP(-LN(2)/2)*GN62+(1-EXP(-LN(2)/2))/(LN(2)/2)*GH63*GK63*VLOOKUP('Données projet'!$B$17,Paramètres!$A$1:$I$89,3,0)*0.475*44/12</f>
        <v>4.2358507493215795E-4</v>
      </c>
      <c r="GO63" s="21">
        <f t="shared" si="27"/>
        <v>3.1732518248325694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162</v>
      </c>
      <c r="GS63" s="12">
        <f>VLOOKUP(A63,'Données projet'!$A$269:$I$289,9,0)</f>
        <v>5.5</v>
      </c>
      <c r="GT63" s="12">
        <f t="array" ref="GT63">INDEX(GS:GS,MIN(IF(ISNUMBER(GS63:GS259),ROW(GS63:GS259),"")))</f>
        <v>5.5</v>
      </c>
      <c r="GU63" s="12">
        <f>IF('Données projet'!$A$270&gt;35,GU62+GT63-HC62,IF(A63&lt;'Données projet'!$A$270,$GR$205^A63,IF(A63='Données projet'!$A$270,'Données projet'!$B$270,GU62+GT63-HC62)))</f>
        <v>161.99999999999997</v>
      </c>
      <c r="GV63" s="17">
        <f>GU63*VLOOKUP('Données projet'!$B$18,Paramètres!$A$1:$I$89,3,0)*VLOOKUP('Données projet'!$B$18,Paramètres!$A$1:$I$89,5,0)</f>
        <v>174.37679999999997</v>
      </c>
      <c r="GW63" s="13">
        <f t="shared" si="51"/>
        <v>44.06882624410639</v>
      </c>
      <c r="GX63" s="20">
        <f t="shared" si="28"/>
        <v>380.45946570848531</v>
      </c>
      <c r="GY63" s="59">
        <f t="shared" si="29"/>
        <v>673.79279904181863</v>
      </c>
      <c r="GZ63" s="59">
        <f ca="1">AVERAGE(OFFSET($GY$3,0,0,'Données projet'!$E$18+1,1))-AVERAGE(OFFSET($H$3,0,0,'Données projet'!$E$18+1,1))</f>
        <v>186.60545265015247</v>
      </c>
      <c r="HA63" s="59">
        <f t="shared" si="52"/>
        <v>69.239647548491234</v>
      </c>
      <c r="HB63" s="15">
        <f>IF(ISNA(VLOOKUP(A63,'Données projet'!$A$269:$I$289,3,0)),0,VLOOKUP(A63,'Données projet'!$A$269:$I$289,3,0))</f>
        <v>3</v>
      </c>
      <c r="HC63" s="15">
        <f>IF(ISNA(VLOOKUP(A63,'Données projet'!$A$269:$I$289,4,0)),0,VLOOKUP(A63,'Données projet'!$A$269:$I$289,4,0))</f>
        <v>28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0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0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10.6</v>
      </c>
      <c r="N64" s="13">
        <f>IF('Données projet'!$A$36&gt;35,N63+M64-V63,IF(A64&lt;'Données projet'!$A$36,$K$205^A64,IF(A64='Données projet'!$A$36,'Données projet'!$B$36,N63+M64-V63)))</f>
        <v>389.6</v>
      </c>
      <c r="O64" s="13">
        <f>N64*VLOOKUP('Données projet'!$B$9,Paramètres!$A$1:$I$89,3,0)*VLOOKUP('Données projet'!$B$9,Paramètres!$A$1:$I$89,5,0)</f>
        <v>217.78640000000004</v>
      </c>
      <c r="P64" s="13">
        <f t="shared" si="33"/>
        <v>53.633487897074971</v>
      </c>
      <c r="Q64" s="20">
        <f t="shared" si="53"/>
        <v>472.72297142073893</v>
      </c>
      <c r="R64" s="59">
        <f t="shared" si="0"/>
        <v>766.05630475407224</v>
      </c>
      <c r="S64" s="59">
        <f ca="1">AVERAGE(OFFSET($R$3,0,0,'Données projet'!$E$9+1,1))-AVERAGE(OFFSET($H$3,0,0,'Données projet'!$E$9+1,1))</f>
        <v>235.10258076192054</v>
      </c>
      <c r="T64" s="59">
        <f t="shared" si="34"/>
        <v>233.47316052603765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1.8541957115611833</v>
      </c>
      <c r="AA64" s="21">
        <f>EXP(-LN(2)/25)*AA63+(1-EXP(-LN(2)/25))/(LN(2)/25)*Calculateur!V64*Calculateur!X64*VLOOKUP('Données projet'!$B$9,Paramètres!$A$1:$I$89,3,0)*0.475*44/12</f>
        <v>7.8048260801587821</v>
      </c>
      <c r="AB64" s="21">
        <f>EXP(-LN(2)/2)*AB63+(1-EXP(-LN(2)/2))/(LN(2)/2)*V64*Y64*VLOOKUP('Données projet'!$B$9,Paramètres!$A$1:$I$89,3,0)*0.475*44/12</f>
        <v>5.2053489875593698E-4</v>
      </c>
      <c r="AC64" s="22">
        <f t="shared" si="3"/>
        <v>9.6595423266187215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7.1</v>
      </c>
      <c r="AI64" s="13">
        <f>IF('Données projet'!$A$62&gt;35,AI63+AH64-AQ63,IF(A64&lt;'Données projet'!$A$62,$AF$205^A64,IF(A64='Données projet'!$A$62,'Données projet'!$B$62,AI63+AH64-AQ63)))</f>
        <v>290.0999999999998</v>
      </c>
      <c r="AJ64" s="13">
        <f>AI64*VLOOKUP('Données projet'!$B$10,Paramètres!$A$1:$I$89,3,0)*VLOOKUP('Données projet'!$B$10,Paramètres!$A$1:$I$89,5,0)</f>
        <v>158.39459999999988</v>
      </c>
      <c r="AK64" s="13">
        <f t="shared" si="35"/>
        <v>40.480200706834822</v>
      </c>
      <c r="AL64" s="20">
        <f t="shared" si="4"/>
        <v>346.37361123107047</v>
      </c>
      <c r="AM64" s="59">
        <f t="shared" si="5"/>
        <v>639.70694456440378</v>
      </c>
      <c r="AN64" s="59">
        <f ca="1">AVERAGE(OFFSET($AM$3,0,0,'Données projet'!$E$10+1,1))-AVERAGE(OFFSET($H$3,0,0,'Données projet'!$E$10+1,1))</f>
        <v>168.72306536277267</v>
      </c>
      <c r="AO64" s="59">
        <f t="shared" si="36"/>
        <v>203.35476578922339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1.6464317100543282</v>
      </c>
      <c r="AV64" s="21">
        <f>EXP(-LN(2)/25)*AV63+(1-EXP(-LN(2)/25))/(LN(2)/25)*Calculateur!AQ64*Calculateur!AS64*VLOOKUP('Données projet'!$B$10,Paramètres!$A$1:$I$89,3,0)*0.475*44/12</f>
        <v>9.7312296244778587</v>
      </c>
      <c r="AW64" s="21">
        <f>EXP(-LN(2)/2)*AW63+(1-EXP(-LN(2)/2))/(LN(2)/2)*AQ64*AT64*VLOOKUP('Données projet'!$B$10,Paramètres!$A$1:$I$89,3,0)*0.475*44/12</f>
        <v>4.3209831945552563E-4</v>
      </c>
      <c r="AX64" s="21">
        <f t="shared" si="6"/>
        <v>11.378093432851642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</v>
      </c>
      <c r="BD64" s="12">
        <f>IF('Données projet'!$A$88&gt;35,BD63+BC64-BL63,IF(A64&lt;'Données projet'!$A$88,$BA$205^A64,IF(A64='Données projet'!$A$88,'Données projet'!$B$88,BD63+BC64-BL63)))</f>
        <v>283.00000000000006</v>
      </c>
      <c r="BE64" s="13">
        <f>BD64*VLOOKUP('Données projet'!$B$11,Paramètres!$A$1:$I$89,3,0)*VLOOKUP('Données projet'!$B$11,Paramètres!$A$1:$I$89,5,0)</f>
        <v>169.23400000000007</v>
      </c>
      <c r="BF64" s="13">
        <f t="shared" si="37"/>
        <v>42.918420001269354</v>
      </c>
      <c r="BG64" s="20">
        <f t="shared" si="7"/>
        <v>369.49879816887756</v>
      </c>
      <c r="BH64" s="59">
        <f t="shared" si="8"/>
        <v>662.83213150221081</v>
      </c>
      <c r="BI64" s="59">
        <f ca="1">AVERAGE(OFFSET($BH$3,0,0,'Données projet'!$E$11+1,1))-AVERAGE(OFFSET($H$3,0,0,'Données projet'!$E$11+1,1))</f>
        <v>165.39579887388538</v>
      </c>
      <c r="BJ64" s="59">
        <f t="shared" si="38"/>
        <v>155.89639262545802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3.0860670846896792</v>
      </c>
      <c r="BR64" s="21">
        <f>EXP(-LN(2)/2)*BR63+(1-EXP(-LN(2)/2))/(LN(2)/2)*BL64*BO64*VLOOKUP('Données projet'!$B$11,Paramètres!$A$1:$I$89,3,0)*0.475*44/12</f>
        <v>2.9951987889394074E-4</v>
      </c>
      <c r="BS64" s="22">
        <f t="shared" si="9"/>
        <v>3.0863666045685729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139.19999999999996</v>
      </c>
      <c r="BZ64" s="13">
        <f>BY64*VLOOKUP('Données projet'!$B$12,Paramètres!$A$1:$I$89,3,0)*VLOOKUP('Données projet'!$B$12,Paramètres!$A$1:$I$89,5,0)</f>
        <v>134.63423999999998</v>
      </c>
      <c r="CA64" s="13">
        <f t="shared" si="39"/>
        <v>35.065003380589694</v>
      </c>
      <c r="CB64" s="20">
        <f t="shared" si="10"/>
        <v>295.55951555452697</v>
      </c>
      <c r="CC64" s="59">
        <f t="shared" si="11"/>
        <v>588.89284888786028</v>
      </c>
      <c r="CD64" s="59">
        <f ca="1">AVERAGE(OFFSET($CC$3,0,0,'Données projet'!$E$12+1,1))-AVERAGE(OFFSET($H$3,0,0,'Données projet'!$E$12+1,1))</f>
        <v>156.26368818265388</v>
      </c>
      <c r="CE64" s="59">
        <f t="shared" si="40"/>
        <v>56.347130462109817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139.19999999999996</v>
      </c>
      <c r="CU64" s="17">
        <f>CT64*VLOOKUP('Données projet'!$B$13,Paramètres!$A$1:$I$89,3,0)*VLOOKUP('Données projet'!$B$13,Paramètres!$A$1:$I$89,5,0)</f>
        <v>112.91903999999998</v>
      </c>
      <c r="CV64" s="13">
        <f t="shared" si="41"/>
        <v>30.017681323900081</v>
      </c>
      <c r="CW64" s="20">
        <f t="shared" si="13"/>
        <v>248.94812297245923</v>
      </c>
      <c r="CX64" s="59">
        <f t="shared" si="14"/>
        <v>542.28145630579252</v>
      </c>
      <c r="CY64" s="59">
        <f ca="1">AVERAGE(OFFSET($CX$3,0,0,'Données projet'!$E$13+1,1))-AVERAGE(OFFSET($H$3,0,0,'Données projet'!$E$13+1,1))</f>
        <v>112.78807760743126</v>
      </c>
      <c r="CZ64" s="59">
        <f t="shared" si="42"/>
        <v>37.867745922003564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3.2</v>
      </c>
      <c r="DO64" s="12">
        <f>IF('Données projet'!$A$166&gt;35,DO63+DN64-DW63,IF(A64&lt;'Données projet'!$A$166,$DL$205^A64,IF(A64='Données projet'!$A$166,'Données projet'!$B$166,DO63+DN64-DW63)))</f>
        <v>188.20000000000002</v>
      </c>
      <c r="DP64" s="17">
        <f>DO64*VLOOKUP('Données projet'!$B$14,Paramètres!$A$1:$I$89,3,0)*VLOOKUP('Données projet'!$B$14,Paramètres!$A$1:$I$89,5,0)</f>
        <v>126.24456000000001</v>
      </c>
      <c r="DQ64" s="13">
        <f t="shared" si="43"/>
        <v>33.127112513495817</v>
      </c>
      <c r="DR64" s="20">
        <f t="shared" si="16"/>
        <v>277.57232962767188</v>
      </c>
      <c r="DS64" s="59">
        <f t="shared" si="17"/>
        <v>570.90566296100519</v>
      </c>
      <c r="DT64" s="59">
        <f ca="1">AVERAGE(OFFSET($DS$3,0,0,'Données projet'!$E$14+1,1))-AVERAGE(OFFSET($H$3,0,0,'Données projet'!$E$14+1,1))</f>
        <v>107.15837202366862</v>
      </c>
      <c r="DU64" s="59">
        <f t="shared" si="44"/>
        <v>139.67031833740026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2.3996987765728073</v>
      </c>
      <c r="EC64" s="21">
        <f>EXP(-LN(2)/2)*EC63+(1-EXP(-LN(2)/2))/(LN(2)/2)*DW64*DZ64*VLOOKUP('Données projet'!$B$14,Paramètres!$A$1:$I$89,3,0)*0.475*44/12</f>
        <v>1.456481913746011E-4</v>
      </c>
      <c r="ED64" s="22">
        <f t="shared" si="18"/>
        <v>2.3998444247641819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7.5</v>
      </c>
      <c r="EJ64" s="12">
        <f>IF('Données projet'!$A$192&gt;35,EJ63+EI64-ER63,IF(A64&lt;'Données projet'!$A$192,$EG$205^A64,IF(A64='Données projet'!$A$192,'Données projet'!$B$192,EJ63+EI64-ER63)))</f>
        <v>236.29999999999995</v>
      </c>
      <c r="EK64" s="17">
        <f>EJ64*VLOOKUP('Données projet'!$B$15,Paramètres!$A$1:$I$89,3,0)*VLOOKUP('Données projet'!$B$15,Paramètres!$A$1:$I$89,5,0)</f>
        <v>110.58839999999998</v>
      </c>
      <c r="EL64" s="13">
        <f t="shared" si="45"/>
        <v>29.469573129181672</v>
      </c>
      <c r="EM64" s="20">
        <f t="shared" si="19"/>
        <v>243.93430319999138</v>
      </c>
      <c r="EN64" s="59">
        <f t="shared" si="20"/>
        <v>537.26763653332466</v>
      </c>
      <c r="EO64" s="59">
        <f ca="1">AVERAGE(OFFSET($EN$3,0,0,'Données projet'!$E$15+1,1))-AVERAGE(OFFSET($H$3,0,0,'Données projet'!$E$15+1,1))</f>
        <v>123.60520571614535</v>
      </c>
      <c r="EP64" s="59">
        <f t="shared" si="46"/>
        <v>119.00926870519527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0.46940104060120369</v>
      </c>
      <c r="EW64" s="21">
        <f>EXP(-LN(2)/25)*EW63+(1-EXP(-LN(2)/25))/(LN(2)/25)*Calculateur!ER64*Calculateur!ET64*VLOOKUP('Données projet'!$B$15,Paramètres!$A$1:$I$89,3,0)*0.475*44/12</f>
        <v>2.0223488084402899</v>
      </c>
      <c r="EX64" s="21">
        <f>EXP(-LN(2)/2)*EX63+(1-EXP(-LN(2)/2))/(LN(2)/2)*ER64*EU64*VLOOKUP('Données projet'!$B$15,Paramètres!$A$1:$I$89,3,0)*0.475*44/12</f>
        <v>1.3192889851244523E-4</v>
      </c>
      <c r="EY64" s="22">
        <f t="shared" si="21"/>
        <v>2.491881777940006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13.3</v>
      </c>
      <c r="FE64" s="12">
        <f>IF('Données projet'!$A$218&gt;35,FE63+FD64-FM63,IF(A64&lt;'Données projet'!$A$218,$FB$205^A64,IF(A64='Données projet'!$A$218,'Données projet'!$B$218,FE63+FD64-FM63)))</f>
        <v>430.30000000000007</v>
      </c>
      <c r="FF64" s="17">
        <f>FE64*VLOOKUP('Données projet'!$B$16,Paramètres!$A$1:$I$89,3,0)*VLOOKUP('Données projet'!$B$16,Paramètres!$A$1:$I$89,5,0)</f>
        <v>206.97430000000003</v>
      </c>
      <c r="FG64" s="13">
        <f t="shared" si="47"/>
        <v>51.273836684204063</v>
      </c>
      <c r="FH64" s="20">
        <f t="shared" si="22"/>
        <v>449.78217139165537</v>
      </c>
      <c r="FI64" s="59">
        <f t="shared" si="23"/>
        <v>743.11550472498868</v>
      </c>
      <c r="FJ64" s="59">
        <f ca="1">AVERAGE(OFFSET($FI$3,0,0,'Données projet'!$E$16+1,1))-AVERAGE(OFFSET($H$3,0,0,'Données projet'!$E$16+1,1))</f>
        <v>197.66963254934603</v>
      </c>
      <c r="FK64" s="59">
        <f t="shared" si="48"/>
        <v>158.08388141976138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1.4435211353571566</v>
      </c>
      <c r="FR64" s="21">
        <f>EXP(-LN(2)/25)*FR63+(1-EXP(-LN(2)/25))/(LN(2)/25)*Calculateur!FM64*Calculateur!FO64*VLOOKUP('Données projet'!$B$16,Paramètres!$A$1:$I$89,3,0)*0.475*44/12</f>
        <v>2.2495163677064025</v>
      </c>
      <c r="FS64" s="21">
        <f>EXP(-LN(2)/2)*FS63+(1-EXP(-LN(2)/2))/(LN(2)/2)*FM64*FP64*VLOOKUP('Données projet'!$B$16,Paramètres!$A$1:$I$89,3,0)*0.475*44/12</f>
        <v>1.7863200412508192E-4</v>
      </c>
      <c r="FT64" s="22">
        <f t="shared" si="24"/>
        <v>3.6932161350676842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8</v>
      </c>
      <c r="FZ64" s="12">
        <f>IF('Données projet'!$A$244&gt;35,FZ63+FY64-GH63,IF(A64&lt;'Données projet'!$A$244,$FW$205^A64,IF(A64='Données projet'!$A$244,'Données projet'!$B$244,FZ63+FY64-GH63)))</f>
        <v>283.00000000000006</v>
      </c>
      <c r="GA64" s="17">
        <f>FZ64*VLOOKUP('Données projet'!$B$17,Paramètres!$A$1:$I$89,3,0)*VLOOKUP('Données projet'!$B$17,Paramètres!$A$1:$I$89,5,0)</f>
        <v>169.23400000000007</v>
      </c>
      <c r="GB64" s="13">
        <f t="shared" si="49"/>
        <v>42.918420001269354</v>
      </c>
      <c r="GC64" s="20">
        <f t="shared" si="25"/>
        <v>369.49879816887756</v>
      </c>
      <c r="GD64" s="59">
        <f t="shared" si="26"/>
        <v>662.83213150221081</v>
      </c>
      <c r="GE64" s="59">
        <f ca="1">AVERAGE(OFFSET($GD$3,0,0,'Données projet'!$E$17+1,1))-AVERAGE(OFFSET($H$3,0,0,'Données projet'!$E$17+1,1))</f>
        <v>165.39579887388538</v>
      </c>
      <c r="GF64" s="59">
        <f t="shared" si="50"/>
        <v>155.89639262545802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3.0860670846896792</v>
      </c>
      <c r="GN64" s="21">
        <f>EXP(-LN(2)/2)*GN63+(1-EXP(-LN(2)/2))/(LN(2)/2)*GH64*GK64*VLOOKUP('Données projet'!$B$17,Paramètres!$A$1:$I$89,3,0)*0.475*44/12</f>
        <v>2.9951987889394074E-4</v>
      </c>
      <c r="GO64" s="21">
        <f t="shared" si="27"/>
        <v>3.0863666045685729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5.2</v>
      </c>
      <c r="GU64" s="12">
        <f>IF('Données projet'!$A$270&gt;35,GU63+GT64-HC63,IF(A64&lt;'Données projet'!$A$270,$GR$205^A64,IF(A64='Données projet'!$A$270,'Données projet'!$B$270,GU63+GT64-HC63)))</f>
        <v>139.19999999999996</v>
      </c>
      <c r="GV64" s="17">
        <f>GU64*VLOOKUP('Données projet'!$B$18,Paramètres!$A$1:$I$89,3,0)*VLOOKUP('Données projet'!$B$18,Paramètres!$A$1:$I$89,5,0)</f>
        <v>149.83487999999994</v>
      </c>
      <c r="GW64" s="13">
        <f t="shared" si="51"/>
        <v>38.541059103316854</v>
      </c>
      <c r="GX64" s="20">
        <f t="shared" si="28"/>
        <v>328.08809393827676</v>
      </c>
      <c r="GY64" s="59">
        <f t="shared" si="29"/>
        <v>621.42142727161013</v>
      </c>
      <c r="GZ64" s="59">
        <f ca="1">AVERAGE(OFFSET($GY$3,0,0,'Données projet'!$E$18+1,1))-AVERAGE(OFFSET($H$3,0,0,'Données projet'!$E$18+1,1))</f>
        <v>186.60545265015247</v>
      </c>
      <c r="HA64" s="59">
        <f t="shared" si="52"/>
        <v>69.239647548491234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0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0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10.6</v>
      </c>
      <c r="N65" s="13">
        <f>IF('Données projet'!$A$36&gt;35,N64+M65-V64,IF(A65&lt;'Données projet'!$A$36,$K$205^A65,IF(A65='Données projet'!$A$36,'Données projet'!$B$36,N64+M65-V64)))</f>
        <v>400.20000000000005</v>
      </c>
      <c r="O65" s="13">
        <f>N65*VLOOKUP('Données projet'!$B$9,Paramètres!$A$1:$I$89,3,0)*VLOOKUP('Données projet'!$B$9,Paramètres!$A$1:$I$89,5,0)</f>
        <v>223.71180000000001</v>
      </c>
      <c r="P65" s="13">
        <f t="shared" si="33"/>
        <v>54.920839869581336</v>
      </c>
      <c r="Q65" s="20">
        <f t="shared" si="53"/>
        <v>485.28518110618751</v>
      </c>
      <c r="R65" s="59">
        <f t="shared" si="0"/>
        <v>778.61851443952082</v>
      </c>
      <c r="S65" s="59">
        <f ca="1">AVERAGE(OFFSET($R$3,0,0,'Données projet'!$E$9+1,1))-AVERAGE(OFFSET($H$3,0,0,'Données projet'!$E$9+1,1))</f>
        <v>235.10258076192054</v>
      </c>
      <c r="T65" s="59">
        <f t="shared" si="34"/>
        <v>233.47316052603765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1.8178360646051808</v>
      </c>
      <c r="AA65" s="21">
        <f>EXP(-LN(2)/25)*AA64+(1-EXP(-LN(2)/25))/(LN(2)/25)*Calculateur!V65*Calculateur!X65*VLOOKUP('Données projet'!$B$9,Paramètres!$A$1:$I$89,3,0)*0.475*44/12</f>
        <v>7.5914027005588745</v>
      </c>
      <c r="AB65" s="21">
        <f>EXP(-LN(2)/2)*AB64+(1-EXP(-LN(2)/2))/(LN(2)/2)*V65*Y65*VLOOKUP('Données projet'!$B$9,Paramètres!$A$1:$I$89,3,0)*0.475*44/12</f>
        <v>3.6807375675457601E-4</v>
      </c>
      <c r="AC65" s="22">
        <f t="shared" si="3"/>
        <v>9.4096068389208103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7.1</v>
      </c>
      <c r="AI65" s="13">
        <f>IF('Données projet'!$A$62&gt;35,AI64+AH65-AQ64,IF(A65&lt;'Données projet'!$A$62,$AF$205^A65,IF(A65='Données projet'!$A$62,'Données projet'!$B$62,AI64+AH65-AQ64)))</f>
        <v>297.19999999999982</v>
      </c>
      <c r="AJ65" s="13">
        <f>AI65*VLOOKUP('Données projet'!$B$10,Paramètres!$A$1:$I$89,3,0)*VLOOKUP('Données projet'!$B$10,Paramètres!$A$1:$I$89,5,0)</f>
        <v>162.27119999999988</v>
      </c>
      <c r="AK65" s="13">
        <f t="shared" si="35"/>
        <v>41.354369909446504</v>
      </c>
      <c r="AL65" s="20">
        <f t="shared" si="4"/>
        <v>354.64786759228576</v>
      </c>
      <c r="AM65" s="59">
        <f t="shared" si="5"/>
        <v>647.98120092561908</v>
      </c>
      <c r="AN65" s="59">
        <f ca="1">AVERAGE(OFFSET($AM$3,0,0,'Données projet'!$E$10+1,1))-AVERAGE(OFFSET($H$3,0,0,'Données projet'!$E$10+1,1))</f>
        <v>168.72306536277267</v>
      </c>
      <c r="AO65" s="59">
        <f t="shared" si="36"/>
        <v>203.35476578922339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1.6141461884443471</v>
      </c>
      <c r="AV65" s="21">
        <f>EXP(-LN(2)/25)*AV64+(1-EXP(-LN(2)/25))/(LN(2)/25)*Calculateur!AQ65*Calculateur!AS65*VLOOKUP('Données projet'!$B$10,Paramètres!$A$1:$I$89,3,0)*0.475*44/12</f>
        <v>9.4651286386533862</v>
      </c>
      <c r="AW65" s="21">
        <f>EXP(-LN(2)/2)*AW64+(1-EXP(-LN(2)/2))/(LN(2)/2)*AQ65*AT65*VLOOKUP('Données projet'!$B$10,Paramètres!$A$1:$I$89,3,0)*0.475*44/12</f>
        <v>3.0553965182631326E-4</v>
      </c>
      <c r="AX65" s="21">
        <f t="shared" si="6"/>
        <v>11.07958036674956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</v>
      </c>
      <c r="BD65" s="12">
        <f>IF('Données projet'!$A$88&gt;35,BD64+BC65-BL64,IF(A65&lt;'Données projet'!$A$88,$BA$205^A65,IF(A65='Données projet'!$A$88,'Données projet'!$B$88,BD64+BC65-BL64)))</f>
        <v>291.00000000000006</v>
      </c>
      <c r="BE65" s="13">
        <f>BD65*VLOOKUP('Données projet'!$B$11,Paramètres!$A$1:$I$89,3,0)*VLOOKUP('Données projet'!$B$11,Paramètres!$A$1:$I$89,5,0)</f>
        <v>174.01800000000006</v>
      </c>
      <c r="BF65" s="13">
        <f t="shared" si="37"/>
        <v>43.988694800618951</v>
      </c>
      <c r="BG65" s="20">
        <f t="shared" si="7"/>
        <v>379.69499344441147</v>
      </c>
      <c r="BH65" s="59">
        <f t="shared" si="8"/>
        <v>673.02832677774472</v>
      </c>
      <c r="BI65" s="59">
        <f ca="1">AVERAGE(OFFSET($BH$3,0,0,'Données projet'!$E$11+1,1))-AVERAGE(OFFSET($H$3,0,0,'Données projet'!$E$11+1,1))</f>
        <v>165.39579887388538</v>
      </c>
      <c r="BJ65" s="59">
        <f t="shared" si="38"/>
        <v>155.89639262545802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3.0016784179696252</v>
      </c>
      <c r="BR65" s="21">
        <f>EXP(-LN(2)/2)*BR64+(1-EXP(-LN(2)/2))/(LN(2)/2)*BL65*BO65*VLOOKUP('Données projet'!$B$11,Paramètres!$A$1:$I$89,3,0)*0.475*44/12</f>
        <v>2.1179253746607897E-4</v>
      </c>
      <c r="BS65" s="22">
        <f t="shared" si="9"/>
        <v>3.0018902105070913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144.39999999999995</v>
      </c>
      <c r="BZ65" s="13">
        <f>BY65*VLOOKUP('Données projet'!$B$12,Paramètres!$A$1:$I$89,3,0)*VLOOKUP('Données projet'!$B$12,Paramètres!$A$1:$I$89,5,0)</f>
        <v>139.66367999999994</v>
      </c>
      <c r="CA65" s="13">
        <f t="shared" si="39"/>
        <v>36.219948524065416</v>
      </c>
      <c r="CB65" s="20">
        <f t="shared" si="10"/>
        <v>306.33065301274718</v>
      </c>
      <c r="CC65" s="59">
        <f t="shared" si="11"/>
        <v>599.66398634608049</v>
      </c>
      <c r="CD65" s="59">
        <f ca="1">AVERAGE(OFFSET($CC$3,0,0,'Données projet'!$E$12+1,1))-AVERAGE(OFFSET($H$3,0,0,'Données projet'!$E$12+1,1))</f>
        <v>156.26368818265388</v>
      </c>
      <c r="CE65" s="59">
        <f t="shared" si="40"/>
        <v>56.347130462109817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144.39999999999995</v>
      </c>
      <c r="CU65" s="17">
        <f>CT65*VLOOKUP('Données projet'!$B$13,Paramètres!$A$1:$I$89,3,0)*VLOOKUP('Données projet'!$B$13,Paramètres!$A$1:$I$89,5,0)</f>
        <v>117.13727999999998</v>
      </c>
      <c r="CV65" s="13">
        <f t="shared" si="41"/>
        <v>31.006381507018567</v>
      </c>
      <c r="CW65" s="20">
        <f t="shared" si="13"/>
        <v>258.01687712472398</v>
      </c>
      <c r="CX65" s="59">
        <f t="shared" si="14"/>
        <v>551.35021045805729</v>
      </c>
      <c r="CY65" s="59">
        <f ca="1">AVERAGE(OFFSET($CX$3,0,0,'Données projet'!$E$13+1,1))-AVERAGE(OFFSET($H$3,0,0,'Données projet'!$E$13+1,1))</f>
        <v>112.78807760743126</v>
      </c>
      <c r="CZ65" s="59">
        <f t="shared" si="42"/>
        <v>37.867745922003564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3.2</v>
      </c>
      <c r="DO65" s="12">
        <f>IF('Données projet'!$A$166&gt;35,DO64+DN65-DW64,IF(A65&lt;'Données projet'!$A$166,$DL$205^A65,IF(A65='Données projet'!$A$166,'Données projet'!$B$166,DO64+DN65-DW64)))</f>
        <v>191.4</v>
      </c>
      <c r="DP65" s="17">
        <f>DO65*VLOOKUP('Données projet'!$B$14,Paramètres!$A$1:$I$89,3,0)*VLOOKUP('Données projet'!$B$14,Paramètres!$A$1:$I$89,5,0)</f>
        <v>128.39112</v>
      </c>
      <c r="DQ65" s="13">
        <f t="shared" si="43"/>
        <v>33.624325384808827</v>
      </c>
      <c r="DR65" s="20">
        <f t="shared" si="16"/>
        <v>282.17690071187536</v>
      </c>
      <c r="DS65" s="59">
        <f t="shared" si="17"/>
        <v>575.51023404520868</v>
      </c>
      <c r="DT65" s="59">
        <f ca="1">AVERAGE(OFFSET($DS$3,0,0,'Données projet'!$E$14+1,1))-AVERAGE(OFFSET($H$3,0,0,'Données projet'!$E$14+1,1))</f>
        <v>107.15837202366862</v>
      </c>
      <c r="DU65" s="59">
        <f t="shared" si="44"/>
        <v>139.67031833740026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2.3340788873327498</v>
      </c>
      <c r="EC65" s="21">
        <f>EXP(-LN(2)/2)*EC64+(1-EXP(-LN(2)/2))/(LN(2)/2)*DW65*DZ65*VLOOKUP('Données projet'!$B$14,Paramètres!$A$1:$I$89,3,0)*0.475*44/12</f>
        <v>1.0298882378853646E-4</v>
      </c>
      <c r="ED65" s="22">
        <f t="shared" si="18"/>
        <v>2.3341818761565385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7.5</v>
      </c>
      <c r="EJ65" s="12">
        <f>IF('Données projet'!$A$192&gt;35,EJ64+EI65-ER64,IF(A65&lt;'Données projet'!$A$192,$EG$205^A65,IF(A65='Données projet'!$A$192,'Données projet'!$B$192,EJ64+EI65-ER64)))</f>
        <v>243.79999999999995</v>
      </c>
      <c r="EK65" s="17">
        <f>EJ65*VLOOKUP('Données projet'!$B$15,Paramètres!$A$1:$I$89,3,0)*VLOOKUP('Données projet'!$B$15,Paramètres!$A$1:$I$89,5,0)</f>
        <v>114.09839999999998</v>
      </c>
      <c r="EL65" s="13">
        <f t="shared" si="45"/>
        <v>30.294534186150837</v>
      </c>
      <c r="EM65" s="20">
        <f t="shared" si="19"/>
        <v>251.48436037421268</v>
      </c>
      <c r="EN65" s="59">
        <f t="shared" si="20"/>
        <v>544.81769370754603</v>
      </c>
      <c r="EO65" s="59">
        <f ca="1">AVERAGE(OFFSET($EN$3,0,0,'Données projet'!$E$15+1,1))-AVERAGE(OFFSET($H$3,0,0,'Données projet'!$E$15+1,1))</f>
        <v>123.60520571614535</v>
      </c>
      <c r="EP65" s="59">
        <f t="shared" si="46"/>
        <v>119.00926870519527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0.46019637250137846</v>
      </c>
      <c r="EW65" s="21">
        <f>EXP(-LN(2)/25)*EW64+(1-EXP(-LN(2)/25))/(LN(2)/25)*Calculateur!ER65*Calculateur!ET65*VLOOKUP('Données projet'!$B$15,Paramètres!$A$1:$I$89,3,0)*0.475*44/12</f>
        <v>1.9670475739227884</v>
      </c>
      <c r="EX65" s="21">
        <f>EXP(-LN(2)/2)*EX64+(1-EXP(-LN(2)/2))/(LN(2)/2)*ER65*EU65*VLOOKUP('Données projet'!$B$15,Paramètres!$A$1:$I$89,3,0)*0.475*44/12</f>
        <v>9.3287818772621849E-5</v>
      </c>
      <c r="EY65" s="22">
        <f t="shared" si="21"/>
        <v>2.4273372342429393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13.3</v>
      </c>
      <c r="FE65" s="12">
        <f>IF('Données projet'!$A$218&gt;35,FE64+FD65-FM64,IF(A65&lt;'Données projet'!$A$218,$FB$205^A65,IF(A65='Données projet'!$A$218,'Données projet'!$B$218,FE64+FD65-FM64)))</f>
        <v>443.60000000000008</v>
      </c>
      <c r="FF65" s="17">
        <f>FE65*VLOOKUP('Données projet'!$B$16,Paramètres!$A$1:$I$89,3,0)*VLOOKUP('Données projet'!$B$16,Paramètres!$A$1:$I$89,5,0)</f>
        <v>213.37160000000006</v>
      </c>
      <c r="FG65" s="13">
        <f t="shared" si="47"/>
        <v>52.671680747601251</v>
      </c>
      <c r="FH65" s="20">
        <f t="shared" si="22"/>
        <v>463.35871396873898</v>
      </c>
      <c r="FI65" s="59">
        <f t="shared" si="23"/>
        <v>756.6920473020723</v>
      </c>
      <c r="FJ65" s="59">
        <f ca="1">AVERAGE(OFFSET($FI$3,0,0,'Données projet'!$E$16+1,1))-AVERAGE(OFFSET($H$3,0,0,'Données projet'!$E$16+1,1))</f>
        <v>197.66963254934603</v>
      </c>
      <c r="FK65" s="59">
        <f t="shared" si="48"/>
        <v>158.08388141976138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1.415214566353757</v>
      </c>
      <c r="FR65" s="21">
        <f>EXP(-LN(2)/25)*FR64+(1-EXP(-LN(2)/25))/(LN(2)/25)*Calculateur!FM65*Calculateur!FO65*VLOOKUP('Données projet'!$B$16,Paramètres!$A$1:$I$89,3,0)*0.475*44/12</f>
        <v>2.1880032243345466</v>
      </c>
      <c r="FS65" s="21">
        <f>EXP(-LN(2)/2)*FS64+(1-EXP(-LN(2)/2))/(LN(2)/2)*FM65*FP65*VLOOKUP('Données projet'!$B$16,Paramètres!$A$1:$I$89,3,0)*0.475*44/12</f>
        <v>1.2631190145378875E-4</v>
      </c>
      <c r="FT65" s="22">
        <f t="shared" si="24"/>
        <v>3.6033441025897575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8</v>
      </c>
      <c r="FZ65" s="12">
        <f>IF('Données projet'!$A$244&gt;35,FZ64+FY65-GH64,IF(A65&lt;'Données projet'!$A$244,$FW$205^A65,IF(A65='Données projet'!$A$244,'Données projet'!$B$244,FZ64+FY65-GH64)))</f>
        <v>291.00000000000006</v>
      </c>
      <c r="GA65" s="17">
        <f>FZ65*VLOOKUP('Données projet'!$B$17,Paramètres!$A$1:$I$89,3,0)*VLOOKUP('Données projet'!$B$17,Paramètres!$A$1:$I$89,5,0)</f>
        <v>174.01800000000006</v>
      </c>
      <c r="GB65" s="13">
        <f t="shared" si="49"/>
        <v>43.988694800618951</v>
      </c>
      <c r="GC65" s="20">
        <f t="shared" si="25"/>
        <v>379.69499344441147</v>
      </c>
      <c r="GD65" s="59">
        <f t="shared" si="26"/>
        <v>673.02832677774472</v>
      </c>
      <c r="GE65" s="59">
        <f ca="1">AVERAGE(OFFSET($GD$3,0,0,'Données projet'!$E$17+1,1))-AVERAGE(OFFSET($H$3,0,0,'Données projet'!$E$17+1,1))</f>
        <v>165.39579887388538</v>
      </c>
      <c r="GF65" s="59">
        <f t="shared" si="50"/>
        <v>155.89639262545802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3.0016784179696252</v>
      </c>
      <c r="GN65" s="21">
        <f>EXP(-LN(2)/2)*GN64+(1-EXP(-LN(2)/2))/(LN(2)/2)*GH65*GK65*VLOOKUP('Données projet'!$B$17,Paramètres!$A$1:$I$89,3,0)*0.475*44/12</f>
        <v>2.1179253746607897E-4</v>
      </c>
      <c r="GO65" s="21">
        <f t="shared" si="27"/>
        <v>3.0018902105070913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5.2</v>
      </c>
      <c r="GU65" s="12">
        <f>IF('Données projet'!$A$270&gt;35,GU64+GT65-HC64,IF(A65&lt;'Données projet'!$A$270,$GR$205^A65,IF(A65='Données projet'!$A$270,'Données projet'!$B$270,GU64+GT65-HC64)))</f>
        <v>144.39999999999995</v>
      </c>
      <c r="GV65" s="17">
        <f>GU65*VLOOKUP('Données projet'!$B$18,Paramètres!$A$1:$I$89,3,0)*VLOOKUP('Données projet'!$B$18,Paramètres!$A$1:$I$89,5,0)</f>
        <v>155.43215999999993</v>
      </c>
      <c r="GW65" s="13">
        <f t="shared" si="51"/>
        <v>39.810495998920487</v>
      </c>
      <c r="GX65" s="20">
        <f t="shared" si="28"/>
        <v>340.04762586478643</v>
      </c>
      <c r="GY65" s="59">
        <f t="shared" si="29"/>
        <v>633.38095919811974</v>
      </c>
      <c r="GZ65" s="59">
        <f ca="1">AVERAGE(OFFSET($GY$3,0,0,'Données projet'!$E$18+1,1))-AVERAGE(OFFSET($H$3,0,0,'Données projet'!$E$18+1,1))</f>
        <v>186.60545265015247</v>
      </c>
      <c r="HA65" s="59">
        <f t="shared" si="52"/>
        <v>69.239647548491234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0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0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10.6</v>
      </c>
      <c r="N66" s="13">
        <f>IF('Données projet'!$A$36&gt;35,N65+M66-V65,IF(A66&lt;'Données projet'!$A$36,$K$205^A66,IF(A66='Données projet'!$A$36,'Données projet'!$B$36,N65+M66-V65)))</f>
        <v>410.80000000000007</v>
      </c>
      <c r="O66" s="13">
        <f>N66*VLOOKUP('Données projet'!$B$9,Paramètres!$A$1:$I$89,3,0)*VLOOKUP('Données projet'!$B$9,Paramètres!$A$1:$I$89,5,0)</f>
        <v>229.63720000000006</v>
      </c>
      <c r="P66" s="13">
        <f t="shared" si="33"/>
        <v>56.204228482988938</v>
      </c>
      <c r="Q66" s="20">
        <f t="shared" si="53"/>
        <v>497.84048794120577</v>
      </c>
      <c r="R66" s="59">
        <f t="shared" si="0"/>
        <v>791.17382127453902</v>
      </c>
      <c r="S66" s="59">
        <f ca="1">AVERAGE(OFFSET($R$3,0,0,'Données projet'!$E$9+1,1))-AVERAGE(OFFSET($H$3,0,0,'Données projet'!$E$9+1,1))</f>
        <v>235.10258076192054</v>
      </c>
      <c r="T66" s="59">
        <f t="shared" si="34"/>
        <v>233.47316052603765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1.7821894081487906</v>
      </c>
      <c r="AA66" s="21">
        <f>EXP(-LN(2)/25)*AA65+(1-EXP(-LN(2)/25))/(LN(2)/25)*Calculateur!V66*Calculateur!X66*VLOOKUP('Données projet'!$B$9,Paramètres!$A$1:$I$89,3,0)*0.475*44/12</f>
        <v>7.3838153944975744</v>
      </c>
      <c r="AB66" s="21">
        <f>EXP(-LN(2)/2)*AB65+(1-EXP(-LN(2)/2))/(LN(2)/2)*V66*Y66*VLOOKUP('Données projet'!$B$9,Paramètres!$A$1:$I$89,3,0)*0.475*44/12</f>
        <v>2.6026744937796849E-4</v>
      </c>
      <c r="AC66" s="22">
        <f t="shared" si="3"/>
        <v>9.1662650700957418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7.1</v>
      </c>
      <c r="AI66" s="13">
        <f>IF('Données projet'!$A$62&gt;35,AI65+AH66-AQ65,IF(A66&lt;'Données projet'!$A$62,$AF$205^A66,IF(A66='Données projet'!$A$62,'Données projet'!$B$62,AI65+AH66-AQ65)))</f>
        <v>304.29999999999984</v>
      </c>
      <c r="AJ66" s="13">
        <f>AI66*VLOOKUP('Données projet'!$B$10,Paramètres!$A$1:$I$89,3,0)*VLOOKUP('Données projet'!$B$10,Paramètres!$A$1:$I$89,5,0)</f>
        <v>166.1477999999999</v>
      </c>
      <c r="AK66" s="13">
        <f t="shared" si="35"/>
        <v>42.226111395422294</v>
      </c>
      <c r="AL66" s="20">
        <f t="shared" si="4"/>
        <v>362.91789568036029</v>
      </c>
      <c r="AM66" s="59">
        <f t="shared" si="5"/>
        <v>656.25122901369355</v>
      </c>
      <c r="AN66" s="59">
        <f ca="1">AVERAGE(OFFSET($AM$3,0,0,'Données projet'!$E$10+1,1))-AVERAGE(OFFSET($H$3,0,0,'Données projet'!$E$10+1,1))</f>
        <v>168.72306536277267</v>
      </c>
      <c r="AO66" s="59">
        <f t="shared" si="36"/>
        <v>203.35476578922339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1.582493766220914</v>
      </c>
      <c r="AV66" s="21">
        <f>EXP(-LN(2)/25)*AV65+(1-EXP(-LN(2)/25))/(LN(2)/25)*Calculateur!AQ66*Calculateur!AS66*VLOOKUP('Données projet'!$B$10,Paramètres!$A$1:$I$89,3,0)*0.475*44/12</f>
        <v>9.206304198279927</v>
      </c>
      <c r="AW66" s="21">
        <f>EXP(-LN(2)/2)*AW65+(1-EXP(-LN(2)/2))/(LN(2)/2)*AQ66*AT66*VLOOKUP('Données projet'!$B$10,Paramètres!$A$1:$I$89,3,0)*0.475*44/12</f>
        <v>2.1604915972776281E-4</v>
      </c>
      <c r="AX66" s="21">
        <f t="shared" si="6"/>
        <v>10.789014013660568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</v>
      </c>
      <c r="BD66" s="12">
        <f>IF('Données projet'!$A$88&gt;35,BD65+BC66-BL65,IF(A66&lt;'Données projet'!$A$88,$BA$205^A66,IF(A66='Données projet'!$A$88,'Données projet'!$B$88,BD65+BC66-BL65)))</f>
        <v>299.00000000000006</v>
      </c>
      <c r="BE66" s="13">
        <f>BD66*VLOOKUP('Données projet'!$B$11,Paramètres!$A$1:$I$89,3,0)*VLOOKUP('Données projet'!$B$11,Paramètres!$A$1:$I$89,5,0)</f>
        <v>178.80200000000002</v>
      </c>
      <c r="BF66" s="13">
        <f t="shared" si="37"/>
        <v>45.055549739375941</v>
      </c>
      <c r="BG66" s="20">
        <f t="shared" si="7"/>
        <v>389.88523246274644</v>
      </c>
      <c r="BH66" s="59">
        <f t="shared" si="8"/>
        <v>683.2185657960797</v>
      </c>
      <c r="BI66" s="59">
        <f ca="1">AVERAGE(OFFSET($BH$3,0,0,'Données projet'!$E$11+1,1))-AVERAGE(OFFSET($H$3,0,0,'Données projet'!$E$11+1,1))</f>
        <v>165.39579887388538</v>
      </c>
      <c r="BJ66" s="59">
        <f t="shared" si="38"/>
        <v>155.89639262545802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2.9195973637788382</v>
      </c>
      <c r="BR66" s="21">
        <f>EXP(-LN(2)/2)*BR65+(1-EXP(-LN(2)/2))/(LN(2)/2)*BL66*BO66*VLOOKUP('Données projet'!$B$11,Paramètres!$A$1:$I$89,3,0)*0.475*44/12</f>
        <v>1.4975993944697037E-4</v>
      </c>
      <c r="BS66" s="22">
        <f t="shared" si="9"/>
        <v>2.919747123718285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149.59999999999994</v>
      </c>
      <c r="BZ66" s="13">
        <f>BY66*VLOOKUP('Données projet'!$B$12,Paramètres!$A$1:$I$89,3,0)*VLOOKUP('Données projet'!$B$12,Paramètres!$A$1:$I$89,5,0)</f>
        <v>144.69311999999996</v>
      </c>
      <c r="CA66" s="13">
        <f t="shared" si="39"/>
        <v>37.370061524802736</v>
      </c>
      <c r="CB66" s="20">
        <f t="shared" si="10"/>
        <v>317.09337448903136</v>
      </c>
      <c r="CC66" s="59">
        <f t="shared" si="11"/>
        <v>610.42670782236473</v>
      </c>
      <c r="CD66" s="59">
        <f ca="1">AVERAGE(OFFSET($CC$3,0,0,'Données projet'!$E$12+1,1))-AVERAGE(OFFSET($H$3,0,0,'Données projet'!$E$12+1,1))</f>
        <v>156.26368818265388</v>
      </c>
      <c r="CE66" s="59">
        <f t="shared" si="40"/>
        <v>56.347130462109817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149.59999999999994</v>
      </c>
      <c r="CU66" s="17">
        <f>CT66*VLOOKUP('Données projet'!$B$13,Paramètres!$A$1:$I$89,3,0)*VLOOKUP('Données projet'!$B$13,Paramètres!$A$1:$I$89,5,0)</f>
        <v>121.35551999999996</v>
      </c>
      <c r="CV66" s="13">
        <f t="shared" si="41"/>
        <v>31.990945095046595</v>
      </c>
      <c r="CW66" s="20">
        <f t="shared" si="13"/>
        <v>267.07842670720601</v>
      </c>
      <c r="CX66" s="59">
        <f t="shared" si="14"/>
        <v>560.41176004053932</v>
      </c>
      <c r="CY66" s="59">
        <f ca="1">AVERAGE(OFFSET($CX$3,0,0,'Données projet'!$E$13+1,1))-AVERAGE(OFFSET($H$3,0,0,'Données projet'!$E$13+1,1))</f>
        <v>112.78807760743126</v>
      </c>
      <c r="CZ66" s="59">
        <f t="shared" si="42"/>
        <v>37.867745922003564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3.2</v>
      </c>
      <c r="DO66" s="12">
        <f>IF('Données projet'!$A$166&gt;35,DO65+DN66-DW65,IF(A66&lt;'Données projet'!$A$166,$DL$205^A66,IF(A66='Données projet'!$A$166,'Données projet'!$B$166,DO65+DN66-DW65)))</f>
        <v>194.6</v>
      </c>
      <c r="DP66" s="17">
        <f>DO66*VLOOKUP('Données projet'!$B$14,Paramètres!$A$1:$I$89,3,0)*VLOOKUP('Données projet'!$B$14,Paramètres!$A$1:$I$89,5,0)</f>
        <v>130.53767999999999</v>
      </c>
      <c r="DQ66" s="13">
        <f t="shared" si="43"/>
        <v>34.120571532654445</v>
      </c>
      <c r="DR66" s="20">
        <f t="shared" si="16"/>
        <v>286.77978808603979</v>
      </c>
      <c r="DS66" s="59">
        <f t="shared" si="17"/>
        <v>580.1131214193731</v>
      </c>
      <c r="DT66" s="59">
        <f ca="1">AVERAGE(OFFSET($DS$3,0,0,'Données projet'!$E$14+1,1))-AVERAGE(OFFSET($H$3,0,0,'Données projet'!$E$14+1,1))</f>
        <v>107.15837202366862</v>
      </c>
      <c r="DU66" s="59">
        <f t="shared" si="44"/>
        <v>139.67031833740026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2.2702533774147615</v>
      </c>
      <c r="EC66" s="21">
        <f>EXP(-LN(2)/2)*EC65+(1-EXP(-LN(2)/2))/(LN(2)/2)*DW66*DZ66*VLOOKUP('Données projet'!$B$14,Paramètres!$A$1:$I$89,3,0)*0.475*44/12</f>
        <v>7.2824095687300551E-5</v>
      </c>
      <c r="ED66" s="22">
        <f t="shared" si="18"/>
        <v>2.2703262015104486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7.5</v>
      </c>
      <c r="EJ66" s="12">
        <f>IF('Données projet'!$A$192&gt;35,EJ65+EI66-ER65,IF(A66&lt;'Données projet'!$A$192,$EG$205^A66,IF(A66='Données projet'!$A$192,'Données projet'!$B$192,EJ65+EI66-ER65)))</f>
        <v>251.29999999999995</v>
      </c>
      <c r="EK66" s="17">
        <f>EJ66*VLOOKUP('Données projet'!$B$15,Paramètres!$A$1:$I$89,3,0)*VLOOKUP('Données projet'!$B$15,Paramètres!$A$1:$I$89,5,0)</f>
        <v>117.60839999999997</v>
      </c>
      <c r="EL66" s="13">
        <f t="shared" si="45"/>
        <v>31.11654601042537</v>
      </c>
      <c r="EM66" s="20">
        <f t="shared" si="19"/>
        <v>259.02928096815748</v>
      </c>
      <c r="EN66" s="59">
        <f t="shared" si="20"/>
        <v>552.36261430149079</v>
      </c>
      <c r="EO66" s="59">
        <f ca="1">AVERAGE(OFFSET($EN$3,0,0,'Données projet'!$E$15+1,1))-AVERAGE(OFFSET($H$3,0,0,'Données projet'!$E$15+1,1))</f>
        <v>123.60520571614535</v>
      </c>
      <c r="EP66" s="59">
        <f t="shared" si="46"/>
        <v>119.00926870519527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0.45117220232869759</v>
      </c>
      <c r="EW66" s="21">
        <f>EXP(-LN(2)/25)*EW65+(1-EXP(-LN(2)/25))/(LN(2)/25)*Calculateur!ER66*Calculateur!ET66*VLOOKUP('Données projet'!$B$15,Paramètres!$A$1:$I$89,3,0)*0.475*44/12</f>
        <v>1.9132585545713336</v>
      </c>
      <c r="EX66" s="21">
        <f>EXP(-LN(2)/2)*EX65+(1-EXP(-LN(2)/2))/(LN(2)/2)*ER66*EU66*VLOOKUP('Données projet'!$B$15,Paramètres!$A$1:$I$89,3,0)*0.475*44/12</f>
        <v>6.5964449256222617E-5</v>
      </c>
      <c r="EY66" s="22">
        <f t="shared" si="21"/>
        <v>2.3644967213492873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13.3</v>
      </c>
      <c r="FE66" s="12">
        <f>IF('Données projet'!$A$218&gt;35,FE65+FD66-FM65,IF(A66&lt;'Données projet'!$A$218,$FB$205^A66,IF(A66='Données projet'!$A$218,'Données projet'!$B$218,FE65+FD66-FM65)))</f>
        <v>456.90000000000009</v>
      </c>
      <c r="FF66" s="17">
        <f>FE66*VLOOKUP('Données projet'!$B$16,Paramètres!$A$1:$I$89,3,0)*VLOOKUP('Données projet'!$B$16,Paramètres!$A$1:$I$89,5,0)</f>
        <v>219.76890000000003</v>
      </c>
      <c r="FG66" s="13">
        <f t="shared" si="47"/>
        <v>54.064654205426237</v>
      </c>
      <c r="FH66" s="20">
        <f t="shared" si="22"/>
        <v>476.92677357445069</v>
      </c>
      <c r="FI66" s="59">
        <f t="shared" si="23"/>
        <v>770.26010690778401</v>
      </c>
      <c r="FJ66" s="59">
        <f ca="1">AVERAGE(OFFSET($FI$3,0,0,'Données projet'!$E$16+1,1))-AVERAGE(OFFSET($H$3,0,0,'Données projet'!$E$16+1,1))</f>
        <v>197.66963254934603</v>
      </c>
      <c r="FK66" s="59">
        <f t="shared" si="48"/>
        <v>158.08388141976138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1.3874630719032117</v>
      </c>
      <c r="FR66" s="21">
        <f>EXP(-LN(2)/25)*FR65+(1-EXP(-LN(2)/25))/(LN(2)/25)*Calculateur!FM66*Calculateur!FO66*VLOOKUP('Données projet'!$B$16,Paramètres!$A$1:$I$89,3,0)*0.475*44/12</f>
        <v>2.1281721611030298</v>
      </c>
      <c r="FS66" s="21">
        <f>EXP(-LN(2)/2)*FS65+(1-EXP(-LN(2)/2))/(LN(2)/2)*FM66*FP66*VLOOKUP('Données projet'!$B$16,Paramètres!$A$1:$I$89,3,0)*0.475*44/12</f>
        <v>8.9316002062540958E-5</v>
      </c>
      <c r="FT66" s="22">
        <f t="shared" si="24"/>
        <v>3.5157245490083042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8</v>
      </c>
      <c r="FZ66" s="12">
        <f>IF('Données projet'!$A$244&gt;35,FZ65+FY66-GH65,IF(A66&lt;'Données projet'!$A$244,$FW$205^A66,IF(A66='Données projet'!$A$244,'Données projet'!$B$244,FZ65+FY66-GH65)))</f>
        <v>299.00000000000006</v>
      </c>
      <c r="GA66" s="17">
        <f>FZ66*VLOOKUP('Données projet'!$B$17,Paramètres!$A$1:$I$89,3,0)*VLOOKUP('Données projet'!$B$17,Paramètres!$A$1:$I$89,5,0)</f>
        <v>178.80200000000002</v>
      </c>
      <c r="GB66" s="13">
        <f t="shared" si="49"/>
        <v>45.055549739375941</v>
      </c>
      <c r="GC66" s="20">
        <f t="shared" si="25"/>
        <v>389.88523246274644</v>
      </c>
      <c r="GD66" s="59">
        <f t="shared" si="26"/>
        <v>683.2185657960797</v>
      </c>
      <c r="GE66" s="59">
        <f ca="1">AVERAGE(OFFSET($GD$3,0,0,'Données projet'!$E$17+1,1))-AVERAGE(OFFSET($H$3,0,0,'Données projet'!$E$17+1,1))</f>
        <v>165.39579887388538</v>
      </c>
      <c r="GF66" s="59">
        <f t="shared" si="50"/>
        <v>155.89639262545802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2.9195973637788382</v>
      </c>
      <c r="GN66" s="21">
        <f>EXP(-LN(2)/2)*GN65+(1-EXP(-LN(2)/2))/(LN(2)/2)*GH66*GK66*VLOOKUP('Données projet'!$B$17,Paramètres!$A$1:$I$89,3,0)*0.475*44/12</f>
        <v>1.4975993944697037E-4</v>
      </c>
      <c r="GO66" s="21">
        <f t="shared" si="27"/>
        <v>2.919747123718285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5.2</v>
      </c>
      <c r="GU66" s="12">
        <f>IF('Données projet'!$A$270&gt;35,GU65+GT66-HC65,IF(A66&lt;'Données projet'!$A$270,$GR$205^A66,IF(A66='Données projet'!$A$270,'Données projet'!$B$270,GU65+GT66-HC65)))</f>
        <v>149.59999999999994</v>
      </c>
      <c r="GV66" s="17">
        <f>GU66*VLOOKUP('Données projet'!$B$18,Paramètres!$A$1:$I$89,3,0)*VLOOKUP('Données projet'!$B$18,Paramètres!$A$1:$I$89,5,0)</f>
        <v>161.02943999999991</v>
      </c>
      <c r="GW66" s="13">
        <f t="shared" si="51"/>
        <v>41.074621732940685</v>
      </c>
      <c r="GX66" s="20">
        <f t="shared" si="28"/>
        <v>351.99790751820484</v>
      </c>
      <c r="GY66" s="59">
        <f t="shared" si="29"/>
        <v>645.33124085153815</v>
      </c>
      <c r="GZ66" s="59">
        <f ca="1">AVERAGE(OFFSET($GY$3,0,0,'Données projet'!$E$18+1,1))-AVERAGE(OFFSET($H$3,0,0,'Données projet'!$E$18+1,1))</f>
        <v>186.60545265015247</v>
      </c>
      <c r="HA66" s="59">
        <f t="shared" si="52"/>
        <v>69.239647548491234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0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0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10.6</v>
      </c>
      <c r="N67" s="13">
        <f>IF('Données projet'!$A$36&gt;35,N66+M67-V66,IF(A67&lt;'Données projet'!$A$36,$K$205^A67,IF(A67='Données projet'!$A$36,'Données projet'!$B$36,N66+M67-V66)))</f>
        <v>421.40000000000009</v>
      </c>
      <c r="O67" s="13">
        <f>N67*VLOOKUP('Données projet'!$B$9,Paramètres!$A$1:$I$89,3,0)*VLOOKUP('Données projet'!$B$9,Paramètres!$A$1:$I$89,5,0)</f>
        <v>235.56260000000003</v>
      </c>
      <c r="P67" s="13">
        <f t="shared" si="33"/>
        <v>57.48376776337534</v>
      </c>
      <c r="Q67" s="20">
        <f t="shared" ref="Q67:Q98" si="54">(O67+P67)*0.475*44/12</f>
        <v>510.38909052121204</v>
      </c>
      <c r="R67" s="59">
        <f t="shared" ref="R67:R130" si="55">Q67+(I67+J67)*44/12</f>
        <v>803.72242385454535</v>
      </c>
      <c r="S67" s="59">
        <f ca="1">AVERAGE(OFFSET($R$3,0,0,'Données projet'!$E$9+1,1))-AVERAGE(OFFSET($H$3,0,0,'Données projet'!$E$9+1,1))</f>
        <v>235.10258076192054</v>
      </c>
      <c r="T67" s="59">
        <f t="shared" si="34"/>
        <v>233.47316052603765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1.7472417608831967</v>
      </c>
      <c r="AA67" s="21">
        <f>EXP(-LN(2)/25)*AA66+(1-EXP(-LN(2)/25))/(LN(2)/25)*Calculateur!V67*Calculateur!X67*VLOOKUP('Données projet'!$B$9,Paramètres!$A$1:$I$89,3,0)*0.475*44/12</f>
        <v>7.1819045742370626</v>
      </c>
      <c r="AB67" s="21">
        <f>EXP(-LN(2)/2)*AB66+(1-EXP(-LN(2)/2))/(LN(2)/2)*V67*Y67*VLOOKUP('Données projet'!$B$9,Paramètres!$A$1:$I$89,3,0)*0.475*44/12</f>
        <v>1.84036878377288E-4</v>
      </c>
      <c r="AC67" s="22">
        <f t="shared" si="3"/>
        <v>8.9293303719986366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7.1</v>
      </c>
      <c r="AI67" s="13">
        <f>IF('Données projet'!$A$62&gt;35,AI66+AH67-AQ66,IF(A67&lt;'Données projet'!$A$62,$AF$205^A67,IF(A67='Données projet'!$A$62,'Données projet'!$B$62,AI66+AH67-AQ66)))</f>
        <v>311.39999999999986</v>
      </c>
      <c r="AJ67" s="13">
        <f>AI67*VLOOKUP('Données projet'!$B$10,Paramètres!$A$1:$I$89,3,0)*VLOOKUP('Données projet'!$B$10,Paramètres!$A$1:$I$89,5,0)</f>
        <v>170.0243999999999</v>
      </c>
      <c r="AK67" s="13">
        <f t="shared" si="35"/>
        <v>43.095488327983141</v>
      </c>
      <c r="AL67" s="20">
        <f t="shared" si="4"/>
        <v>371.18380550457044</v>
      </c>
      <c r="AM67" s="59">
        <f t="shared" si="5"/>
        <v>664.51713883790376</v>
      </c>
      <c r="AN67" s="59">
        <f ca="1">AVERAGE(OFFSET($AM$3,0,0,'Données projet'!$E$10+1,1))-AVERAGE(OFFSET($H$3,0,0,'Données projet'!$E$10+1,1))</f>
        <v>168.72306536277267</v>
      </c>
      <c r="AO67" s="59">
        <f t="shared" si="36"/>
        <v>203.35476578922339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1.5514620286912111</v>
      </c>
      <c r="AV67" s="21">
        <f>EXP(-LN(2)/25)*AV66+(1-EXP(-LN(2)/25))/(LN(2)/25)*Calculateur!AQ67*Calculateur!AS67*VLOOKUP('Données projet'!$B$10,Paramètres!$A$1:$I$89,3,0)*0.475*44/12</f>
        <v>8.9545573258394651</v>
      </c>
      <c r="AW67" s="21">
        <f>EXP(-LN(2)/2)*AW66+(1-EXP(-LN(2)/2))/(LN(2)/2)*AQ67*AT67*VLOOKUP('Données projet'!$B$10,Paramètres!$A$1:$I$89,3,0)*0.475*44/12</f>
        <v>1.5276982591315663E-4</v>
      </c>
      <c r="AX67" s="21">
        <f t="shared" si="6"/>
        <v>10.506172124356588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</v>
      </c>
      <c r="BD67" s="12">
        <f>IF('Données projet'!$A$88&gt;35,BD66+BC67-BL66,IF(A67&lt;'Données projet'!$A$88,$BA$205^A67,IF(A67='Données projet'!$A$88,'Données projet'!$B$88,BD66+BC67-BL66)))</f>
        <v>307.00000000000006</v>
      </c>
      <c r="BE67" s="13">
        <f>BD67*VLOOKUP('Données projet'!$B$11,Paramètres!$A$1:$I$89,3,0)*VLOOKUP('Données projet'!$B$11,Paramètres!$A$1:$I$89,5,0)</f>
        <v>183.58600000000004</v>
      </c>
      <c r="BF67" s="13">
        <f t="shared" si="37"/>
        <v>46.119086835316438</v>
      </c>
      <c r="BG67" s="20">
        <f t="shared" si="7"/>
        <v>400.0696929048429</v>
      </c>
      <c r="BH67" s="59">
        <f t="shared" si="8"/>
        <v>693.40302623817615</v>
      </c>
      <c r="BI67" s="59">
        <f ca="1">AVERAGE(OFFSET($BH$3,0,0,'Données projet'!$E$11+1,1))-AVERAGE(OFFSET($H$3,0,0,'Données projet'!$E$11+1,1))</f>
        <v>165.39579887388538</v>
      </c>
      <c r="BJ67" s="59">
        <f t="shared" si="38"/>
        <v>155.89639262545802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2.8397608203313531</v>
      </c>
      <c r="BR67" s="21">
        <f>EXP(-LN(2)/2)*BR66+(1-EXP(-LN(2)/2))/(LN(2)/2)*BL67*BO67*VLOOKUP('Données projet'!$B$11,Paramètres!$A$1:$I$89,3,0)*0.475*44/12</f>
        <v>1.0589626873303949E-4</v>
      </c>
      <c r="BS67" s="22">
        <f t="shared" si="9"/>
        <v>2.8398667166000862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154.79999999999993</v>
      </c>
      <c r="BZ67" s="13">
        <f>BY67*VLOOKUP('Données projet'!$B$12,Paramètres!$A$1:$I$89,3,0)*VLOOKUP('Données projet'!$B$12,Paramètres!$A$1:$I$89,5,0)</f>
        <v>149.72255999999993</v>
      </c>
      <c r="CA67" s="13">
        <f t="shared" si="39"/>
        <v>38.515529593578471</v>
      </c>
      <c r="CB67" s="20">
        <f t="shared" si="10"/>
        <v>327.84800604214905</v>
      </c>
      <c r="CC67" s="59">
        <f t="shared" si="11"/>
        <v>621.18133937548237</v>
      </c>
      <c r="CD67" s="59">
        <f ca="1">AVERAGE(OFFSET($CC$3,0,0,'Données projet'!$E$12+1,1))-AVERAGE(OFFSET($H$3,0,0,'Données projet'!$E$12+1,1))</f>
        <v>156.26368818265388</v>
      </c>
      <c r="CE67" s="59">
        <f t="shared" si="40"/>
        <v>56.347130462109817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154.79999999999993</v>
      </c>
      <c r="CU67" s="17">
        <f>CT67*VLOOKUP('Données projet'!$B$13,Paramètres!$A$1:$I$89,3,0)*VLOOKUP('Données projet'!$B$13,Paramètres!$A$1:$I$89,5,0)</f>
        <v>125.57375999999995</v>
      </c>
      <c r="CV67" s="13">
        <f t="shared" si="41"/>
        <v>32.97153235129214</v>
      </c>
      <c r="CW67" s="20">
        <f t="shared" si="13"/>
        <v>276.13305084516702</v>
      </c>
      <c r="CX67" s="59">
        <f t="shared" si="14"/>
        <v>569.46638417850033</v>
      </c>
      <c r="CY67" s="59">
        <f ca="1">AVERAGE(OFFSET($CX$3,0,0,'Données projet'!$E$13+1,1))-AVERAGE(OFFSET($H$3,0,0,'Données projet'!$E$13+1,1))</f>
        <v>112.78807760743126</v>
      </c>
      <c r="CZ67" s="59">
        <f t="shared" si="42"/>
        <v>37.867745922003564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3.2</v>
      </c>
      <c r="DO67" s="12">
        <f>IF('Données projet'!$A$166&gt;35,DO66+DN67-DW66,IF(A67&lt;'Données projet'!$A$166,$DL$205^A67,IF(A67='Données projet'!$A$166,'Données projet'!$B$166,DO66+DN67-DW66)))</f>
        <v>197.79999999999998</v>
      </c>
      <c r="DP67" s="17">
        <f>DO67*VLOOKUP('Données projet'!$B$14,Paramètres!$A$1:$I$89,3,0)*VLOOKUP('Données projet'!$B$14,Paramètres!$A$1:$I$89,5,0)</f>
        <v>132.68423999999999</v>
      </c>
      <c r="DQ67" s="13">
        <f t="shared" si="43"/>
        <v>34.615868688843783</v>
      </c>
      <c r="DR67" s="20">
        <f t="shared" si="16"/>
        <v>291.38102263306956</v>
      </c>
      <c r="DS67" s="59">
        <f t="shared" si="17"/>
        <v>584.71435596640288</v>
      </c>
      <c r="DT67" s="59">
        <f ca="1">AVERAGE(OFFSET($DS$3,0,0,'Données projet'!$E$14+1,1))-AVERAGE(OFFSET($H$3,0,0,'Données projet'!$E$14+1,1))</f>
        <v>107.15837202366862</v>
      </c>
      <c r="DU67" s="59">
        <f t="shared" si="44"/>
        <v>139.67031833740026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2.2081731794219186</v>
      </c>
      <c r="EC67" s="21">
        <f>EXP(-LN(2)/2)*EC66+(1-EXP(-LN(2)/2))/(LN(2)/2)*DW67*DZ67*VLOOKUP('Données projet'!$B$14,Paramètres!$A$1:$I$89,3,0)*0.475*44/12</f>
        <v>5.149441189426823E-5</v>
      </c>
      <c r="ED67" s="22">
        <f t="shared" si="18"/>
        <v>2.2082246738338127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7.5</v>
      </c>
      <c r="EJ67" s="12">
        <f>IF('Données projet'!$A$192&gt;35,EJ66+EI67-ER66,IF(A67&lt;'Données projet'!$A$192,$EG$205^A67,IF(A67='Données projet'!$A$192,'Données projet'!$B$192,EJ66+EI67-ER66)))</f>
        <v>258.79999999999995</v>
      </c>
      <c r="EK67" s="17">
        <f>EJ67*VLOOKUP('Données projet'!$B$15,Paramètres!$A$1:$I$89,3,0)*VLOOKUP('Données projet'!$B$15,Paramètres!$A$1:$I$89,5,0)</f>
        <v>121.11839999999998</v>
      </c>
      <c r="EL67" s="13">
        <f t="shared" si="45"/>
        <v>31.935706725782151</v>
      </c>
      <c r="EM67" s="20">
        <f t="shared" si="19"/>
        <v>266.56923588073721</v>
      </c>
      <c r="EN67" s="59">
        <f t="shared" si="20"/>
        <v>559.90256921407058</v>
      </c>
      <c r="EO67" s="59">
        <f ca="1">AVERAGE(OFFSET($EN$3,0,0,'Données projet'!$E$15+1,1))-AVERAGE(OFFSET($H$3,0,0,'Données projet'!$E$15+1,1))</f>
        <v>123.60520571614535</v>
      </c>
      <c r="EP67" s="59">
        <f t="shared" si="46"/>
        <v>119.00926870519527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0.44232499062890268</v>
      </c>
      <c r="EW67" s="21">
        <f>EXP(-LN(2)/25)*EW66+(1-EXP(-LN(2)/25))/(LN(2)/25)*Calculateur!ER67*Calculateur!ET67*VLOOKUP('Données projet'!$B$15,Paramètres!$A$1:$I$89,3,0)*0.475*44/12</f>
        <v>1.860940398782686</v>
      </c>
      <c r="EX67" s="21">
        <f>EXP(-LN(2)/2)*EX66+(1-EXP(-LN(2)/2))/(LN(2)/2)*ER67*EU67*VLOOKUP('Données projet'!$B$15,Paramètres!$A$1:$I$89,3,0)*0.475*44/12</f>
        <v>4.6643909386310924E-5</v>
      </c>
      <c r="EY67" s="22">
        <f t="shared" si="21"/>
        <v>2.3033120333209753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13.3</v>
      </c>
      <c r="FE67" s="12">
        <f>IF('Données projet'!$A$218&gt;35,FE66+FD67-FM66,IF(A67&lt;'Données projet'!$A$218,$FB$205^A67,IF(A67='Données projet'!$A$218,'Données projet'!$B$218,FE66+FD67-FM66)))</f>
        <v>470.2000000000001</v>
      </c>
      <c r="FF67" s="17">
        <f>FE67*VLOOKUP('Données projet'!$B$16,Paramètres!$A$1:$I$89,3,0)*VLOOKUP('Données projet'!$B$16,Paramètres!$A$1:$I$89,5,0)</f>
        <v>226.16620000000006</v>
      </c>
      <c r="FG67" s="13">
        <f t="shared" si="47"/>
        <v>55.452915117707903</v>
      </c>
      <c r="FH67" s="20">
        <f t="shared" si="22"/>
        <v>490.48662549667478</v>
      </c>
      <c r="FI67" s="59">
        <f t="shared" si="23"/>
        <v>783.81995883000809</v>
      </c>
      <c r="FJ67" s="59">
        <f ca="1">AVERAGE(OFFSET($FI$3,0,0,'Données projet'!$E$16+1,1))-AVERAGE(OFFSET($H$3,0,0,'Données projet'!$E$16+1,1))</f>
        <v>197.66963254934603</v>
      </c>
      <c r="FK67" s="59">
        <f t="shared" si="48"/>
        <v>158.08388141976138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1.3602557673321014</v>
      </c>
      <c r="FR67" s="21">
        <f>EXP(-LN(2)/25)*FR66+(1-EXP(-LN(2)/25))/(LN(2)/25)*Calculateur!FM67*Calculateur!FO67*VLOOKUP('Données projet'!$B$16,Paramètres!$A$1:$I$89,3,0)*0.475*44/12</f>
        <v>2.0699771814419576</v>
      </c>
      <c r="FS67" s="21">
        <f>EXP(-LN(2)/2)*FS66+(1-EXP(-LN(2)/2))/(LN(2)/2)*FM67*FP67*VLOOKUP('Données projet'!$B$16,Paramètres!$A$1:$I$89,3,0)*0.475*44/12</f>
        <v>6.3155950726894374E-5</v>
      </c>
      <c r="FT67" s="22">
        <f t="shared" si="24"/>
        <v>3.430296104724786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8</v>
      </c>
      <c r="FZ67" s="12">
        <f>IF('Données projet'!$A$244&gt;35,FZ66+FY67-GH66,IF(A67&lt;'Données projet'!$A$244,$FW$205^A67,IF(A67='Données projet'!$A$244,'Données projet'!$B$244,FZ66+FY67-GH66)))</f>
        <v>307.00000000000006</v>
      </c>
      <c r="GA67" s="17">
        <f>FZ67*VLOOKUP('Données projet'!$B$17,Paramètres!$A$1:$I$89,3,0)*VLOOKUP('Données projet'!$B$17,Paramètres!$A$1:$I$89,5,0)</f>
        <v>183.58600000000004</v>
      </c>
      <c r="GB67" s="13">
        <f t="shared" si="49"/>
        <v>46.119086835316438</v>
      </c>
      <c r="GC67" s="20">
        <f t="shared" si="25"/>
        <v>400.0696929048429</v>
      </c>
      <c r="GD67" s="59">
        <f t="shared" si="26"/>
        <v>693.40302623817615</v>
      </c>
      <c r="GE67" s="59">
        <f ca="1">AVERAGE(OFFSET($GD$3,0,0,'Données projet'!$E$17+1,1))-AVERAGE(OFFSET($H$3,0,0,'Données projet'!$E$17+1,1))</f>
        <v>165.39579887388538</v>
      </c>
      <c r="GF67" s="59">
        <f t="shared" si="50"/>
        <v>155.89639262545802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2.8397608203313531</v>
      </c>
      <c r="GN67" s="21">
        <f>EXP(-LN(2)/2)*GN66+(1-EXP(-LN(2)/2))/(LN(2)/2)*GH67*GK67*VLOOKUP('Données projet'!$B$17,Paramètres!$A$1:$I$89,3,0)*0.475*44/12</f>
        <v>1.0589626873303949E-4</v>
      </c>
      <c r="GO67" s="21">
        <f t="shared" si="27"/>
        <v>2.8398667166000862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5.2</v>
      </c>
      <c r="GU67" s="12">
        <f>IF('Données projet'!$A$270&gt;35,GU66+GT67-HC66,IF(A67&lt;'Données projet'!$A$270,$GR$205^A67,IF(A67='Données projet'!$A$270,'Données projet'!$B$270,GU66+GT67-HC66)))</f>
        <v>154.79999999999993</v>
      </c>
      <c r="GV67" s="17">
        <f>GU67*VLOOKUP('Données projet'!$B$18,Paramètres!$A$1:$I$89,3,0)*VLOOKUP('Données projet'!$B$18,Paramètres!$A$1:$I$89,5,0)</f>
        <v>166.62671999999992</v>
      </c>
      <c r="GW67" s="13">
        <f t="shared" si="51"/>
        <v>42.333642074689379</v>
      </c>
      <c r="GX67" s="20">
        <f t="shared" si="28"/>
        <v>363.93929728008379</v>
      </c>
      <c r="GY67" s="59">
        <f t="shared" si="29"/>
        <v>657.27263061341705</v>
      </c>
      <c r="GZ67" s="59">
        <f ca="1">AVERAGE(OFFSET($GY$3,0,0,'Données projet'!$E$18+1,1))-AVERAGE(OFFSET($H$3,0,0,'Données projet'!$E$18+1,1))</f>
        <v>186.60545265015247</v>
      </c>
      <c r="HA67" s="59">
        <f t="shared" si="52"/>
        <v>69.239647548491234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0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0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10.6</v>
      </c>
      <c r="N68" s="13">
        <f>IF('Données projet'!$A$36&gt;35,N67+M68-V67,IF(A68&lt;'Données projet'!$A$36,$K$205^A68,IF(A68='Données projet'!$A$36,'Données projet'!$B$36,N67+M68-V67)))</f>
        <v>432.00000000000011</v>
      </c>
      <c r="O68" s="13">
        <f>N68*VLOOKUP('Données projet'!$B$9,Paramètres!$A$1:$I$89,3,0)*VLOOKUP('Données projet'!$B$9,Paramètres!$A$1:$I$89,5,0)</f>
        <v>241.48800000000006</v>
      </c>
      <c r="P68" s="13">
        <f t="shared" si="33"/>
        <v>58.759565673424966</v>
      </c>
      <c r="Q68" s="20">
        <f t="shared" si="54"/>
        <v>522.93117688121526</v>
      </c>
      <c r="R68" s="59">
        <f t="shared" si="55"/>
        <v>816.26451021454864</v>
      </c>
      <c r="S68" s="59">
        <f ca="1">AVERAGE(OFFSET($R$3,0,0,'Données projet'!$E$9+1,1))-AVERAGE(OFFSET($H$3,0,0,'Données projet'!$E$9+1,1))</f>
        <v>235.10258076192054</v>
      </c>
      <c r="T68" s="59">
        <f t="shared" si="34"/>
        <v>233.47316052603765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1.7129794156645211</v>
      </c>
      <c r="AA68" s="21">
        <f>EXP(-LN(2)/25)*AA67+(1-EXP(-LN(2)/25))/(LN(2)/25)*Calculateur!V68*Calculateur!X68*VLOOKUP('Données projet'!$B$9,Paramètres!$A$1:$I$89,3,0)*0.475*44/12</f>
        <v>6.9855150159746033</v>
      </c>
      <c r="AB68" s="21">
        <f>EXP(-LN(2)/2)*AB67+(1-EXP(-LN(2)/2))/(LN(2)/2)*V68*Y68*VLOOKUP('Données projet'!$B$9,Paramètres!$A$1:$I$89,3,0)*0.475*44/12</f>
        <v>1.3013372468898425E-4</v>
      </c>
      <c r="AC68" s="22">
        <f t="shared" ref="AC68:AC131" si="57">SUM(Z68:AB68)</f>
        <v>8.6986245653638132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7.1</v>
      </c>
      <c r="AI68" s="13">
        <f>IF('Données projet'!$A$62&gt;35,AI67+AH68-AQ67,IF(A68&lt;'Données projet'!$A$62,$AF$205^A68,IF(A68='Données projet'!$A$62,'Données projet'!$B$62,AI67+AH68-AQ67)))</f>
        <v>318.49999999999989</v>
      </c>
      <c r="AJ68" s="13">
        <f>AI68*VLOOKUP('Données projet'!$B$10,Paramètres!$A$1:$I$89,3,0)*VLOOKUP('Données projet'!$B$10,Paramètres!$A$1:$I$89,5,0)</f>
        <v>173.90099999999995</v>
      </c>
      <c r="AK68" s="13">
        <f t="shared" si="35"/>
        <v>43.962560825689998</v>
      </c>
      <c r="AL68" s="20">
        <f t="shared" ref="AL68:AL131" si="58">(AJ68+AK68)*0.475*44/12</f>
        <v>379.44570177141003</v>
      </c>
      <c r="AM68" s="59">
        <f t="shared" ref="AM68:AM131" si="59">AL68+(AD68+AE68)*44/12</f>
        <v>672.77903510474334</v>
      </c>
      <c r="AN68" s="59">
        <f ca="1">AVERAGE(OFFSET($AM$3,0,0,'Données projet'!$E$10+1,1))-AVERAGE(OFFSET($H$3,0,0,'Données projet'!$E$10+1,1))</f>
        <v>168.72306536277267</v>
      </c>
      <c r="AO68" s="59">
        <f t="shared" si="36"/>
        <v>203.35476578922339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1.5210388046069747</v>
      </c>
      <c r="AV68" s="21">
        <f>EXP(-LN(2)/25)*AV67+(1-EXP(-LN(2)/25))/(LN(2)/25)*Calculateur!AQ68*Calculateur!AS68*VLOOKUP('Données projet'!$B$10,Paramètres!$A$1:$I$89,3,0)*0.475*44/12</f>
        <v>8.7096944848646807</v>
      </c>
      <c r="AW68" s="21">
        <f>EXP(-LN(2)/2)*AW67+(1-EXP(-LN(2)/2))/(LN(2)/2)*AQ68*AT68*VLOOKUP('Données projet'!$B$10,Paramètres!$A$1:$I$89,3,0)*0.475*44/12</f>
        <v>1.0802457986388141E-4</v>
      </c>
      <c r="AX68" s="21">
        <f t="shared" ref="AX68:AX131" si="60">SUM(AU68:AW68)</f>
        <v>10.230841314051519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</v>
      </c>
      <c r="BD68" s="12">
        <f>IF('Données projet'!$A$88&gt;35,BD67+BC68-BL67,IF(A68&lt;'Données projet'!$A$88,$BA$205^A68,IF(A68='Données projet'!$A$88,'Données projet'!$B$88,BD67+BC68-BL67)))</f>
        <v>315.00000000000006</v>
      </c>
      <c r="BE68" s="13">
        <f>BD68*VLOOKUP('Données projet'!$B$11,Paramètres!$A$1:$I$89,3,0)*VLOOKUP('Données projet'!$B$11,Paramètres!$A$1:$I$89,5,0)</f>
        <v>188.37000000000006</v>
      </c>
      <c r="BF68" s="13">
        <f t="shared" si="37"/>
        <v>47.179402486491298</v>
      </c>
      <c r="BG68" s="20">
        <f t="shared" ref="BG68:BG131" si="61">(BE68+BF68)*0.475*44/12</f>
        <v>410.2485426639725</v>
      </c>
      <c r="BH68" s="59">
        <f t="shared" ref="BH68:BH131" si="62">BG68+(AY68+AZ68)*44/12</f>
        <v>703.58187599730581</v>
      </c>
      <c r="BI68" s="59">
        <f ca="1">AVERAGE(OFFSET($BH$3,0,0,'Données projet'!$E$11+1,1))-AVERAGE(OFFSET($H$3,0,0,'Données projet'!$E$11+1,1))</f>
        <v>165.39579887388538</v>
      </c>
      <c r="BJ68" s="59">
        <f t="shared" si="38"/>
        <v>155.89639262545802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2.762107411362861</v>
      </c>
      <c r="BR68" s="21">
        <f>EXP(-LN(2)/2)*BR67+(1-EXP(-LN(2)/2))/(LN(2)/2)*BL68*BO68*VLOOKUP('Données projet'!$B$11,Paramètres!$A$1:$I$89,3,0)*0.475*44/12</f>
        <v>7.4879969723485186E-5</v>
      </c>
      <c r="BS68" s="22">
        <f t="shared" ref="BS68:BS131" si="63">SUM(BP68:BR68)</f>
        <v>2.7621822913325844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159.99999999999991</v>
      </c>
      <c r="BZ68" s="13">
        <f>BY68*VLOOKUP('Données projet'!$B$12,Paramètres!$A$1:$I$89,3,0)*VLOOKUP('Données projet'!$B$12,Paramètres!$A$1:$I$89,5,0)</f>
        <v>154.75199999999992</v>
      </c>
      <c r="CA68" s="13">
        <f t="shared" si="39"/>
        <v>39.656526650076415</v>
      </c>
      <c r="CB68" s="20">
        <f t="shared" ref="CB68:CB131" si="64">(BZ68+CA68)*0.475*44/12</f>
        <v>338.59485058221628</v>
      </c>
      <c r="CC68" s="59">
        <f t="shared" ref="CC68:CC131" si="65">CB68+(BT68+BU68)*44/12</f>
        <v>631.92818391554965</v>
      </c>
      <c r="CD68" s="59">
        <f ca="1">AVERAGE(OFFSET($CC$3,0,0,'Données projet'!$E$12+1,1))-AVERAGE(OFFSET($H$3,0,0,'Données projet'!$E$12+1,1))</f>
        <v>156.26368818265388</v>
      </c>
      <c r="CE68" s="59">
        <f t="shared" si="40"/>
        <v>56.347130462109817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159.99999999999991</v>
      </c>
      <c r="CU68" s="17">
        <f>CT68*VLOOKUP('Données projet'!$B$13,Paramètres!$A$1:$I$89,3,0)*VLOOKUP('Données projet'!$B$13,Paramètres!$A$1:$I$89,5,0)</f>
        <v>129.79199999999994</v>
      </c>
      <c r="CV68" s="13">
        <f t="shared" si="41"/>
        <v>33.948292161114985</v>
      </c>
      <c r="CW68" s="20">
        <f t="shared" ref="CW68:CW131" si="67">(CU68+CV68)*0.475*44/12</f>
        <v>285.18100884727511</v>
      </c>
      <c r="CX68" s="59">
        <f t="shared" ref="CX68:CX131" si="68">CW68+(CO68+CP68)*44/12</f>
        <v>578.51434218060842</v>
      </c>
      <c r="CY68" s="59">
        <f ca="1">AVERAGE(OFFSET($CX$3,0,0,'Données projet'!$E$13+1,1))-AVERAGE(OFFSET($H$3,0,0,'Données projet'!$E$13+1,1))</f>
        <v>112.78807760743126</v>
      </c>
      <c r="CZ68" s="59">
        <f t="shared" si="42"/>
        <v>37.867745922003564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3.2</v>
      </c>
      <c r="DO68" s="12">
        <f>IF('Données projet'!$A$166&gt;35,DO67+DN68-DW67,IF(A68&lt;'Données projet'!$A$166,$DL$205^A68,IF(A68='Données projet'!$A$166,'Données projet'!$B$166,DO67+DN68-DW67)))</f>
        <v>200.99999999999997</v>
      </c>
      <c r="DP68" s="17">
        <f>DO68*VLOOKUP('Données projet'!$B$14,Paramètres!$A$1:$I$89,3,0)*VLOOKUP('Données projet'!$B$14,Paramètres!$A$1:$I$89,5,0)</f>
        <v>134.83079999999998</v>
      </c>
      <c r="DQ68" s="13">
        <f t="shared" si="43"/>
        <v>35.11023397856038</v>
      </c>
      <c r="DR68" s="20">
        <f t="shared" ref="DR68:DR131" si="70">(DP68+DQ68)*0.475*44/12</f>
        <v>295.98063417932593</v>
      </c>
      <c r="DS68" s="59">
        <f t="shared" ref="DS68:DS131" si="71">DR68+(DJ68+DK68)*44/12</f>
        <v>589.31396751265925</v>
      </c>
      <c r="DT68" s="59">
        <f ca="1">AVERAGE(OFFSET($DS$3,0,0,'Données projet'!$E$14+1,1))-AVERAGE(OFFSET($H$3,0,0,'Données projet'!$E$14+1,1))</f>
        <v>107.15837202366862</v>
      </c>
      <c r="DU68" s="59">
        <f t="shared" si="44"/>
        <v>139.67031833740026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2.1477905677078457</v>
      </c>
      <c r="EC68" s="21">
        <f>EXP(-LN(2)/2)*EC67+(1-EXP(-LN(2)/2))/(LN(2)/2)*DW68*DZ68*VLOOKUP('Données projet'!$B$14,Paramètres!$A$1:$I$89,3,0)*0.475*44/12</f>
        <v>3.6412047843650275E-5</v>
      </c>
      <c r="ED68" s="22">
        <f t="shared" ref="ED68:ED131" si="72">SUM(EA68:EC68)</f>
        <v>2.1478269797556893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7.5</v>
      </c>
      <c r="EJ68" s="12">
        <f>IF('Données projet'!$A$192&gt;35,EJ67+EI68-ER67,IF(A68&lt;'Données projet'!$A$192,$EG$205^A68,IF(A68='Données projet'!$A$192,'Données projet'!$B$192,EJ67+EI68-ER67)))</f>
        <v>266.29999999999995</v>
      </c>
      <c r="EK68" s="17">
        <f>EJ68*VLOOKUP('Données projet'!$B$15,Paramètres!$A$1:$I$89,3,0)*VLOOKUP('Données projet'!$B$15,Paramètres!$A$1:$I$89,5,0)</f>
        <v>124.62839999999998</v>
      </c>
      <c r="EL68" s="13">
        <f t="shared" si="45"/>
        <v>32.752108445357337</v>
      </c>
      <c r="EM68" s="20">
        <f t="shared" ref="EM68:EM131" si="73">(EK68+EL68)*0.475*44/12</f>
        <v>274.10438554233065</v>
      </c>
      <c r="EN68" s="59">
        <f t="shared" ref="EN68:EN131" si="74">EM68+(EE68+EF68)*44/12</f>
        <v>567.4377188756639</v>
      </c>
      <c r="EO68" s="59">
        <f ca="1">AVERAGE(OFFSET($EN$3,0,0,'Données projet'!$E$15+1,1))-AVERAGE(OFFSET($H$3,0,0,'Données projet'!$E$15+1,1))</f>
        <v>123.60520571614535</v>
      </c>
      <c r="EP68" s="59">
        <f t="shared" si="46"/>
        <v>119.00926870519527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0.43365126735427445</v>
      </c>
      <c r="EW68" s="21">
        <f>EXP(-LN(2)/25)*EW67+(1-EXP(-LN(2)/25))/(LN(2)/25)*Calculateur!ER68*Calculateur!ET68*VLOOKUP('Données projet'!$B$15,Paramètres!$A$1:$I$89,3,0)*0.475*44/12</f>
        <v>1.810052885715371</v>
      </c>
      <c r="EX68" s="21">
        <f>EXP(-LN(2)/2)*EX67+(1-EXP(-LN(2)/2))/(LN(2)/2)*ER68*EU68*VLOOKUP('Données projet'!$B$15,Paramètres!$A$1:$I$89,3,0)*0.475*44/12</f>
        <v>3.2982224628111308E-5</v>
      </c>
      <c r="EY68" s="22">
        <f t="shared" ref="EY68:EY131" si="75">SUM(EV68:EX68)</f>
        <v>2.2437371352942739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13.3</v>
      </c>
      <c r="FE68" s="12">
        <f>IF('Données projet'!$A$218&gt;35,FE67+FD68-FM67,IF(A68&lt;'Données projet'!$A$218,$FB$205^A68,IF(A68='Données projet'!$A$218,'Données projet'!$B$218,FE67+FD68-FM67)))</f>
        <v>483.50000000000011</v>
      </c>
      <c r="FF68" s="17">
        <f>FE68*VLOOKUP('Données projet'!$B$16,Paramètres!$A$1:$I$89,3,0)*VLOOKUP('Données projet'!$B$16,Paramètres!$A$1:$I$89,5,0)</f>
        <v>232.56350000000006</v>
      </c>
      <c r="FG68" s="13">
        <f t="shared" si="47"/>
        <v>56.836612094094761</v>
      </c>
      <c r="FH68" s="20">
        <f t="shared" ref="FH68:FH131" si="76">(FF68+FG68)*0.475*44/12</f>
        <v>504.03852856388181</v>
      </c>
      <c r="FI68" s="59">
        <f t="shared" ref="FI68:FI131" si="77">FH68+(EZ68+FA68)*44/12</f>
        <v>797.37186189721513</v>
      </c>
      <c r="FJ68" s="59">
        <f ca="1">AVERAGE(OFFSET($FI$3,0,0,'Données projet'!$E$16+1,1))-AVERAGE(OFFSET($H$3,0,0,'Données projet'!$E$16+1,1))</f>
        <v>197.66963254934603</v>
      </c>
      <c r="FK68" s="59">
        <f t="shared" si="48"/>
        <v>158.08388141976138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1.3335819814088135</v>
      </c>
      <c r="FR68" s="21">
        <f>EXP(-LN(2)/25)*FR67+(1-EXP(-LN(2)/25))/(LN(2)/25)*Calculateur!FM68*Calculateur!FO68*VLOOKUP('Données projet'!$B$16,Paramètres!$A$1:$I$89,3,0)*0.475*44/12</f>
        <v>2.0133735465600582</v>
      </c>
      <c r="FS68" s="21">
        <f>EXP(-LN(2)/2)*FS67+(1-EXP(-LN(2)/2))/(LN(2)/2)*FM68*FP68*VLOOKUP('Données projet'!$B$16,Paramètres!$A$1:$I$89,3,0)*0.475*44/12</f>
        <v>4.4658001031270479E-5</v>
      </c>
      <c r="FT68" s="22">
        <f t="shared" ref="FT68:FT131" si="78">SUM(FQ68:FS68)</f>
        <v>3.347000185969903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8</v>
      </c>
      <c r="FZ68" s="12">
        <f>IF('Données projet'!$A$244&gt;35,FZ67+FY68-GH67,IF(A68&lt;'Données projet'!$A$244,$FW$205^A68,IF(A68='Données projet'!$A$244,'Données projet'!$B$244,FZ67+FY68-GH67)))</f>
        <v>315.00000000000006</v>
      </c>
      <c r="GA68" s="17">
        <f>FZ68*VLOOKUP('Données projet'!$B$17,Paramètres!$A$1:$I$89,3,0)*VLOOKUP('Données projet'!$B$17,Paramètres!$A$1:$I$89,5,0)</f>
        <v>188.37000000000006</v>
      </c>
      <c r="GB68" s="13">
        <f t="shared" si="49"/>
        <v>47.179402486491298</v>
      </c>
      <c r="GC68" s="20">
        <f t="shared" ref="GC68:GC131" si="79">(GA68+GB68)*0.475*44/12</f>
        <v>410.2485426639725</v>
      </c>
      <c r="GD68" s="59">
        <f t="shared" ref="GD68:GD131" si="80">GC68+(FU68+FV68)*44/12</f>
        <v>703.58187599730581</v>
      </c>
      <c r="GE68" s="59">
        <f ca="1">AVERAGE(OFFSET($GD$3,0,0,'Données projet'!$E$17+1,1))-AVERAGE(OFFSET($H$3,0,0,'Données projet'!$E$17+1,1))</f>
        <v>165.39579887388538</v>
      </c>
      <c r="GF68" s="59">
        <f t="shared" si="50"/>
        <v>155.89639262545802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2.762107411362861</v>
      </c>
      <c r="GN68" s="21">
        <f>EXP(-LN(2)/2)*GN67+(1-EXP(-LN(2)/2))/(LN(2)/2)*GH68*GK68*VLOOKUP('Données projet'!$B$17,Paramètres!$A$1:$I$89,3,0)*0.475*44/12</f>
        <v>7.4879969723485186E-5</v>
      </c>
      <c r="GO68" s="21">
        <f t="shared" ref="GO68:GO131" si="81">SUM(GL68:GN68)</f>
        <v>2.7621822913325844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5.2</v>
      </c>
      <c r="GU68" s="12">
        <f>IF('Données projet'!$A$270&gt;35,GU67+GT68-HC67,IF(A68&lt;'Données projet'!$A$270,$GR$205^A68,IF(A68='Données projet'!$A$270,'Données projet'!$B$270,GU67+GT68-HC67)))</f>
        <v>159.99999999999991</v>
      </c>
      <c r="GV68" s="17">
        <f>GU68*VLOOKUP('Données projet'!$B$18,Paramètres!$A$1:$I$89,3,0)*VLOOKUP('Données projet'!$B$18,Paramètres!$A$1:$I$89,5,0)</f>
        <v>172.2239999999999</v>
      </c>
      <c r="GW68" s="13">
        <f t="shared" si="51"/>
        <v>43.587748184815666</v>
      </c>
      <c r="GX68" s="20">
        <f t="shared" ref="GX68:GX131" si="82">(GV68+GW68)*0.475*44/12</f>
        <v>375.87212808855378</v>
      </c>
      <c r="GY68" s="59">
        <f t="shared" ref="GY68:GY131" si="83">GX68+(GP68+GQ68)*44/12</f>
        <v>669.20546142188709</v>
      </c>
      <c r="GZ68" s="59">
        <f ca="1">AVERAGE(OFFSET($GY$3,0,0,'Données projet'!$E$18+1,1))-AVERAGE(OFFSET($H$3,0,0,'Données projet'!$E$18+1,1))</f>
        <v>186.60545265015247</v>
      </c>
      <c r="HA68" s="59">
        <f t="shared" si="52"/>
        <v>69.239647548491234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0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0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10.6</v>
      </c>
      <c r="N69" s="13">
        <f>IF('Données projet'!$A$36&gt;35,N68+M69-V68,IF(A69&lt;'Données projet'!$A$36,$K$205^A69,IF(A69='Données projet'!$A$36,'Données projet'!$B$36,N68+M69-V68)))</f>
        <v>442.60000000000014</v>
      </c>
      <c r="O69" s="13">
        <f>N69*VLOOKUP('Données projet'!$B$9,Paramètres!$A$1:$I$89,3,0)*VLOOKUP('Données projet'!$B$9,Paramètres!$A$1:$I$89,5,0)</f>
        <v>247.41340000000011</v>
      </c>
      <c r="P69" s="13">
        <f t="shared" ref="P69:P132" si="87">EXP(-1.0587+0.8836*LN(O69)+0.284)</f>
        <v>60.031724575605175</v>
      </c>
      <c r="Q69" s="20">
        <f t="shared" si="54"/>
        <v>535.46692530251255</v>
      </c>
      <c r="R69" s="59">
        <f t="shared" si="55"/>
        <v>828.80025863584592</v>
      </c>
      <c r="S69" s="59">
        <f ca="1">AVERAGE(OFFSET($R$3,0,0,'Données projet'!$E$9+1,1))-AVERAGE(OFFSET($H$3,0,0,'Données projet'!$E$9+1,1))</f>
        <v>235.10258076192054</v>
      </c>
      <c r="T69" s="59">
        <f t="shared" ref="T69:T132" si="88">$T$3</f>
        <v>233.47316052603765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1.6793889341376165</v>
      </c>
      <c r="AA69" s="21">
        <f>EXP(-LN(2)/25)*AA68+(1-EXP(-LN(2)/25))/(LN(2)/25)*Calculateur!V69*Calculateur!X69*VLOOKUP('Données projet'!$B$9,Paramètres!$A$1:$I$89,3,0)*0.475*44/12</f>
        <v>6.7944957405105084</v>
      </c>
      <c r="AB69" s="21">
        <f>EXP(-LN(2)/2)*AB68+(1-EXP(-LN(2)/2))/(LN(2)/2)*V69*Y69*VLOOKUP('Données projet'!$B$9,Paramètres!$A$1:$I$89,3,0)*0.475*44/12</f>
        <v>9.2018439188644002E-5</v>
      </c>
      <c r="AC69" s="22">
        <f t="shared" si="57"/>
        <v>8.4739766930873142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7.1</v>
      </c>
      <c r="AI69" s="13">
        <f>IF('Données projet'!$A$62&gt;35,AI68+AH69-AQ68,IF(A69&lt;'Données projet'!$A$62,$AF$205^A69,IF(A69='Données projet'!$A$62,'Données projet'!$B$62,AI68+AH69-AQ68)))</f>
        <v>325.59999999999991</v>
      </c>
      <c r="AJ69" s="13">
        <f>AI69*VLOOKUP('Données projet'!$B$10,Paramètres!$A$1:$I$89,3,0)*VLOOKUP('Données projet'!$B$10,Paramètres!$A$1:$I$89,5,0)</f>
        <v>177.77759999999995</v>
      </c>
      <c r="AK69" s="13">
        <f t="shared" ref="AK69:AK132" si="89">EXP(-1.0587+0.8836*LN(AJ69)+0.284)</f>
        <v>44.827386173754917</v>
      </c>
      <c r="AL69" s="20">
        <f t="shared" si="58"/>
        <v>387.70368425262308</v>
      </c>
      <c r="AM69" s="59">
        <f t="shared" si="59"/>
        <v>681.03701758595639</v>
      </c>
      <c r="AN69" s="59">
        <f ca="1">AVERAGE(OFFSET($AM$3,0,0,'Données projet'!$E$10+1,1))-AVERAGE(OFFSET($H$3,0,0,'Données projet'!$E$10+1,1))</f>
        <v>168.72306536277267</v>
      </c>
      <c r="AO69" s="59">
        <f t="shared" ref="AO69:AO132" si="90">$AO$3</f>
        <v>203.35476578922339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1.4912121613906959</v>
      </c>
      <c r="AV69" s="21">
        <f>EXP(-LN(2)/25)*AV68+(1-EXP(-LN(2)/25))/(LN(2)/25)*Calculateur!AQ69*Calculateur!AS69*VLOOKUP('Données projet'!$B$10,Paramètres!$A$1:$I$89,3,0)*0.475*44/12</f>
        <v>8.4715274311531292</v>
      </c>
      <c r="AW69" s="21">
        <f>EXP(-LN(2)/2)*AW68+(1-EXP(-LN(2)/2))/(LN(2)/2)*AQ69*AT69*VLOOKUP('Données projet'!$B$10,Paramètres!$A$1:$I$89,3,0)*0.475*44/12</f>
        <v>7.6384912956578316E-5</v>
      </c>
      <c r="AX69" s="21">
        <f t="shared" si="60"/>
        <v>9.9628159774567813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</v>
      </c>
      <c r="BD69" s="12">
        <f>IF('Données projet'!$A$88&gt;35,BD68+BC69-BL68,IF(A69&lt;'Données projet'!$A$88,$BA$205^A69,IF(A69='Données projet'!$A$88,'Données projet'!$B$88,BD68+BC69-BL68)))</f>
        <v>323.00000000000006</v>
      </c>
      <c r="BE69" s="13">
        <f>BD69*VLOOKUP('Données projet'!$B$11,Paramètres!$A$1:$I$89,3,0)*VLOOKUP('Données projet'!$B$11,Paramètres!$A$1:$I$89,5,0)</f>
        <v>193.15400000000005</v>
      </c>
      <c r="BF69" s="13">
        <f t="shared" ref="BF69:BF132" si="91">EXP(-1.0587+0.8836*LN(BE69)+0.284)</f>
        <v>48.236587915544618</v>
      </c>
      <c r="BG69" s="20">
        <f t="shared" si="61"/>
        <v>420.42194061957366</v>
      </c>
      <c r="BH69" s="59">
        <f t="shared" si="62"/>
        <v>713.75527395290692</v>
      </c>
      <c r="BI69" s="59">
        <f ca="1">AVERAGE(OFFSET($BH$3,0,0,'Données projet'!$E$11+1,1))-AVERAGE(OFFSET($H$3,0,0,'Données projet'!$E$11+1,1))</f>
        <v>165.39579887388538</v>
      </c>
      <c r="BJ69" s="59">
        <f t="shared" ref="BJ69:BJ132" si="92">$BJ$3</f>
        <v>155.89639262545802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2.6865774389462276</v>
      </c>
      <c r="BR69" s="21">
        <f>EXP(-LN(2)/2)*BR68+(1-EXP(-LN(2)/2))/(LN(2)/2)*BL69*BO69*VLOOKUP('Données projet'!$B$11,Paramètres!$A$1:$I$89,3,0)*0.475*44/12</f>
        <v>5.2948134366519744E-5</v>
      </c>
      <c r="BS69" s="22">
        <f t="shared" si="63"/>
        <v>2.6866303870805943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165.1999999999999</v>
      </c>
      <c r="BZ69" s="13">
        <f>BY69*VLOOKUP('Données projet'!$B$12,Paramètres!$A$1:$I$89,3,0)*VLOOKUP('Données projet'!$B$12,Paramètres!$A$1:$I$89,5,0)</f>
        <v>159.78143999999992</v>
      </c>
      <c r="CA69" s="13">
        <f t="shared" ref="CA69:CA132" si="93">EXP(-1.0587+0.8836*LN(BZ69)+0.284)</f>
        <v>40.793214667472085</v>
      </c>
      <c r="CB69" s="20">
        <f t="shared" si="64"/>
        <v>349.3341902125137</v>
      </c>
      <c r="CC69" s="59">
        <f t="shared" si="65"/>
        <v>642.66752354584696</v>
      </c>
      <c r="CD69" s="59">
        <f ca="1">AVERAGE(OFFSET($CC$3,0,0,'Données projet'!$E$12+1,1))-AVERAGE(OFFSET($H$3,0,0,'Données projet'!$E$12+1,1))</f>
        <v>156.26368818265388</v>
      </c>
      <c r="CE69" s="59">
        <f t="shared" ref="CE69:CE132" si="94">$CE$3</f>
        <v>56.347130462109817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165.1999999999999</v>
      </c>
      <c r="CU69" s="17">
        <f>CT69*VLOOKUP('Données projet'!$B$13,Paramètres!$A$1:$I$89,3,0)*VLOOKUP('Données projet'!$B$13,Paramètres!$A$1:$I$89,5,0)</f>
        <v>134.01023999999992</v>
      </c>
      <c r="CV69" s="13">
        <f t="shared" ref="CV69:CV132" si="95">EXP(-1.0587+0.8836*LN(CU69)+0.284)</f>
        <v>34.921363182969401</v>
      </c>
      <c r="CW69" s="20">
        <f t="shared" si="67"/>
        <v>294.22254221033819</v>
      </c>
      <c r="CX69" s="59">
        <f t="shared" si="68"/>
        <v>587.5558755436715</v>
      </c>
      <c r="CY69" s="59">
        <f ca="1">AVERAGE(OFFSET($CX$3,0,0,'Données projet'!$E$13+1,1))-AVERAGE(OFFSET($H$3,0,0,'Données projet'!$E$13+1,1))</f>
        <v>112.78807760743126</v>
      </c>
      <c r="CZ69" s="59">
        <f t="shared" ref="CZ69:CZ132" si="96">$CZ$3</f>
        <v>37.867745922003564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3.2</v>
      </c>
      <c r="DO69" s="12">
        <f>IF('Données projet'!$A$166&gt;35,DO68+DN69-DW68,IF(A69&lt;'Données projet'!$A$166,$DL$205^A69,IF(A69='Données projet'!$A$166,'Données projet'!$B$166,DO68+DN69-DW68)))</f>
        <v>204.19999999999996</v>
      </c>
      <c r="DP69" s="17">
        <f>DO69*VLOOKUP('Données projet'!$B$14,Paramètres!$A$1:$I$89,3,0)*VLOOKUP('Données projet'!$B$14,Paramètres!$A$1:$I$89,5,0)</f>
        <v>136.97735999999998</v>
      </c>
      <c r="DQ69" s="13">
        <f t="shared" ref="DQ69:DQ132" si="97">EXP(-1.0587+0.8836*LN(DP69)+0.284)</f>
        <v>35.603683950434494</v>
      </c>
      <c r="DR69" s="20">
        <f t="shared" si="70"/>
        <v>300.5786515470067</v>
      </c>
      <c r="DS69" s="59">
        <f t="shared" si="71"/>
        <v>593.91198488034001</v>
      </c>
      <c r="DT69" s="59">
        <f ca="1">AVERAGE(OFFSET($DS$3,0,0,'Données projet'!$E$14+1,1))-AVERAGE(OFFSET($H$3,0,0,'Données projet'!$E$14+1,1))</f>
        <v>107.15837202366862</v>
      </c>
      <c r="DU69" s="59">
        <f t="shared" ref="DU69:DU132" si="98">$DU$3</f>
        <v>139.67031833740026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2.0890591216864776</v>
      </c>
      <c r="EC69" s="21">
        <f>EXP(-LN(2)/2)*EC68+(1-EXP(-LN(2)/2))/(LN(2)/2)*DW69*DZ69*VLOOKUP('Données projet'!$B$14,Paramètres!$A$1:$I$89,3,0)*0.475*44/12</f>
        <v>2.5747205947134115E-5</v>
      </c>
      <c r="ED69" s="22">
        <f t="shared" si="72"/>
        <v>2.0890848688924248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7.5</v>
      </c>
      <c r="EJ69" s="12">
        <f>IF('Données projet'!$A$192&gt;35,EJ68+EI69-ER68,IF(A69&lt;'Données projet'!$A$192,$EG$205^A69,IF(A69='Données projet'!$A$192,'Données projet'!$B$192,EJ68+EI69-ER68)))</f>
        <v>273.79999999999995</v>
      </c>
      <c r="EK69" s="17">
        <f>EJ69*VLOOKUP('Données projet'!$B$15,Paramètres!$A$1:$I$89,3,0)*VLOOKUP('Données projet'!$B$15,Paramètres!$A$1:$I$89,5,0)</f>
        <v>128.13839999999999</v>
      </c>
      <c r="EL69" s="13">
        <f t="shared" ref="EL69:EL132" si="99">EXP(-1.0587+0.8836*LN(EK69)+0.284)</f>
        <v>33.565837798615647</v>
      </c>
      <c r="EM69" s="20">
        <f t="shared" si="73"/>
        <v>281.63488083258886</v>
      </c>
      <c r="EN69" s="59">
        <f t="shared" si="74"/>
        <v>574.96821416592218</v>
      </c>
      <c r="EO69" s="59">
        <f ca="1">AVERAGE(OFFSET($EN$3,0,0,'Données projet'!$E$15+1,1))-AVERAGE(OFFSET($H$3,0,0,'Données projet'!$E$15+1,1))</f>
        <v>123.60520571614535</v>
      </c>
      <c r="EP69" s="59">
        <f t="shared" ref="EP69:EP132" si="100">$EP$3</f>
        <v>119.00926870519527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0.42514763050261289</v>
      </c>
      <c r="EW69" s="21">
        <f>EXP(-LN(2)/25)*EW68+(1-EXP(-LN(2)/25))/(LN(2)/25)*Calculateur!ER69*Calculateur!ET69*VLOOKUP('Données projet'!$B$15,Paramètres!$A$1:$I$89,3,0)*0.475*44/12</f>
        <v>1.7605568943689398</v>
      </c>
      <c r="EX69" s="21">
        <f>EXP(-LN(2)/2)*EX68+(1-EXP(-LN(2)/2))/(LN(2)/2)*ER69*EU69*VLOOKUP('Données projet'!$B$15,Paramètres!$A$1:$I$89,3,0)*0.475*44/12</f>
        <v>2.3321954693155462E-5</v>
      </c>
      <c r="EY69" s="22">
        <f t="shared" si="75"/>
        <v>2.185727846826246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13.3</v>
      </c>
      <c r="FE69" s="12">
        <f>IF('Données projet'!$A$218&gt;35,FE68+FD69-FM68,IF(A69&lt;'Données projet'!$A$218,$FB$205^A69,IF(A69='Données projet'!$A$218,'Données projet'!$B$218,FE68+FD69-FM68)))</f>
        <v>496.80000000000013</v>
      </c>
      <c r="FF69" s="17">
        <f>FE69*VLOOKUP('Données projet'!$B$16,Paramètres!$A$1:$I$89,3,0)*VLOOKUP('Données projet'!$B$16,Paramètres!$A$1:$I$89,5,0)</f>
        <v>238.96080000000003</v>
      </c>
      <c r="FG69" s="13">
        <f t="shared" ref="FG69:FG132" si="101">EXP(-1.0587+0.8836*LN(FF69)+0.284)</f>
        <v>58.215885103108349</v>
      </c>
      <c r="FH69" s="20">
        <f t="shared" si="76"/>
        <v>517.5827265545804</v>
      </c>
      <c r="FI69" s="59">
        <f t="shared" si="77"/>
        <v>810.91605988791366</v>
      </c>
      <c r="FJ69" s="59">
        <f ca="1">AVERAGE(OFFSET($FI$3,0,0,'Données projet'!$E$16+1,1))-AVERAGE(OFFSET($H$3,0,0,'Données projet'!$E$16+1,1))</f>
        <v>197.66963254934603</v>
      </c>
      <c r="FK69" s="59">
        <f t="shared" ref="FK69:FK132" si="102">$FK$3</f>
        <v>158.08388141976138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1.3074312521580782</v>
      </c>
      <c r="FR69" s="21">
        <f>EXP(-LN(2)/25)*FR68+(1-EXP(-LN(2)/25))/(LN(2)/25)*Calculateur!FM69*Calculateur!FO69*VLOOKUP('Données projet'!$B$16,Paramètres!$A$1:$I$89,3,0)*0.475*44/12</f>
        <v>1.9583177410506603</v>
      </c>
      <c r="FS69" s="21">
        <f>EXP(-LN(2)/2)*FS68+(1-EXP(-LN(2)/2))/(LN(2)/2)*FM69*FP69*VLOOKUP('Données projet'!$B$16,Paramètres!$A$1:$I$89,3,0)*0.475*44/12</f>
        <v>3.1577975363447187E-5</v>
      </c>
      <c r="FT69" s="22">
        <f t="shared" si="78"/>
        <v>3.2657805711841021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8</v>
      </c>
      <c r="FZ69" s="12">
        <f>IF('Données projet'!$A$244&gt;35,FZ68+FY69-GH68,IF(A69&lt;'Données projet'!$A$244,$FW$205^A69,IF(A69='Données projet'!$A$244,'Données projet'!$B$244,FZ68+FY69-GH68)))</f>
        <v>323.00000000000006</v>
      </c>
      <c r="GA69" s="17">
        <f>FZ69*VLOOKUP('Données projet'!$B$17,Paramètres!$A$1:$I$89,3,0)*VLOOKUP('Données projet'!$B$17,Paramètres!$A$1:$I$89,5,0)</f>
        <v>193.15400000000005</v>
      </c>
      <c r="GB69" s="13">
        <f t="shared" ref="GB69:GB132" si="103">EXP(-1.0587+0.8836*LN(GA69)+0.284)</f>
        <v>48.236587915544618</v>
      </c>
      <c r="GC69" s="20">
        <f t="shared" si="79"/>
        <v>420.42194061957366</v>
      </c>
      <c r="GD69" s="59">
        <f t="shared" si="80"/>
        <v>713.75527395290692</v>
      </c>
      <c r="GE69" s="59">
        <f ca="1">AVERAGE(OFFSET($GD$3,0,0,'Données projet'!$E$17+1,1))-AVERAGE(OFFSET($H$3,0,0,'Données projet'!$E$17+1,1))</f>
        <v>165.39579887388538</v>
      </c>
      <c r="GF69" s="59">
        <f t="shared" ref="GF69:GF132" si="104">$GF$3</f>
        <v>155.89639262545802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2.6865774389462276</v>
      </c>
      <c r="GN69" s="21">
        <f>EXP(-LN(2)/2)*GN68+(1-EXP(-LN(2)/2))/(LN(2)/2)*GH69*GK69*VLOOKUP('Données projet'!$B$17,Paramètres!$A$1:$I$89,3,0)*0.475*44/12</f>
        <v>5.2948134366519744E-5</v>
      </c>
      <c r="GO69" s="21">
        <f t="shared" si="81"/>
        <v>2.6866303870805943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5.2</v>
      </c>
      <c r="GU69" s="12">
        <f>IF('Données projet'!$A$270&gt;35,GU68+GT69-HC68,IF(A69&lt;'Données projet'!$A$270,$GR$205^A69,IF(A69='Données projet'!$A$270,'Données projet'!$B$270,GU68+GT69-HC68)))</f>
        <v>165.1999999999999</v>
      </c>
      <c r="GV69" s="17">
        <f>GU69*VLOOKUP('Données projet'!$B$18,Paramètres!$A$1:$I$89,3,0)*VLOOKUP('Données projet'!$B$18,Paramètres!$A$1:$I$89,5,0)</f>
        <v>177.82127999999989</v>
      </c>
      <c r="GW69" s="13">
        <f t="shared" ref="GW69:GW132" si="105">EXP(-1.0587+0.8836*LN(GV69)+0.284)</f>
        <v>44.83711809318217</v>
      </c>
      <c r="GX69" s="20">
        <f t="shared" si="82"/>
        <v>387.79671001229207</v>
      </c>
      <c r="GY69" s="59">
        <f t="shared" si="83"/>
        <v>681.13004334562538</v>
      </c>
      <c r="GZ69" s="59">
        <f ca="1">AVERAGE(OFFSET($GY$3,0,0,'Données projet'!$E$18+1,1))-AVERAGE(OFFSET($H$3,0,0,'Données projet'!$E$18+1,1))</f>
        <v>186.60545265015247</v>
      </c>
      <c r="HA69" s="59">
        <f t="shared" ref="HA69:HA132" si="106">$HA$3</f>
        <v>69.239647548491234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0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0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10.6</v>
      </c>
      <c r="N70" s="13">
        <f>IF('Données projet'!$A$36&gt;35,N69+M70-V69,IF(A70&lt;'Données projet'!$A$36,$K$205^A70,IF(A70='Données projet'!$A$36,'Données projet'!$B$36,N69+M70-V69)))</f>
        <v>453.20000000000016</v>
      </c>
      <c r="O70" s="13">
        <f>N70*VLOOKUP('Données projet'!$B$9,Paramètres!$A$1:$I$89,3,0)*VLOOKUP('Données projet'!$B$9,Paramètres!$A$1:$I$89,5,0)</f>
        <v>253.33880000000008</v>
      </c>
      <c r="P70" s="13">
        <f t="shared" si="87"/>
        <v>61.300341649722711</v>
      </c>
      <c r="Q70" s="20">
        <f t="shared" si="54"/>
        <v>547.99650503993382</v>
      </c>
      <c r="R70" s="59">
        <f t="shared" si="55"/>
        <v>841.32983837326719</v>
      </c>
      <c r="S70" s="59">
        <f ca="1">AVERAGE(OFFSET($R$3,0,0,'Données projet'!$E$9+1,1))-AVERAGE(OFFSET($H$3,0,0,'Données projet'!$E$9+1,1))</f>
        <v>235.10258076192054</v>
      </c>
      <c r="T70" s="59">
        <f t="shared" si="88"/>
        <v>233.47316052603765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1.6464571414652838</v>
      </c>
      <c r="AA70" s="21">
        <f>EXP(-LN(2)/25)*AA69+(1-EXP(-LN(2)/25))/(LN(2)/25)*Calculateur!V70*Calculateur!X70*VLOOKUP('Données projet'!$B$9,Paramètres!$A$1:$I$89,3,0)*0.475*44/12</f>
        <v>6.608699897179247</v>
      </c>
      <c r="AB70" s="21">
        <f>EXP(-LN(2)/2)*AB69+(1-EXP(-LN(2)/2))/(LN(2)/2)*V70*Y70*VLOOKUP('Données projet'!$B$9,Paramètres!$A$1:$I$89,3,0)*0.475*44/12</f>
        <v>6.5066862344492123E-5</v>
      </c>
      <c r="AC70" s="22">
        <f t="shared" si="57"/>
        <v>8.2552221055068742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7.1</v>
      </c>
      <c r="AI70" s="13">
        <f>IF('Données projet'!$A$62&gt;35,AI69+AH70-AQ69,IF(A70&lt;'Données projet'!$A$62,$AF$205^A70,IF(A70='Données projet'!$A$62,'Données projet'!$B$62,AI69+AH70-AQ69)))</f>
        <v>332.69999999999993</v>
      </c>
      <c r="AJ70" s="13">
        <f>AI70*VLOOKUP('Données projet'!$B$10,Paramètres!$A$1:$I$89,3,0)*VLOOKUP('Données projet'!$B$10,Paramètres!$A$1:$I$89,5,0)</f>
        <v>181.65419999999995</v>
      </c>
      <c r="AK70" s="13">
        <f t="shared" si="89"/>
        <v>45.690019016400768</v>
      </c>
      <c r="AL70" s="20">
        <f t="shared" si="58"/>
        <v>395.95784812023118</v>
      </c>
      <c r="AM70" s="59">
        <f t="shared" si="59"/>
        <v>689.29118145356449</v>
      </c>
      <c r="AN70" s="59">
        <f ca="1">AVERAGE(OFFSET($AM$3,0,0,'Données projet'!$E$10+1,1))-AVERAGE(OFFSET($H$3,0,0,'Données projet'!$E$10+1,1))</f>
        <v>168.72306536277267</v>
      </c>
      <c r="AO70" s="59">
        <f t="shared" si="90"/>
        <v>203.35476578922339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1.4619704004554321</v>
      </c>
      <c r="AV70" s="21">
        <f>EXP(-LN(2)/25)*AV69+(1-EXP(-LN(2)/25))/(LN(2)/25)*Calculateur!AQ70*Calculateur!AS70*VLOOKUP('Données projet'!$B$10,Paramètres!$A$1:$I$89,3,0)*0.475*44/12</f>
        <v>8.239873068049981</v>
      </c>
      <c r="AW70" s="21">
        <f>EXP(-LN(2)/2)*AW69+(1-EXP(-LN(2)/2))/(LN(2)/2)*AQ70*AT70*VLOOKUP('Données projet'!$B$10,Paramètres!$A$1:$I$89,3,0)*0.475*44/12</f>
        <v>5.4012289931940703E-5</v>
      </c>
      <c r="AX70" s="21">
        <f t="shared" si="60"/>
        <v>9.7018974807953438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</v>
      </c>
      <c r="BD70" s="12">
        <f>IF('Données projet'!$A$88&gt;35,BD69+BC70-BL69,IF(A70&lt;'Données projet'!$A$88,$BA$205^A70,IF(A70='Données projet'!$A$88,'Données projet'!$B$88,BD69+BC70-BL69)))</f>
        <v>331.00000000000006</v>
      </c>
      <c r="BE70" s="13">
        <f>BD70*VLOOKUP('Données projet'!$B$11,Paramètres!$A$1:$I$89,3,0)*VLOOKUP('Données projet'!$B$11,Paramètres!$A$1:$I$89,5,0)</f>
        <v>197.93800000000005</v>
      </c>
      <c r="BF70" s="13">
        <f t="shared" si="91"/>
        <v>49.290729568773614</v>
      </c>
      <c r="BG70" s="20">
        <f t="shared" si="61"/>
        <v>430.5900373322807</v>
      </c>
      <c r="BH70" s="59">
        <f t="shared" si="62"/>
        <v>723.92337066561402</v>
      </c>
      <c r="BI70" s="59">
        <f ca="1">AVERAGE(OFFSET($BH$3,0,0,'Données projet'!$E$11+1,1))-AVERAGE(OFFSET($H$3,0,0,'Données projet'!$E$11+1,1))</f>
        <v>165.39579887388538</v>
      </c>
      <c r="BJ70" s="59">
        <f t="shared" si="92"/>
        <v>155.89639262545802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2.6131128375972756</v>
      </c>
      <c r="BR70" s="21">
        <f>EXP(-LN(2)/2)*BR69+(1-EXP(-LN(2)/2))/(LN(2)/2)*BL70*BO70*VLOOKUP('Données projet'!$B$11,Paramètres!$A$1:$I$89,3,0)*0.475*44/12</f>
        <v>3.7439984861742593E-5</v>
      </c>
      <c r="BS70" s="22">
        <f t="shared" si="63"/>
        <v>2.6131502775821374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170.39999999999989</v>
      </c>
      <c r="BZ70" s="13">
        <f>BY70*VLOOKUP('Données projet'!$B$12,Paramètres!$A$1:$I$89,3,0)*VLOOKUP('Données projet'!$B$12,Paramètres!$A$1:$I$89,5,0)</f>
        <v>164.81087999999991</v>
      </c>
      <c r="CA70" s="13">
        <f t="shared" si="93"/>
        <v>41.9257448429683</v>
      </c>
      <c r="CB70" s="20">
        <f t="shared" si="64"/>
        <v>360.06628826816967</v>
      </c>
      <c r="CC70" s="59">
        <f t="shared" si="65"/>
        <v>653.39962160150299</v>
      </c>
      <c r="CD70" s="59">
        <f ca="1">AVERAGE(OFFSET($CC$3,0,0,'Données projet'!$E$12+1,1))-AVERAGE(OFFSET($H$3,0,0,'Données projet'!$E$12+1,1))</f>
        <v>156.26368818265388</v>
      </c>
      <c r="CE70" s="59">
        <f t="shared" si="94"/>
        <v>56.347130462109817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170.39999999999989</v>
      </c>
      <c r="CU70" s="17">
        <f>CT70*VLOOKUP('Données projet'!$B$13,Paramètres!$A$1:$I$89,3,0)*VLOOKUP('Données projet'!$B$13,Paramètres!$A$1:$I$89,5,0)</f>
        <v>138.22847999999993</v>
      </c>
      <c r="CV70" s="13">
        <f t="shared" si="95"/>
        <v>35.890874850450473</v>
      </c>
      <c r="CW70" s="20">
        <f t="shared" si="67"/>
        <v>303.25787636453447</v>
      </c>
      <c r="CX70" s="59">
        <f t="shared" si="68"/>
        <v>596.59120969786773</v>
      </c>
      <c r="CY70" s="59">
        <f ca="1">AVERAGE(OFFSET($CX$3,0,0,'Données projet'!$E$13+1,1))-AVERAGE(OFFSET($H$3,0,0,'Données projet'!$E$13+1,1))</f>
        <v>112.78807760743126</v>
      </c>
      <c r="CZ70" s="59">
        <f t="shared" si="96"/>
        <v>37.867745922003564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3.2</v>
      </c>
      <c r="DO70" s="12">
        <f>IF('Données projet'!$A$166&gt;35,DO69+DN70-DW69,IF(A70&lt;'Données projet'!$A$166,$DL$205^A70,IF(A70='Données projet'!$A$166,'Données projet'!$B$166,DO69+DN70-DW69)))</f>
        <v>207.39999999999995</v>
      </c>
      <c r="DP70" s="17">
        <f>DO70*VLOOKUP('Données projet'!$B$14,Paramètres!$A$1:$I$89,3,0)*VLOOKUP('Données projet'!$B$14,Paramètres!$A$1:$I$89,5,0)</f>
        <v>139.12391999999997</v>
      </c>
      <c r="DQ70" s="13">
        <f t="shared" si="97"/>
        <v>36.096234604679047</v>
      </c>
      <c r="DR70" s="20">
        <f t="shared" si="70"/>
        <v>305.17510260314924</v>
      </c>
      <c r="DS70" s="59">
        <f t="shared" si="71"/>
        <v>598.50843593648256</v>
      </c>
      <c r="DT70" s="59">
        <f ca="1">AVERAGE(OFFSET($DS$3,0,0,'Données projet'!$E$14+1,1))-AVERAGE(OFFSET($H$3,0,0,'Données projet'!$E$14+1,1))</f>
        <v>107.15837202366862</v>
      </c>
      <c r="DU70" s="59">
        <f t="shared" si="98"/>
        <v>139.67031833740026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2.0319336901451162</v>
      </c>
      <c r="EC70" s="21">
        <f>EXP(-LN(2)/2)*EC69+(1-EXP(-LN(2)/2))/(LN(2)/2)*DW70*DZ70*VLOOKUP('Données projet'!$B$14,Paramètres!$A$1:$I$89,3,0)*0.475*44/12</f>
        <v>1.8206023921825138E-5</v>
      </c>
      <c r="ED70" s="22">
        <f t="shared" si="72"/>
        <v>2.0319518961690379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7.5</v>
      </c>
      <c r="EJ70" s="12">
        <f>IF('Données projet'!$A$192&gt;35,EJ69+EI70-ER69,IF(A70&lt;'Données projet'!$A$192,$EG$205^A70,IF(A70='Données projet'!$A$192,'Données projet'!$B$192,EJ69+EI70-ER69)))</f>
        <v>281.29999999999995</v>
      </c>
      <c r="EK70" s="17">
        <f>EJ70*VLOOKUP('Données projet'!$B$15,Paramètres!$A$1:$I$89,3,0)*VLOOKUP('Données projet'!$B$15,Paramètres!$A$1:$I$89,5,0)</f>
        <v>131.64839999999998</v>
      </c>
      <c r="EL70" s="13">
        <f t="shared" si="99"/>
        <v>34.376976398956401</v>
      </c>
      <c r="EM70" s="20">
        <f t="shared" si="73"/>
        <v>289.160863894849</v>
      </c>
      <c r="EN70" s="59">
        <f t="shared" si="74"/>
        <v>582.49419722818232</v>
      </c>
      <c r="EO70" s="59">
        <f ca="1">AVERAGE(OFFSET($EN$3,0,0,'Données projet'!$E$15+1,1))-AVERAGE(OFFSET($H$3,0,0,'Données projet'!$E$15+1,1))</f>
        <v>123.60520571614535</v>
      </c>
      <c r="EP70" s="59">
        <f t="shared" si="100"/>
        <v>119.00926870519527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0.41681074478290608</v>
      </c>
      <c r="EW70" s="21">
        <f>EXP(-LN(2)/25)*EW69+(1-EXP(-LN(2)/25))/(LN(2)/25)*Calculateur!ER70*Calculateur!ET70*VLOOKUP('Données projet'!$B$15,Paramètres!$A$1:$I$89,3,0)*0.475*44/12</f>
        <v>1.7124143735087578</v>
      </c>
      <c r="EX70" s="21">
        <f>EXP(-LN(2)/2)*EX69+(1-EXP(-LN(2)/2))/(LN(2)/2)*ER70*EU70*VLOOKUP('Données projet'!$B$15,Paramètres!$A$1:$I$89,3,0)*0.475*44/12</f>
        <v>1.6491112314055654E-5</v>
      </c>
      <c r="EY70" s="22">
        <f t="shared" si="75"/>
        <v>2.1292416094039779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13.3</v>
      </c>
      <c r="FE70" s="12">
        <f>IF('Données projet'!$A$218&gt;35,FE69+FD70-FM69,IF(A70&lt;'Données projet'!$A$218,$FB$205^A70,IF(A70='Données projet'!$A$218,'Données projet'!$B$218,FE69+FD70-FM69)))</f>
        <v>510.10000000000014</v>
      </c>
      <c r="FF70" s="17">
        <f>FE70*VLOOKUP('Données projet'!$B$16,Paramètres!$A$1:$I$89,3,0)*VLOOKUP('Données projet'!$B$16,Paramètres!$A$1:$I$89,5,0)</f>
        <v>245.35810000000006</v>
      </c>
      <c r="FG70" s="13">
        <f t="shared" si="101"/>
        <v>59.590866192299721</v>
      </c>
      <c r="FH70" s="20">
        <f t="shared" si="76"/>
        <v>531.11944945158882</v>
      </c>
      <c r="FI70" s="59">
        <f t="shared" si="77"/>
        <v>824.45278278492219</v>
      </c>
      <c r="FJ70" s="59">
        <f ca="1">AVERAGE(OFFSET($FI$3,0,0,'Données projet'!$E$16+1,1))-AVERAGE(OFFSET($H$3,0,0,'Données projet'!$E$16+1,1))</f>
        <v>197.66963254934603</v>
      </c>
      <c r="FK70" s="59">
        <f t="shared" si="102"/>
        <v>158.08388141976138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1.28179332275758</v>
      </c>
      <c r="FR70" s="21">
        <f>EXP(-LN(2)/25)*FR69+(1-EXP(-LN(2)/25))/(LN(2)/25)*Calculateur!FM70*Calculateur!FO70*VLOOKUP('Données projet'!$B$16,Paramètres!$A$1:$I$89,3,0)*0.475*44/12</f>
        <v>1.9047674394381757</v>
      </c>
      <c r="FS70" s="21">
        <f>EXP(-LN(2)/2)*FS69+(1-EXP(-LN(2)/2))/(LN(2)/2)*FM70*FP70*VLOOKUP('Données projet'!$B$16,Paramètres!$A$1:$I$89,3,0)*0.475*44/12</f>
        <v>2.2329000515635239E-5</v>
      </c>
      <c r="FT70" s="22">
        <f t="shared" si="78"/>
        <v>3.1865830911962711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8</v>
      </c>
      <c r="FZ70" s="12">
        <f>IF('Données projet'!$A$244&gt;35,FZ69+FY70-GH69,IF(A70&lt;'Données projet'!$A$244,$FW$205^A70,IF(A70='Données projet'!$A$244,'Données projet'!$B$244,FZ69+FY70-GH69)))</f>
        <v>331.00000000000006</v>
      </c>
      <c r="GA70" s="17">
        <f>FZ70*VLOOKUP('Données projet'!$B$17,Paramètres!$A$1:$I$89,3,0)*VLOOKUP('Données projet'!$B$17,Paramètres!$A$1:$I$89,5,0)</f>
        <v>197.93800000000005</v>
      </c>
      <c r="GB70" s="13">
        <f t="shared" si="103"/>
        <v>49.290729568773614</v>
      </c>
      <c r="GC70" s="20">
        <f t="shared" si="79"/>
        <v>430.5900373322807</v>
      </c>
      <c r="GD70" s="59">
        <f t="shared" si="80"/>
        <v>723.92337066561402</v>
      </c>
      <c r="GE70" s="59">
        <f ca="1">AVERAGE(OFFSET($GD$3,0,0,'Données projet'!$E$17+1,1))-AVERAGE(OFFSET($H$3,0,0,'Données projet'!$E$17+1,1))</f>
        <v>165.39579887388538</v>
      </c>
      <c r="GF70" s="59">
        <f t="shared" si="104"/>
        <v>155.89639262545802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2.6131128375972756</v>
      </c>
      <c r="GN70" s="21">
        <f>EXP(-LN(2)/2)*GN69+(1-EXP(-LN(2)/2))/(LN(2)/2)*GH70*GK70*VLOOKUP('Données projet'!$B$17,Paramètres!$A$1:$I$89,3,0)*0.475*44/12</f>
        <v>3.7439984861742593E-5</v>
      </c>
      <c r="GO70" s="21">
        <f t="shared" si="81"/>
        <v>2.6131502775821374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5.2</v>
      </c>
      <c r="GU70" s="12">
        <f>IF('Données projet'!$A$270&gt;35,GU69+GT70-HC69,IF(A70&lt;'Données projet'!$A$270,$GR$205^A70,IF(A70='Données projet'!$A$270,'Données projet'!$B$270,GU69+GT70-HC69)))</f>
        <v>170.39999999999989</v>
      </c>
      <c r="GV70" s="17">
        <f>GU70*VLOOKUP('Données projet'!$B$18,Paramètres!$A$1:$I$89,3,0)*VLOOKUP('Données projet'!$B$18,Paramètres!$A$1:$I$89,5,0)</f>
        <v>183.41855999999987</v>
      </c>
      <c r="GW70" s="13">
        <f t="shared" si="105"/>
        <v>46.081917985437421</v>
      </c>
      <c r="GX70" s="20">
        <f t="shared" si="82"/>
        <v>399.71333249130322</v>
      </c>
      <c r="GY70" s="59">
        <f t="shared" si="83"/>
        <v>693.04666582463653</v>
      </c>
      <c r="GZ70" s="59">
        <f ca="1">AVERAGE(OFFSET($GY$3,0,0,'Données projet'!$E$18+1,1))-AVERAGE(OFFSET($H$3,0,0,'Données projet'!$E$18+1,1))</f>
        <v>186.60545265015247</v>
      </c>
      <c r="HA70" s="59">
        <f t="shared" si="106"/>
        <v>69.239647548491234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0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0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10.6</v>
      </c>
      <c r="N71" s="13">
        <f>IF('Données projet'!$A$36&gt;35,N70+M71-V70,IF(A71&lt;'Données projet'!$A$36,$K$205^A71,IF(A71='Données projet'!$A$36,'Données projet'!$B$36,N70+M71-V70)))</f>
        <v>463.80000000000018</v>
      </c>
      <c r="O71" s="13">
        <f>N71*VLOOKUP('Données projet'!$B$9,Paramètres!$A$1:$I$89,3,0)*VLOOKUP('Données projet'!$B$9,Paramètres!$A$1:$I$89,5,0)</f>
        <v>259.26420000000013</v>
      </c>
      <c r="P71" s="13">
        <f t="shared" si="87"/>
        <v>62.565509270313164</v>
      </c>
      <c r="Q71" s="20">
        <f t="shared" si="54"/>
        <v>560.52007697912893</v>
      </c>
      <c r="R71" s="59">
        <f t="shared" si="55"/>
        <v>853.8534103124623</v>
      </c>
      <c r="S71" s="59">
        <f ca="1">AVERAGE(OFFSET($R$3,0,0,'Données projet'!$E$9+1,1))-AVERAGE(OFFSET($H$3,0,0,'Données projet'!$E$9+1,1))</f>
        <v>235.10258076192054</v>
      </c>
      <c r="T71" s="59">
        <f t="shared" si="88"/>
        <v>233.47316052603765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1.6141711211608454</v>
      </c>
      <c r="AA71" s="21">
        <f>EXP(-LN(2)/25)*AA70+(1-EXP(-LN(2)/25))/(LN(2)/25)*Calculateur!V71*Calculateur!X71*VLOOKUP('Données projet'!$B$9,Paramètres!$A$1:$I$89,3,0)*0.475*44/12</f>
        <v>6.4279846509544569</v>
      </c>
      <c r="AB71" s="21">
        <f>EXP(-LN(2)/2)*AB70+(1-EXP(-LN(2)/2))/(LN(2)/2)*V71*Y71*VLOOKUP('Données projet'!$B$9,Paramètres!$A$1:$I$89,3,0)*0.475*44/12</f>
        <v>4.6009219594322001E-5</v>
      </c>
      <c r="AC71" s="22">
        <f t="shared" si="57"/>
        <v>8.0422017813348976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7.1</v>
      </c>
      <c r="AI71" s="13">
        <f>IF('Données projet'!$A$62&gt;35,AI70+AH71-AQ70,IF(A71&lt;'Données projet'!$A$62,$AF$205^A71,IF(A71='Données projet'!$A$62,'Données projet'!$B$62,AI70+AH71-AQ70)))</f>
        <v>339.79999999999995</v>
      </c>
      <c r="AJ71" s="13">
        <f>AI71*VLOOKUP('Données projet'!$B$10,Paramètres!$A$1:$I$89,3,0)*VLOOKUP('Données projet'!$B$10,Paramètres!$A$1:$I$89,5,0)</f>
        <v>185.53079999999997</v>
      </c>
      <c r="AK71" s="13">
        <f t="shared" si="89"/>
        <v>46.550511532337509</v>
      </c>
      <c r="AL71" s="20">
        <f t="shared" si="58"/>
        <v>404.20828425215444</v>
      </c>
      <c r="AM71" s="59">
        <f t="shared" si="59"/>
        <v>697.54161758548776</v>
      </c>
      <c r="AN71" s="59">
        <f ca="1">AVERAGE(OFFSET($AM$3,0,0,'Données projet'!$E$10+1,1))-AVERAGE(OFFSET($H$3,0,0,'Données projet'!$E$10+1,1))</f>
        <v>168.72306536277267</v>
      </c>
      <c r="AO71" s="59">
        <f t="shared" si="90"/>
        <v>203.35476578922339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1.433302052616396</v>
      </c>
      <c r="AV71" s="21">
        <f>EXP(-LN(2)/25)*AV70+(1-EXP(-LN(2)/25))/(LN(2)/25)*Calculateur!AQ71*Calculateur!AS71*VLOOKUP('Données projet'!$B$10,Paramètres!$A$1:$I$89,3,0)*0.475*44/12</f>
        <v>8.0145533056880627</v>
      </c>
      <c r="AW71" s="21">
        <f>EXP(-LN(2)/2)*AW70+(1-EXP(-LN(2)/2))/(LN(2)/2)*AQ71*AT71*VLOOKUP('Données projet'!$B$10,Paramètres!$A$1:$I$89,3,0)*0.475*44/12</f>
        <v>3.8192456478289158E-5</v>
      </c>
      <c r="AX71" s="21">
        <f t="shared" si="60"/>
        <v>9.4478935507609361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</v>
      </c>
      <c r="BD71" s="12">
        <f>IF('Données projet'!$A$88&gt;35,BD70+BC71-BL70,IF(A71&lt;'Données projet'!$A$88,$BA$205^A71,IF(A71='Données projet'!$A$88,'Données projet'!$B$88,BD70+BC71-BL70)))</f>
        <v>339.00000000000006</v>
      </c>
      <c r="BE71" s="13">
        <f>BD71*VLOOKUP('Données projet'!$B$11,Paramètres!$A$1:$I$89,3,0)*VLOOKUP('Données projet'!$B$11,Paramètres!$A$1:$I$89,5,0)</f>
        <v>202.72200000000004</v>
      </c>
      <c r="BF71" s="13">
        <f t="shared" si="91"/>
        <v>50.341909475522883</v>
      </c>
      <c r="BG71" s="20">
        <f t="shared" si="61"/>
        <v>440.75297566986904</v>
      </c>
      <c r="BH71" s="59">
        <f t="shared" si="62"/>
        <v>734.08630900320236</v>
      </c>
      <c r="BI71" s="59">
        <f ca="1">AVERAGE(OFFSET($BH$3,0,0,'Données projet'!$E$11+1,1))-AVERAGE(OFFSET($H$3,0,0,'Données projet'!$E$11+1,1))</f>
        <v>165.39579887388538</v>
      </c>
      <c r="BJ71" s="59">
        <f t="shared" si="92"/>
        <v>155.89639262545802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2.5416571296355466</v>
      </c>
      <c r="BR71" s="21">
        <f>EXP(-LN(2)/2)*BR70+(1-EXP(-LN(2)/2))/(LN(2)/2)*BL71*BO71*VLOOKUP('Données projet'!$B$11,Paramètres!$A$1:$I$89,3,0)*0.475*44/12</f>
        <v>2.6474067183259872E-5</v>
      </c>
      <c r="BS71" s="22">
        <f t="shared" si="63"/>
        <v>2.5416836037027299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175.59999999999988</v>
      </c>
      <c r="BZ71" s="13">
        <f>BY71*VLOOKUP('Données projet'!$B$12,Paramètres!$A$1:$I$89,3,0)*VLOOKUP('Données projet'!$B$12,Paramètres!$A$1:$I$89,5,0)</f>
        <v>169.84031999999991</v>
      </c>
      <c r="CA71" s="13">
        <f t="shared" si="93"/>
        <v>43.054258621433497</v>
      </c>
      <c r="CB71" s="20">
        <f t="shared" si="64"/>
        <v>370.79139109899648</v>
      </c>
      <c r="CC71" s="59">
        <f t="shared" si="65"/>
        <v>664.1247244323298</v>
      </c>
      <c r="CD71" s="59">
        <f ca="1">AVERAGE(OFFSET($CC$3,0,0,'Données projet'!$E$12+1,1))-AVERAGE(OFFSET($H$3,0,0,'Données projet'!$E$12+1,1))</f>
        <v>156.26368818265388</v>
      </c>
      <c r="CE71" s="59">
        <f t="shared" si="94"/>
        <v>56.347130462109817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175.59999999999988</v>
      </c>
      <c r="CU71" s="17">
        <f>CT71*VLOOKUP('Données projet'!$B$13,Paramètres!$A$1:$I$89,3,0)*VLOOKUP('Données projet'!$B$13,Paramètres!$A$1:$I$89,5,0)</f>
        <v>142.44671999999991</v>
      </c>
      <c r="CV71" s="13">
        <f t="shared" si="95"/>
        <v>36.856948248588274</v>
      </c>
      <c r="CW71" s="20">
        <f t="shared" si="67"/>
        <v>312.28722219962441</v>
      </c>
      <c r="CX71" s="59">
        <f t="shared" si="68"/>
        <v>605.62055553295772</v>
      </c>
      <c r="CY71" s="59">
        <f ca="1">AVERAGE(OFFSET($CX$3,0,0,'Données projet'!$E$13+1,1))-AVERAGE(OFFSET($H$3,0,0,'Données projet'!$E$13+1,1))</f>
        <v>112.78807760743126</v>
      </c>
      <c r="CZ71" s="59">
        <f t="shared" si="96"/>
        <v>37.867745922003564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3.2</v>
      </c>
      <c r="DO71" s="12">
        <f>IF('Données projet'!$A$166&gt;35,DO70+DN71-DW70,IF(A71&lt;'Données projet'!$A$166,$DL$205^A71,IF(A71='Données projet'!$A$166,'Données projet'!$B$166,DO70+DN71-DW70)))</f>
        <v>210.59999999999994</v>
      </c>
      <c r="DP71" s="17">
        <f>DO71*VLOOKUP('Données projet'!$B$14,Paramètres!$A$1:$I$89,3,0)*VLOOKUP('Données projet'!$B$14,Paramètres!$A$1:$I$89,5,0)</f>
        <v>141.27047999999996</v>
      </c>
      <c r="DQ71" s="13">
        <f t="shared" si="97"/>
        <v>36.587901419440094</v>
      </c>
      <c r="DR71" s="20">
        <f t="shared" si="70"/>
        <v>309.7700143055248</v>
      </c>
      <c r="DS71" s="59">
        <f t="shared" si="71"/>
        <v>603.10334763885817</v>
      </c>
      <c r="DT71" s="59">
        <f ca="1">AVERAGE(OFFSET($DS$3,0,0,'Données projet'!$E$14+1,1))-AVERAGE(OFFSET($H$3,0,0,'Données projet'!$E$14+1,1))</f>
        <v>107.15837202366862</v>
      </c>
      <c r="DU71" s="59">
        <f t="shared" si="98"/>
        <v>139.67031833740026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1.9763703565333492</v>
      </c>
      <c r="EC71" s="21">
        <f>EXP(-LN(2)/2)*EC70+(1-EXP(-LN(2)/2))/(LN(2)/2)*DW71*DZ71*VLOOKUP('Données projet'!$B$14,Paramètres!$A$1:$I$89,3,0)*0.475*44/12</f>
        <v>1.2873602973567058E-5</v>
      </c>
      <c r="ED71" s="22">
        <f t="shared" si="72"/>
        <v>1.9763832301363229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7.5</v>
      </c>
      <c r="EJ71" s="12">
        <f>IF('Données projet'!$A$192&gt;35,EJ70+EI71-ER70,IF(A71&lt;'Données projet'!$A$192,$EG$205^A71,IF(A71='Données projet'!$A$192,'Données projet'!$B$192,EJ70+EI71-ER70)))</f>
        <v>288.79999999999995</v>
      </c>
      <c r="EK71" s="17">
        <f>EJ71*VLOOKUP('Données projet'!$B$15,Paramètres!$A$1:$I$89,3,0)*VLOOKUP('Données projet'!$B$15,Paramètres!$A$1:$I$89,5,0)</f>
        <v>135.15839999999997</v>
      </c>
      <c r="EL71" s="13">
        <f t="shared" si="99"/>
        <v>35.185601260047996</v>
      </c>
      <c r="EM71" s="20">
        <f t="shared" si="73"/>
        <v>296.68246886125024</v>
      </c>
      <c r="EN71" s="59">
        <f t="shared" si="74"/>
        <v>590.01580219458356</v>
      </c>
      <c r="EO71" s="59">
        <f ca="1">AVERAGE(OFFSET($EN$3,0,0,'Données projet'!$E$15+1,1))-AVERAGE(OFFSET($H$3,0,0,'Données projet'!$E$15+1,1))</f>
        <v>123.60520571614535</v>
      </c>
      <c r="EP71" s="59">
        <f t="shared" si="100"/>
        <v>119.00926870519527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0.40863734030716453</v>
      </c>
      <c r="EW71" s="21">
        <f>EXP(-LN(2)/25)*EW70+(1-EXP(-LN(2)/25))/(LN(2)/25)*Calculateur!ER71*Calculateur!ET71*VLOOKUP('Données projet'!$B$15,Paramètres!$A$1:$I$89,3,0)*0.475*44/12</f>
        <v>1.6655883124132027</v>
      </c>
      <c r="EX71" s="21">
        <f>EXP(-LN(2)/2)*EX70+(1-EXP(-LN(2)/2))/(LN(2)/2)*ER71*EU71*VLOOKUP('Données projet'!$B$15,Paramètres!$A$1:$I$89,3,0)*0.475*44/12</f>
        <v>1.1660977346577731E-5</v>
      </c>
      <c r="EY71" s="22">
        <f t="shared" si="75"/>
        <v>2.0742373136977137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13.3</v>
      </c>
      <c r="FE71" s="12">
        <f>IF('Données projet'!$A$218&gt;35,FE70+FD71-FM70,IF(A71&lt;'Données projet'!$A$218,$FB$205^A71,IF(A71='Données projet'!$A$218,'Données projet'!$B$218,FE70+FD71-FM70)))</f>
        <v>523.40000000000009</v>
      </c>
      <c r="FF71" s="17">
        <f>FE71*VLOOKUP('Données projet'!$B$16,Paramètres!$A$1:$I$89,3,0)*VLOOKUP('Données projet'!$B$16,Paramètres!$A$1:$I$89,5,0)</f>
        <v>251.75540000000007</v>
      </c>
      <c r="FG71" s="13">
        <f t="shared" si="101"/>
        <v>60.961680131185581</v>
      </c>
      <c r="FH71" s="20">
        <f t="shared" si="76"/>
        <v>544.64891456181499</v>
      </c>
      <c r="FI71" s="59">
        <f t="shared" si="77"/>
        <v>837.98224789514825</v>
      </c>
      <c r="FJ71" s="59">
        <f ca="1">AVERAGE(OFFSET($FI$3,0,0,'Données projet'!$E$16+1,1))-AVERAGE(OFFSET($H$3,0,0,'Données projet'!$E$16+1,1))</f>
        <v>197.66963254934603</v>
      </c>
      <c r="FK71" s="59">
        <f t="shared" si="102"/>
        <v>158.08388141976138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1.2566581375150327</v>
      </c>
      <c r="FR71" s="21">
        <f>EXP(-LN(2)/25)*FR70+(1-EXP(-LN(2)/25))/(LN(2)/25)*Calculateur!FM71*Calculateur!FO71*VLOOKUP('Données projet'!$B$16,Paramètres!$A$1:$I$89,3,0)*0.475*44/12</f>
        <v>1.8526814736393726</v>
      </c>
      <c r="FS71" s="21">
        <f>EXP(-LN(2)/2)*FS70+(1-EXP(-LN(2)/2))/(LN(2)/2)*FM71*FP71*VLOOKUP('Données projet'!$B$16,Paramètres!$A$1:$I$89,3,0)*0.475*44/12</f>
        <v>1.5788987681723594E-5</v>
      </c>
      <c r="FT71" s="22">
        <f t="shared" si="78"/>
        <v>3.1093554001420873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8</v>
      </c>
      <c r="FZ71" s="12">
        <f>IF('Données projet'!$A$244&gt;35,FZ70+FY71-GH70,IF(A71&lt;'Données projet'!$A$244,$FW$205^A71,IF(A71='Données projet'!$A$244,'Données projet'!$B$244,FZ70+FY71-GH70)))</f>
        <v>339.00000000000006</v>
      </c>
      <c r="GA71" s="17">
        <f>FZ71*VLOOKUP('Données projet'!$B$17,Paramètres!$A$1:$I$89,3,0)*VLOOKUP('Données projet'!$B$17,Paramètres!$A$1:$I$89,5,0)</f>
        <v>202.72200000000004</v>
      </c>
      <c r="GB71" s="13">
        <f t="shared" si="103"/>
        <v>50.341909475522883</v>
      </c>
      <c r="GC71" s="20">
        <f t="shared" si="79"/>
        <v>440.75297566986904</v>
      </c>
      <c r="GD71" s="59">
        <f t="shared" si="80"/>
        <v>734.08630900320236</v>
      </c>
      <c r="GE71" s="59">
        <f ca="1">AVERAGE(OFFSET($GD$3,0,0,'Données projet'!$E$17+1,1))-AVERAGE(OFFSET($H$3,0,0,'Données projet'!$E$17+1,1))</f>
        <v>165.39579887388538</v>
      </c>
      <c r="GF71" s="59">
        <f t="shared" si="104"/>
        <v>155.89639262545802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2.5416571296355466</v>
      </c>
      <c r="GN71" s="21">
        <f>EXP(-LN(2)/2)*GN70+(1-EXP(-LN(2)/2))/(LN(2)/2)*GH71*GK71*VLOOKUP('Données projet'!$B$17,Paramètres!$A$1:$I$89,3,0)*0.475*44/12</f>
        <v>2.6474067183259872E-5</v>
      </c>
      <c r="GO71" s="21">
        <f t="shared" si="81"/>
        <v>2.5416836037027299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5.2</v>
      </c>
      <c r="GU71" s="12">
        <f>IF('Données projet'!$A$270&gt;35,GU70+GT71-HC70,IF(A71&lt;'Données projet'!$A$270,$GR$205^A71,IF(A71='Données projet'!$A$270,'Données projet'!$B$270,GU70+GT71-HC70)))</f>
        <v>175.59999999999988</v>
      </c>
      <c r="GV71" s="17">
        <f>GU71*VLOOKUP('Données projet'!$B$18,Paramètres!$A$1:$I$89,3,0)*VLOOKUP('Données projet'!$B$18,Paramètres!$A$1:$I$89,5,0)</f>
        <v>189.01583999999986</v>
      </c>
      <c r="GW71" s="13">
        <f t="shared" si="105"/>
        <v>47.322303328129664</v>
      </c>
      <c r="GX71" s="20">
        <f t="shared" si="82"/>
        <v>411.62226629649223</v>
      </c>
      <c r="GY71" s="59">
        <f t="shared" si="83"/>
        <v>704.95559962982554</v>
      </c>
      <c r="GZ71" s="59">
        <f ca="1">AVERAGE(OFFSET($GY$3,0,0,'Données projet'!$E$18+1,1))-AVERAGE(OFFSET($H$3,0,0,'Données projet'!$E$18+1,1))</f>
        <v>186.60545265015247</v>
      </c>
      <c r="HA71" s="59">
        <f t="shared" si="106"/>
        <v>69.239647548491234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0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0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10.6</v>
      </c>
      <c r="N72" s="13">
        <f>IF('Données projet'!$A$36&gt;35,N71+M72-V71,IF(A72&lt;'Données projet'!$A$36,$K$205^A72,IF(A72='Données projet'!$A$36,'Données projet'!$B$36,N71+M72-V71)))</f>
        <v>474.4000000000002</v>
      </c>
      <c r="O72" s="13">
        <f>N72*VLOOKUP('Données projet'!$B$9,Paramètres!$A$1:$I$89,3,0)*VLOOKUP('Données projet'!$B$9,Paramètres!$A$1:$I$89,5,0)</f>
        <v>265.1896000000001</v>
      </c>
      <c r="P72" s="13">
        <f t="shared" si="87"/>
        <v>63.827315348557988</v>
      </c>
      <c r="Q72" s="20">
        <f t="shared" si="54"/>
        <v>573.03779423207209</v>
      </c>
      <c r="R72" s="59">
        <f t="shared" si="55"/>
        <v>866.37112756540546</v>
      </c>
      <c r="S72" s="59">
        <f ca="1">AVERAGE(OFFSET($R$3,0,0,'Données projet'!$E$9+1,1))-AVERAGE(OFFSET($H$3,0,0,'Données projet'!$E$9+1,1))</f>
        <v>235.10258076192054</v>
      </c>
      <c r="T72" s="59">
        <f t="shared" si="88"/>
        <v>233.47316052603765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1.5825182100220492</v>
      </c>
      <c r="AA72" s="21">
        <f>EXP(-LN(2)/25)*AA71+(1-EXP(-LN(2)/25))/(LN(2)/25)*Calculateur!V72*Calculateur!X72*VLOOKUP('Données projet'!$B$9,Paramètres!$A$1:$I$89,3,0)*0.475*44/12</f>
        <v>6.252211072641086</v>
      </c>
      <c r="AB72" s="21">
        <f>EXP(-LN(2)/2)*AB71+(1-EXP(-LN(2)/2))/(LN(2)/2)*V72*Y72*VLOOKUP('Données projet'!$B$9,Paramètres!$A$1:$I$89,3,0)*0.475*44/12</f>
        <v>3.2533431172246061E-5</v>
      </c>
      <c r="AC72" s="22">
        <f t="shared" si="57"/>
        <v>7.8347618160943071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7.1</v>
      </c>
      <c r="AI72" s="13">
        <f>IF('Données projet'!$A$62&gt;35,AI71+AH72-AQ71,IF(A72&lt;'Données projet'!$A$62,$AF$205^A72,IF(A72='Données projet'!$A$62,'Données projet'!$B$62,AI71+AH72-AQ71)))</f>
        <v>346.9</v>
      </c>
      <c r="AJ72" s="13">
        <f>AI72*VLOOKUP('Données projet'!$B$10,Paramètres!$A$1:$I$89,3,0)*VLOOKUP('Données projet'!$B$10,Paramètres!$A$1:$I$89,5,0)</f>
        <v>189.40739999999997</v>
      </c>
      <c r="AK72" s="13">
        <f t="shared" si="89"/>
        <v>47.408913595158396</v>
      </c>
      <c r="AL72" s="20">
        <f t="shared" si="58"/>
        <v>412.45507951156748</v>
      </c>
      <c r="AM72" s="59">
        <f t="shared" si="59"/>
        <v>705.78841284490079</v>
      </c>
      <c r="AN72" s="59">
        <f ca="1">AVERAGE(OFFSET($AM$3,0,0,'Données projet'!$E$10+1,1))-AVERAGE(OFFSET($H$3,0,0,'Données projet'!$E$10+1,1))</f>
        <v>168.72306536277267</v>
      </c>
      <c r="AO72" s="59">
        <f t="shared" si="90"/>
        <v>203.35476578922339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1.4051958735925176</v>
      </c>
      <c r="AV72" s="21">
        <f>EXP(-LN(2)/25)*AV71+(1-EXP(-LN(2)/25))/(LN(2)/25)*Calculateur!AQ72*Calculateur!AS72*VLOOKUP('Données projet'!$B$10,Paramètres!$A$1:$I$89,3,0)*0.475*44/12</f>
        <v>7.795394924076982</v>
      </c>
      <c r="AW72" s="21">
        <f>EXP(-LN(2)/2)*AW71+(1-EXP(-LN(2)/2))/(LN(2)/2)*AQ72*AT72*VLOOKUP('Données projet'!$B$10,Paramètres!$A$1:$I$89,3,0)*0.475*44/12</f>
        <v>2.7006144965970352E-5</v>
      </c>
      <c r="AX72" s="21">
        <f t="shared" si="60"/>
        <v>9.2006178038144668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</v>
      </c>
      <c r="BD72" s="12">
        <f>IF('Données projet'!$A$88&gt;35,BD71+BC72-BL71,IF(A72&lt;'Données projet'!$A$88,$BA$205^A72,IF(A72='Données projet'!$A$88,'Données projet'!$B$88,BD71+BC72-BL71)))</f>
        <v>347.00000000000006</v>
      </c>
      <c r="BE72" s="13">
        <f>BD72*VLOOKUP('Données projet'!$B$11,Paramètres!$A$1:$I$89,3,0)*VLOOKUP('Données projet'!$B$11,Paramètres!$A$1:$I$89,5,0)</f>
        <v>207.50600000000006</v>
      </c>
      <c r="BF72" s="13">
        <f t="shared" si="91"/>
        <v>51.3902055726969</v>
      </c>
      <c r="BG72" s="20">
        <f t="shared" si="61"/>
        <v>450.91089137244717</v>
      </c>
      <c r="BH72" s="59">
        <f t="shared" si="62"/>
        <v>744.24422470578043</v>
      </c>
      <c r="BI72" s="59">
        <f ca="1">AVERAGE(OFFSET($BH$3,0,0,'Données projet'!$E$11+1,1))-AVERAGE(OFFSET($H$3,0,0,'Données projet'!$E$11+1,1))</f>
        <v>165.39579887388538</v>
      </c>
      <c r="BJ72" s="59">
        <f t="shared" si="92"/>
        <v>155.89639262545802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2.4721553817657234</v>
      </c>
      <c r="BR72" s="21">
        <f>EXP(-LN(2)/2)*BR71+(1-EXP(-LN(2)/2))/(LN(2)/2)*BL72*BO72*VLOOKUP('Données projet'!$B$11,Paramètres!$A$1:$I$89,3,0)*0.475*44/12</f>
        <v>1.8719992430871296E-5</v>
      </c>
      <c r="BS72" s="22">
        <f t="shared" si="63"/>
        <v>2.4721741017581542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180.79999999999987</v>
      </c>
      <c r="BZ72" s="13">
        <f>BY72*VLOOKUP('Données projet'!$B$12,Paramètres!$A$1:$I$89,3,0)*VLOOKUP('Données projet'!$B$12,Paramètres!$A$1:$I$89,5,0)</f>
        <v>174.86975999999987</v>
      </c>
      <c r="CA72" s="13">
        <f t="shared" si="93"/>
        <v>44.178888594382762</v>
      </c>
      <c r="CB72" s="20">
        <f t="shared" si="64"/>
        <v>381.50972963521639</v>
      </c>
      <c r="CC72" s="59">
        <f t="shared" si="65"/>
        <v>674.8430629685497</v>
      </c>
      <c r="CD72" s="59">
        <f ca="1">AVERAGE(OFFSET($CC$3,0,0,'Données projet'!$E$12+1,1))-AVERAGE(OFFSET($H$3,0,0,'Données projet'!$E$12+1,1))</f>
        <v>156.26368818265388</v>
      </c>
      <c r="CE72" s="59">
        <f t="shared" si="94"/>
        <v>56.347130462109817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180.79999999999987</v>
      </c>
      <c r="CU72" s="17">
        <f>CT72*VLOOKUP('Données projet'!$B$13,Paramètres!$A$1:$I$89,3,0)*VLOOKUP('Données projet'!$B$13,Paramètres!$A$1:$I$89,5,0)</f>
        <v>146.66495999999989</v>
      </c>
      <c r="CV72" s="13">
        <f t="shared" si="95"/>
        <v>37.819696883427554</v>
      </c>
      <c r="CW72" s="20">
        <f t="shared" si="67"/>
        <v>321.31077740530276</v>
      </c>
      <c r="CX72" s="59">
        <f t="shared" si="68"/>
        <v>614.64411073863607</v>
      </c>
      <c r="CY72" s="59">
        <f ca="1">AVERAGE(OFFSET($CX$3,0,0,'Données projet'!$E$13+1,1))-AVERAGE(OFFSET($H$3,0,0,'Données projet'!$E$13+1,1))</f>
        <v>112.78807760743126</v>
      </c>
      <c r="CZ72" s="59">
        <f t="shared" si="96"/>
        <v>37.867745922003564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3.2</v>
      </c>
      <c r="DO72" s="12">
        <f>IF('Données projet'!$A$166&gt;35,DO71+DN72-DW71,IF(A72&lt;'Données projet'!$A$166,$DL$205^A72,IF(A72='Données projet'!$A$166,'Données projet'!$B$166,DO71+DN72-DW71)))</f>
        <v>213.79999999999993</v>
      </c>
      <c r="DP72" s="17">
        <f>DO72*VLOOKUP('Données projet'!$B$14,Paramètres!$A$1:$I$89,3,0)*VLOOKUP('Données projet'!$B$14,Paramètres!$A$1:$I$89,5,0)</f>
        <v>143.41703999999996</v>
      </c>
      <c r="DQ72" s="13">
        <f t="shared" si="97"/>
        <v>37.078699375499774</v>
      </c>
      <c r="DR72" s="20">
        <f t="shared" si="70"/>
        <v>314.363412745662</v>
      </c>
      <c r="DS72" s="59">
        <f t="shared" si="71"/>
        <v>607.69674607899537</v>
      </c>
      <c r="DT72" s="59">
        <f ca="1">AVERAGE(OFFSET($DS$3,0,0,'Données projet'!$E$14+1,1))-AVERAGE(OFFSET($H$3,0,0,'Données projet'!$E$14+1,1))</f>
        <v>107.15837202366862</v>
      </c>
      <c r="DU72" s="59">
        <f t="shared" si="98"/>
        <v>139.67031833740026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1.9223264052011448</v>
      </c>
      <c r="EC72" s="21">
        <f>EXP(-LN(2)/2)*EC71+(1-EXP(-LN(2)/2))/(LN(2)/2)*DW72*DZ72*VLOOKUP('Données projet'!$B$14,Paramètres!$A$1:$I$89,3,0)*0.475*44/12</f>
        <v>9.1030119609125688E-6</v>
      </c>
      <c r="ED72" s="22">
        <f t="shared" si="72"/>
        <v>1.9223355082131057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7.5</v>
      </c>
      <c r="EJ72" s="12">
        <f>IF('Données projet'!$A$192&gt;35,EJ71+EI72-ER71,IF(A72&lt;'Données projet'!$A$192,$EG$205^A72,IF(A72='Données projet'!$A$192,'Données projet'!$B$192,EJ71+EI72-ER71)))</f>
        <v>296.29999999999995</v>
      </c>
      <c r="EK72" s="17">
        <f>EJ72*VLOOKUP('Données projet'!$B$15,Paramètres!$A$1:$I$89,3,0)*VLOOKUP('Données projet'!$B$15,Paramètres!$A$1:$I$89,5,0)</f>
        <v>138.66839999999996</v>
      </c>
      <c r="EL72" s="13">
        <f t="shared" si="99"/>
        <v>35.991785167697529</v>
      </c>
      <c r="EM72" s="20">
        <f t="shared" si="73"/>
        <v>304.19982250040647</v>
      </c>
      <c r="EN72" s="59">
        <f t="shared" si="74"/>
        <v>597.53315583373978</v>
      </c>
      <c r="EO72" s="59">
        <f ca="1">AVERAGE(OFFSET($EN$3,0,0,'Données projet'!$E$15+1,1))-AVERAGE(OFFSET($H$3,0,0,'Données projet'!$E$15+1,1))</f>
        <v>123.60520571614535</v>
      </c>
      <c r="EP72" s="59">
        <f t="shared" si="100"/>
        <v>119.00926870519527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0.40062421130790782</v>
      </c>
      <c r="EW72" s="21">
        <f>EXP(-LN(2)/25)*EW71+(1-EXP(-LN(2)/25))/(LN(2)/25)*Calculateur!ER72*Calculateur!ET72*VLOOKUP('Données projet'!$B$15,Paramètres!$A$1:$I$89,3,0)*0.475*44/12</f>
        <v>1.620042712420781</v>
      </c>
      <c r="EX72" s="21">
        <f>EXP(-LN(2)/2)*EX71+(1-EXP(-LN(2)/2))/(LN(2)/2)*ER72*EU72*VLOOKUP('Données projet'!$B$15,Paramètres!$A$1:$I$89,3,0)*0.475*44/12</f>
        <v>8.2455561570278271E-6</v>
      </c>
      <c r="EY72" s="22">
        <f t="shared" si="75"/>
        <v>2.0206751692848459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13.3</v>
      </c>
      <c r="FE72" s="12">
        <f>IF('Données projet'!$A$218&gt;35,FE71+FD72-FM71,IF(A72&lt;'Données projet'!$A$218,$FB$205^A72,IF(A72='Données projet'!$A$218,'Données projet'!$B$218,FE71+FD72-FM71)))</f>
        <v>536.70000000000005</v>
      </c>
      <c r="FF72" s="17">
        <f>FE72*VLOOKUP('Données projet'!$B$16,Paramètres!$A$1:$I$89,3,0)*VLOOKUP('Données projet'!$B$16,Paramètres!$A$1:$I$89,5,0)</f>
        <v>258.15270000000004</v>
      </c>
      <c r="FG72" s="13">
        <f t="shared" si="101"/>
        <v>62.328444986995741</v>
      </c>
      <c r="FH72" s="20">
        <f t="shared" si="76"/>
        <v>558.17132751901761</v>
      </c>
      <c r="FI72" s="59">
        <f t="shared" si="77"/>
        <v>851.50466085235098</v>
      </c>
      <c r="FJ72" s="59">
        <f ca="1">AVERAGE(OFFSET($FI$3,0,0,'Données projet'!$E$16+1,1))-AVERAGE(OFFSET($H$3,0,0,'Données projet'!$E$16+1,1))</f>
        <v>197.66963254934603</v>
      </c>
      <c r="FK72" s="59">
        <f t="shared" si="102"/>
        <v>158.08388141976138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1.2320158379241426</v>
      </c>
      <c r="FR72" s="21">
        <f>EXP(-LN(2)/25)*FR71+(1-EXP(-LN(2)/25))/(LN(2)/25)*Calculateur!FM72*Calculateur!FO72*VLOOKUP('Données projet'!$B$16,Paramètres!$A$1:$I$89,3,0)*0.475*44/12</f>
        <v>1.8020198013144197</v>
      </c>
      <c r="FS72" s="21">
        <f>EXP(-LN(2)/2)*FS71+(1-EXP(-LN(2)/2))/(LN(2)/2)*FM72*FP72*VLOOKUP('Données projet'!$B$16,Paramètres!$A$1:$I$89,3,0)*0.475*44/12</f>
        <v>1.116450025781762E-5</v>
      </c>
      <c r="FT72" s="22">
        <f t="shared" si="78"/>
        <v>3.03404680373882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8</v>
      </c>
      <c r="FZ72" s="12">
        <f>IF('Données projet'!$A$244&gt;35,FZ71+FY72-GH71,IF(A72&lt;'Données projet'!$A$244,$FW$205^A72,IF(A72='Données projet'!$A$244,'Données projet'!$B$244,FZ71+FY72-GH71)))</f>
        <v>347.00000000000006</v>
      </c>
      <c r="GA72" s="17">
        <f>FZ72*VLOOKUP('Données projet'!$B$17,Paramètres!$A$1:$I$89,3,0)*VLOOKUP('Données projet'!$B$17,Paramètres!$A$1:$I$89,5,0)</f>
        <v>207.50600000000006</v>
      </c>
      <c r="GB72" s="13">
        <f t="shared" si="103"/>
        <v>51.3902055726969</v>
      </c>
      <c r="GC72" s="20">
        <f t="shared" si="79"/>
        <v>450.91089137244717</v>
      </c>
      <c r="GD72" s="59">
        <f t="shared" si="80"/>
        <v>744.24422470578043</v>
      </c>
      <c r="GE72" s="59">
        <f ca="1">AVERAGE(OFFSET($GD$3,0,0,'Données projet'!$E$17+1,1))-AVERAGE(OFFSET($H$3,0,0,'Données projet'!$E$17+1,1))</f>
        <v>165.39579887388538</v>
      </c>
      <c r="GF72" s="59">
        <f t="shared" si="104"/>
        <v>155.89639262545802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2.4721553817657234</v>
      </c>
      <c r="GN72" s="21">
        <f>EXP(-LN(2)/2)*GN71+(1-EXP(-LN(2)/2))/(LN(2)/2)*GH72*GK72*VLOOKUP('Données projet'!$B$17,Paramètres!$A$1:$I$89,3,0)*0.475*44/12</f>
        <v>1.8719992430871296E-5</v>
      </c>
      <c r="GO72" s="21">
        <f t="shared" si="81"/>
        <v>2.4721741017581542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5.2</v>
      </c>
      <c r="GU72" s="12">
        <f>IF('Données projet'!$A$270&gt;35,GU71+GT72-HC71,IF(A72&lt;'Données projet'!$A$270,$GR$205^A72,IF(A72='Données projet'!$A$270,'Données projet'!$B$270,GU71+GT72-HC71)))</f>
        <v>180.79999999999987</v>
      </c>
      <c r="GV72" s="17">
        <f>GU72*VLOOKUP('Données projet'!$B$18,Paramètres!$A$1:$I$89,3,0)*VLOOKUP('Données projet'!$B$18,Paramètres!$A$1:$I$89,5,0)</f>
        <v>194.61311999999984</v>
      </c>
      <c r="GW72" s="13">
        <f t="shared" si="105"/>
        <v>48.558419856804797</v>
      </c>
      <c r="GX72" s="20">
        <f t="shared" si="82"/>
        <v>423.5237652506014</v>
      </c>
      <c r="GY72" s="59">
        <f t="shared" si="83"/>
        <v>716.85709858393466</v>
      </c>
      <c r="GZ72" s="59">
        <f ca="1">AVERAGE(OFFSET($GY$3,0,0,'Données projet'!$E$18+1,1))-AVERAGE(OFFSET($H$3,0,0,'Données projet'!$E$18+1,1))</f>
        <v>186.60545265015247</v>
      </c>
      <c r="HA72" s="59">
        <f t="shared" si="106"/>
        <v>69.239647548491234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0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0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485</v>
      </c>
      <c r="L73" s="12">
        <f>VLOOKUP(A73,'Données projet'!$A$35:$I$55,9,0)</f>
        <v>10.6</v>
      </c>
      <c r="M73" s="12">
        <f t="array" ref="M73">INDEX(L:L,MIN(IF(ISNUMBER(L73:L269),ROW(L73:L269),"")))</f>
        <v>10.6</v>
      </c>
      <c r="N73" s="13">
        <f>IF('Données projet'!$A$36&gt;35,N72+M73-V72,IF(A73&lt;'Données projet'!$A$36,$K$205^A73,IF(A73='Données projet'!$A$36,'Données projet'!$B$36,N72+M73-V72)))</f>
        <v>485.00000000000023</v>
      </c>
      <c r="O73" s="13">
        <f>N73*VLOOKUP('Données projet'!$B$9,Paramètres!$A$1:$I$89,3,0)*VLOOKUP('Données projet'!$B$9,Paramètres!$A$1:$I$89,5,0)</f>
        <v>271.11500000000012</v>
      </c>
      <c r="P73" s="13">
        <f t="shared" si="87"/>
        <v>65.085843642780702</v>
      </c>
      <c r="Q73" s="20">
        <f t="shared" si="54"/>
        <v>585.54980267784322</v>
      </c>
      <c r="R73" s="59">
        <f t="shared" si="55"/>
        <v>878.88313601117648</v>
      </c>
      <c r="S73" s="59">
        <f ca="1">AVERAGE(OFFSET($R$3,0,0,'Données projet'!$E$9+1,1))-AVERAGE(OFFSET($H$3,0,0,'Données projet'!$E$9+1,1))</f>
        <v>235.10258076192054</v>
      </c>
      <c r="T73" s="59">
        <f t="shared" si="88"/>
        <v>233.47316052603765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54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1.5514859931643152</v>
      </c>
      <c r="AA73" s="21">
        <f>EXP(-LN(2)/25)*AA72+(1-EXP(-LN(2)/25))/(LN(2)/25)*Calculateur!V73*Calculateur!X73*VLOOKUP('Données projet'!$B$9,Paramètres!$A$1:$I$89,3,0)*0.475*44/12</f>
        <v>6.0812440320702246</v>
      </c>
      <c r="AB73" s="21">
        <f>EXP(-LN(2)/2)*AB72+(1-EXP(-LN(2)/2))/(LN(2)/2)*V73*Y73*VLOOKUP('Données projet'!$B$9,Paramètres!$A$1:$I$89,3,0)*0.475*44/12</f>
        <v>2.3004609797161E-5</v>
      </c>
      <c r="AC73" s="22">
        <f t="shared" si="57"/>
        <v>7.6327530298443378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354</v>
      </c>
      <c r="AG73" s="12">
        <f>VLOOKUP(A73,'Données projet'!$A$61:$I$81,9,0)</f>
        <v>7.1</v>
      </c>
      <c r="AH73" s="12">
        <f t="array" ref="AH73">INDEX(AG:AG,MIN(IF(ISNUMBER(AG73:AG269),ROW(AG73:AG269),"")))</f>
        <v>7.1</v>
      </c>
      <c r="AI73" s="13">
        <f>IF('Données projet'!$A$62&gt;35,AI72+AH73-AQ72,IF(A73&lt;'Données projet'!$A$62,$AF$205^A73,IF(A73='Données projet'!$A$62,'Données projet'!$B$62,AI72+AH73-AQ72)))</f>
        <v>354</v>
      </c>
      <c r="AJ73" s="13">
        <f>AI73*VLOOKUP('Données projet'!$B$10,Paramètres!$A$1:$I$89,3,0)*VLOOKUP('Données projet'!$B$10,Paramètres!$A$1:$I$89,5,0)</f>
        <v>193.28400000000002</v>
      </c>
      <c r="AK73" s="13">
        <f t="shared" si="89"/>
        <v>48.265272920234025</v>
      </c>
      <c r="AL73" s="20">
        <f t="shared" si="58"/>
        <v>420.69831700274091</v>
      </c>
      <c r="AM73" s="59">
        <f t="shared" si="59"/>
        <v>714.03165033607422</v>
      </c>
      <c r="AN73" s="59">
        <f ca="1">AVERAGE(OFFSET($AM$3,0,0,'Données projet'!$E$10+1,1))-AVERAGE(OFFSET($H$3,0,0,'Données projet'!$E$10+1,1))</f>
        <v>168.72306536277267</v>
      </c>
      <c r="AO73" s="59">
        <f t="shared" si="90"/>
        <v>203.35476578922339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1.3776408395962212</v>
      </c>
      <c r="AV73" s="21">
        <f>EXP(-LN(2)/25)*AV72+(1-EXP(-LN(2)/25))/(LN(2)/25)*Calculateur!AQ73*Calculateur!AS73*VLOOKUP('Données projet'!$B$10,Paramètres!$A$1:$I$89,3,0)*0.475*44/12</f>
        <v>7.5822294399360946</v>
      </c>
      <c r="AW73" s="21">
        <f>EXP(-LN(2)/2)*AW72+(1-EXP(-LN(2)/2))/(LN(2)/2)*AQ73*AT73*VLOOKUP('Données projet'!$B$10,Paramètres!$A$1:$I$89,3,0)*0.475*44/12</f>
        <v>1.9096228239144579E-5</v>
      </c>
      <c r="AX73" s="21">
        <f t="shared" si="60"/>
        <v>8.9598893757605556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355</v>
      </c>
      <c r="BB73" s="12">
        <f>VLOOKUP(A73,'Données projet'!$A$87:$I$107,9,0)</f>
        <v>8</v>
      </c>
      <c r="BC73" s="12">
        <f t="array" ref="BC73">INDEX(BB:BB,MIN(IF(ISNUMBER(BB73:BB269),ROW(BB73:BB269),"")))</f>
        <v>8</v>
      </c>
      <c r="BD73" s="12">
        <f>IF('Données projet'!$A$88&gt;35,BD72+BC73-BL72,IF(A73&lt;'Données projet'!$A$88,$BA$205^A73,IF(A73='Données projet'!$A$88,'Données projet'!$B$88,BD72+BC73-BL72)))</f>
        <v>355.00000000000006</v>
      </c>
      <c r="BE73" s="13">
        <f>BD73*VLOOKUP('Données projet'!$B$11,Paramètres!$A$1:$I$89,3,0)*VLOOKUP('Données projet'!$B$11,Paramètres!$A$1:$I$89,5,0)</f>
        <v>212.29000000000005</v>
      </c>
      <c r="BF73" s="13">
        <f t="shared" si="91"/>
        <v>52.435691998503984</v>
      </c>
      <c r="BG73" s="20">
        <f t="shared" si="61"/>
        <v>461.06391356406112</v>
      </c>
      <c r="BH73" s="59">
        <f t="shared" si="62"/>
        <v>754.39724689739444</v>
      </c>
      <c r="BI73" s="59">
        <f ca="1">AVERAGE(OFFSET($BH$3,0,0,'Données projet'!$E$11+1,1))-AVERAGE(OFFSET($H$3,0,0,'Données projet'!$E$11+1,1))</f>
        <v>165.39579887388538</v>
      </c>
      <c r="BJ73" s="59">
        <f t="shared" si="92"/>
        <v>155.89639262545802</v>
      </c>
      <c r="BK73" s="15">
        <f>IF(ISNA(VLOOKUP(A73,'Données projet'!$A$87:$I$107,3,0)),0,VLOOKUP(A73,'Données projet'!$A$87:$I$107,3,0))</f>
        <v>5</v>
      </c>
      <c r="BL73" s="15">
        <f>IF(ISNA(VLOOKUP(A73,'Données projet'!$A$87:$I$107,4,0)),0,VLOOKUP(A73,'Données projet'!$A$87:$I$107,4,0))</f>
        <v>38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2.4045541628463383</v>
      </c>
      <c r="BR73" s="21">
        <f>EXP(-LN(2)/2)*BR72+(1-EXP(-LN(2)/2))/(LN(2)/2)*BL73*BO73*VLOOKUP('Données projet'!$B$11,Paramètres!$A$1:$I$89,3,0)*0.475*44/12</f>
        <v>1.3237033591629936E-5</v>
      </c>
      <c r="BS73" s="22">
        <f t="shared" si="63"/>
        <v>2.4045673998799297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186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185.99999999999986</v>
      </c>
      <c r="BZ73" s="13">
        <f>BY73*VLOOKUP('Données projet'!$B$12,Paramètres!$A$1:$I$89,3,0)*VLOOKUP('Données projet'!$B$12,Paramètres!$A$1:$I$89,5,0)</f>
        <v>179.89919999999987</v>
      </c>
      <c r="CA73" s="13">
        <f t="shared" si="93"/>
        <v>45.299759292628544</v>
      </c>
      <c r="CB73" s="20">
        <f t="shared" si="64"/>
        <v>392.22152076799443</v>
      </c>
      <c r="CC73" s="59">
        <f t="shared" si="65"/>
        <v>685.55485410132769</v>
      </c>
      <c r="CD73" s="59">
        <f ca="1">AVERAGE(OFFSET($CC$3,0,0,'Données projet'!$E$12+1,1))-AVERAGE(OFFSET($H$3,0,0,'Données projet'!$E$12+1,1))</f>
        <v>156.26368818265388</v>
      </c>
      <c r="CE73" s="59">
        <f t="shared" si="94"/>
        <v>56.347130462109817</v>
      </c>
      <c r="CF73" s="15">
        <f>IF(ISNA(VLOOKUP(A73,'Données projet'!$A$113:$I$133,3,0)),0,VLOOKUP(A73,'Données projet'!$A$113:$I$133,3,0))</f>
        <v>4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186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185.99999999999986</v>
      </c>
      <c r="CU73" s="17">
        <f>CT73*VLOOKUP('Données projet'!$B$13,Paramètres!$A$1:$I$89,3,0)*VLOOKUP('Données projet'!$B$13,Paramètres!$A$1:$I$89,5,0)</f>
        <v>150.8831999999999</v>
      </c>
      <c r="CV73" s="13">
        <f t="shared" si="95"/>
        <v>38.779227360583164</v>
      </c>
      <c r="CW73" s="20">
        <f t="shared" si="67"/>
        <v>330.32872765301551</v>
      </c>
      <c r="CX73" s="59">
        <f t="shared" si="68"/>
        <v>623.66206098634882</v>
      </c>
      <c r="CY73" s="59">
        <f ca="1">AVERAGE(OFFSET($CX$3,0,0,'Données projet'!$E$13+1,1))-AVERAGE(OFFSET($H$3,0,0,'Données projet'!$E$13+1,1))</f>
        <v>112.78807760743126</v>
      </c>
      <c r="CZ73" s="59">
        <f t="shared" si="96"/>
        <v>37.867745922003564</v>
      </c>
      <c r="DA73" s="15">
        <f>IF(ISNA(VLOOKUP(A73,'Données projet'!$A$139:$I$159,3,0)),0,VLOOKUP(A73,'Données projet'!$A$139:$I$159,3,0))</f>
        <v>4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217</v>
      </c>
      <c r="DM73" s="12">
        <f>VLOOKUP(A73,'Données projet'!$A$165:$I$185,9,0)</f>
        <v>3.2</v>
      </c>
      <c r="DN73" s="12">
        <f t="array" ref="DN73">INDEX(DM:DM,MIN(IF(ISNUMBER(DM73:DM269),ROW(DM73:DM269),"")))</f>
        <v>3.2</v>
      </c>
      <c r="DO73" s="12">
        <f>IF('Données projet'!$A$166&gt;35,DO72+DN73-DW72,IF(A73&lt;'Données projet'!$A$166,$DL$205^A73,IF(A73='Données projet'!$A$166,'Données projet'!$B$166,DO72+DN73-DW72)))</f>
        <v>216.99999999999991</v>
      </c>
      <c r="DP73" s="17">
        <f>DO73*VLOOKUP('Données projet'!$B$14,Paramètres!$A$1:$I$89,3,0)*VLOOKUP('Données projet'!$B$14,Paramètres!$A$1:$I$89,5,0)</f>
        <v>145.56359999999995</v>
      </c>
      <c r="DQ73" s="13">
        <f t="shared" si="97"/>
        <v>37.568642979458723</v>
      </c>
      <c r="DR73" s="20">
        <f t="shared" si="70"/>
        <v>318.95532318922386</v>
      </c>
      <c r="DS73" s="59">
        <f t="shared" si="71"/>
        <v>612.28865652255718</v>
      </c>
      <c r="DT73" s="59">
        <f ca="1">AVERAGE(OFFSET($DS$3,0,0,'Données projet'!$E$14+1,1))-AVERAGE(OFFSET($H$3,0,0,'Données projet'!$E$14+1,1))</f>
        <v>107.15837202366862</v>
      </c>
      <c r="DU73" s="59">
        <f t="shared" si="98"/>
        <v>139.67031833740026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16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1.8697602885601674</v>
      </c>
      <c r="EC73" s="21">
        <f>EXP(-LN(2)/2)*EC72+(1-EXP(-LN(2)/2))/(LN(2)/2)*DW73*DZ73*VLOOKUP('Données projet'!$B$14,Paramètres!$A$1:$I$89,3,0)*0.475*44/12</f>
        <v>6.4368014867835288E-6</v>
      </c>
      <c r="ED73" s="22">
        <f t="shared" si="72"/>
        <v>1.8697667253616541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303.8</v>
      </c>
      <c r="EH73" s="12">
        <f>VLOOKUP(A73,'Données projet'!$A$191:$I$211,9,0)</f>
        <v>7.5</v>
      </c>
      <c r="EI73" s="12">
        <f t="array" ref="EI73">INDEX(EH:EH,MIN(IF(ISNUMBER(EH73:EH269),ROW(EH73:EH269),"")))</f>
        <v>7.5</v>
      </c>
      <c r="EJ73" s="12">
        <f>IF('Données projet'!$A$192&gt;35,EJ72+EI73-ER72,IF(A73&lt;'Données projet'!$A$192,$EG$205^A73,IF(A73='Données projet'!$A$192,'Données projet'!$B$192,EJ72+EI73-ER72)))</f>
        <v>303.79999999999995</v>
      </c>
      <c r="EK73" s="17">
        <f>EJ73*VLOOKUP('Données projet'!$B$15,Paramètres!$A$1:$I$89,3,0)*VLOOKUP('Données projet'!$B$15,Paramètres!$A$1:$I$89,5,0)</f>
        <v>142.17839999999998</v>
      </c>
      <c r="EL73" s="13">
        <f t="shared" si="99"/>
        <v>36.795597013009356</v>
      </c>
      <c r="EM73" s="20">
        <f t="shared" si="73"/>
        <v>311.71304479765791</v>
      </c>
      <c r="EN73" s="59">
        <f t="shared" si="74"/>
        <v>605.04637813099123</v>
      </c>
      <c r="EO73" s="59">
        <f ca="1">AVERAGE(OFFSET($EN$3,0,0,'Données projet'!$E$15+1,1))-AVERAGE(OFFSET($H$3,0,0,'Données projet'!$E$15+1,1))</f>
        <v>123.60520571614535</v>
      </c>
      <c r="EP73" s="59">
        <f t="shared" si="100"/>
        <v>119.00926870519527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46.3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0.39276821488080044</v>
      </c>
      <c r="EW73" s="21">
        <f>EXP(-LN(2)/25)*EW72+(1-EXP(-LN(2)/25))/(LN(2)/25)*Calculateur!ER73*Calculateur!ET73*VLOOKUP('Données projet'!$B$15,Paramètres!$A$1:$I$89,3,0)*0.475*44/12</f>
        <v>1.5757425592552912</v>
      </c>
      <c r="EX73" s="21">
        <f>EXP(-LN(2)/2)*EX72+(1-EXP(-LN(2)/2))/(LN(2)/2)*ER73*EU73*VLOOKUP('Données projet'!$B$15,Paramètres!$A$1:$I$89,3,0)*0.475*44/12</f>
        <v>5.8304886732888656E-6</v>
      </c>
      <c r="EY73" s="22">
        <f t="shared" si="75"/>
        <v>1.9685166046247649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550</v>
      </c>
      <c r="FC73" s="12">
        <f>VLOOKUP(A73,'Données projet'!$A$217:$I$237,9,0)</f>
        <v>13.3</v>
      </c>
      <c r="FD73" s="12">
        <f t="array" ref="FD73">INDEX(FC:FC,MIN(IF(ISNUMBER(FC73:FC269),ROW(FC73:FC269),"")))</f>
        <v>13.3</v>
      </c>
      <c r="FE73" s="12">
        <f>IF('Données projet'!$A$218&gt;35,FE72+FD73-FM72,IF(A73&lt;'Données projet'!$A$218,$FB$205^A73,IF(A73='Données projet'!$A$218,'Données projet'!$B$218,FE72+FD73-FM72)))</f>
        <v>550</v>
      </c>
      <c r="FF73" s="17">
        <f>FE73*VLOOKUP('Données projet'!$B$16,Paramètres!$A$1:$I$89,3,0)*VLOOKUP('Données projet'!$B$16,Paramètres!$A$1:$I$89,5,0)</f>
        <v>264.55</v>
      </c>
      <c r="FG73" s="13">
        <f t="shared" si="101"/>
        <v>63.691272641742799</v>
      </c>
      <c r="FH73" s="20">
        <f t="shared" si="76"/>
        <v>571.68688318436864</v>
      </c>
      <c r="FI73" s="59">
        <f t="shared" si="77"/>
        <v>865.02021651770201</v>
      </c>
      <c r="FJ73" s="59">
        <f ca="1">AVERAGE(OFFSET($FI$3,0,0,'Données projet'!$E$16+1,1))-AVERAGE(OFFSET($H$3,0,0,'Données projet'!$E$16+1,1))</f>
        <v>197.66963254934603</v>
      </c>
      <c r="FK73" s="59">
        <f t="shared" si="102"/>
        <v>158.08388141976138</v>
      </c>
      <c r="FL73" s="15">
        <f>IF(ISNA(VLOOKUP(A73,'Données projet'!$A$217:$I$237,3,0)),0,VLOOKUP(A73,'Données projet'!$A$217:$I$237,3,0))</f>
        <v>5</v>
      </c>
      <c r="FM73" s="15">
        <f>IF(ISNA(VLOOKUP(A73,'Données projet'!$A$217:$I$237,4,0)),0,VLOOKUP(A73,'Données projet'!$A$217:$I$237,4,0))</f>
        <v>67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1.2078567587979112</v>
      </c>
      <c r="FR73" s="21">
        <f>EXP(-LN(2)/25)*FR72+(1-EXP(-LN(2)/25))/(LN(2)/25)*Calculateur!FM73*Calculateur!FO73*VLOOKUP('Données projet'!$B$16,Paramètres!$A$1:$I$89,3,0)*0.475*44/12</f>
        <v>1.7527434750833741</v>
      </c>
      <c r="FS73" s="21">
        <f>EXP(-LN(2)/2)*FS72+(1-EXP(-LN(2)/2))/(LN(2)/2)*FM73*FP73*VLOOKUP('Données projet'!$B$16,Paramètres!$A$1:$I$89,3,0)*0.475*44/12</f>
        <v>7.8944938408617968E-6</v>
      </c>
      <c r="FT73" s="22">
        <f t="shared" si="78"/>
        <v>2.9606081283751262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355</v>
      </c>
      <c r="FX73" s="12">
        <f>VLOOKUP(A73,'Données projet'!$A$243:$I$263,9,0)</f>
        <v>8</v>
      </c>
      <c r="FY73" s="12">
        <f t="array" ref="FY73">INDEX(FX:FX,MIN(IF(ISNUMBER(FX73:FX269),ROW(FX73:FX269),"")))</f>
        <v>8</v>
      </c>
      <c r="FZ73" s="12">
        <f>IF('Données projet'!$A$244&gt;35,FZ72+FY73-GH72,IF(A73&lt;'Données projet'!$A$244,$FW$205^A73,IF(A73='Données projet'!$A$244,'Données projet'!$B$244,FZ72+FY73-GH72)))</f>
        <v>355.00000000000006</v>
      </c>
      <c r="GA73" s="17">
        <f>FZ73*VLOOKUP('Données projet'!$B$17,Paramètres!$A$1:$I$89,3,0)*VLOOKUP('Données projet'!$B$17,Paramètres!$A$1:$I$89,5,0)</f>
        <v>212.29000000000005</v>
      </c>
      <c r="GB73" s="13">
        <f t="shared" si="103"/>
        <v>52.435691998503984</v>
      </c>
      <c r="GC73" s="20">
        <f t="shared" si="79"/>
        <v>461.06391356406112</v>
      </c>
      <c r="GD73" s="59">
        <f t="shared" si="80"/>
        <v>754.39724689739444</v>
      </c>
      <c r="GE73" s="59">
        <f ca="1">AVERAGE(OFFSET($GD$3,0,0,'Données projet'!$E$17+1,1))-AVERAGE(OFFSET($H$3,0,0,'Données projet'!$E$17+1,1))</f>
        <v>165.39579887388538</v>
      </c>
      <c r="GF73" s="59">
        <f t="shared" si="104"/>
        <v>155.89639262545802</v>
      </c>
      <c r="GG73" s="15">
        <f>IF(ISNA(VLOOKUP(A73,'Données projet'!$A$243:$I$263,3,0)),0,VLOOKUP(A73,'Données projet'!$A$243:$I$263,3,0))</f>
        <v>5</v>
      </c>
      <c r="GH73" s="15">
        <f>IF(ISNA(VLOOKUP(A73,'Données projet'!$A$243:$I$263,4,0)),0,VLOOKUP(A73,'Données projet'!$A$243:$I$263,4,0))</f>
        <v>38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2.4045541628463383</v>
      </c>
      <c r="GN73" s="21">
        <f>EXP(-LN(2)/2)*GN72+(1-EXP(-LN(2)/2))/(LN(2)/2)*GH73*GK73*VLOOKUP('Données projet'!$B$17,Paramètres!$A$1:$I$89,3,0)*0.475*44/12</f>
        <v>1.3237033591629936E-5</v>
      </c>
      <c r="GO73" s="21">
        <f t="shared" si="81"/>
        <v>2.4045673998799297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186</v>
      </c>
      <c r="GS73" s="12">
        <f>VLOOKUP(A73,'Données projet'!$A$269:$I$289,9,0)</f>
        <v>5.2</v>
      </c>
      <c r="GT73" s="12">
        <f t="array" ref="GT73">INDEX(GS:GS,MIN(IF(ISNUMBER(GS73:GS269),ROW(GS73:GS269),"")))</f>
        <v>5.2</v>
      </c>
      <c r="GU73" s="12">
        <f>IF('Données projet'!$A$270&gt;35,GU72+GT73-HC72,IF(A73&lt;'Données projet'!$A$270,$GR$205^A73,IF(A73='Données projet'!$A$270,'Données projet'!$B$270,GU72+GT73-HC72)))</f>
        <v>185.99999999999986</v>
      </c>
      <c r="GV73" s="17">
        <f>GU73*VLOOKUP('Données projet'!$B$18,Paramètres!$A$1:$I$89,3,0)*VLOOKUP('Données projet'!$B$18,Paramètres!$A$1:$I$89,5,0)</f>
        <v>200.21039999999982</v>
      </c>
      <c r="GW73" s="13">
        <f t="shared" si="105"/>
        <v>49.790404447235005</v>
      </c>
      <c r="GX73" s="20">
        <f t="shared" si="82"/>
        <v>435.41806774560064</v>
      </c>
      <c r="GY73" s="59">
        <f t="shared" si="83"/>
        <v>728.7514010789339</v>
      </c>
      <c r="GZ73" s="59">
        <f ca="1">AVERAGE(OFFSET($GY$3,0,0,'Données projet'!$E$18+1,1))-AVERAGE(OFFSET($H$3,0,0,'Données projet'!$E$18+1,1))</f>
        <v>186.60545265015247</v>
      </c>
      <c r="HA73" s="59">
        <f t="shared" si="106"/>
        <v>69.239647548491234</v>
      </c>
      <c r="HB73" s="15">
        <f>IF(ISNA(VLOOKUP(A73,'Données projet'!$A$269:$I$289,3,0)),0,VLOOKUP(A73,'Données projet'!$A$269:$I$289,3,0))</f>
        <v>4</v>
      </c>
      <c r="HC73" s="15">
        <f>IF(ISNA(VLOOKUP(A73,'Données projet'!$A$269:$I$289,4,0)),0,VLOOKUP(A73,'Données projet'!$A$269:$I$289,4,0))</f>
        <v>28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0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0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8.3000000000000007</v>
      </c>
      <c r="N74" s="13">
        <f>IF('Données projet'!$A$36&gt;35,N73+M74-V73,IF(A74&lt;'Données projet'!$A$36,$K$205^A74,IF(A74='Données projet'!$A$36,'Données projet'!$B$36,N73+M74-V73)))</f>
        <v>439.30000000000024</v>
      </c>
      <c r="O74" s="13">
        <f>N74*VLOOKUP('Données projet'!$B$9,Paramètres!$A$1:$I$89,3,0)*VLOOKUP('Données projet'!$B$9,Paramètres!$A$1:$I$89,5,0)</f>
        <v>245.56870000000012</v>
      </c>
      <c r="P74" s="13">
        <f t="shared" si="87"/>
        <v>59.636059245564958</v>
      </c>
      <c r="Q74" s="20">
        <f t="shared" si="54"/>
        <v>531.56495568602577</v>
      </c>
      <c r="R74" s="59">
        <f t="shared" si="55"/>
        <v>824.89828901935903</v>
      </c>
      <c r="S74" s="59">
        <f ca="1">AVERAGE(OFFSET($R$3,0,0,'Données projet'!$E$9+1,1))-AVERAGE(OFFSET($H$3,0,0,'Données projet'!$E$9+1,1))</f>
        <v>235.10258076192054</v>
      </c>
      <c r="T74" s="59">
        <f t="shared" si="88"/>
        <v>233.47316052603765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1.5210622991513782</v>
      </c>
      <c r="AA74" s="21">
        <f>EXP(-LN(2)/25)*AA73+(1-EXP(-LN(2)/25))/(LN(2)/25)*Calculateur!V74*Calculateur!X74*VLOOKUP('Données projet'!$B$9,Paramètres!$A$1:$I$89,3,0)*0.475*44/12</f>
        <v>5.9149520942145397</v>
      </c>
      <c r="AB74" s="21">
        <f>EXP(-LN(2)/2)*AB73+(1-EXP(-LN(2)/2))/(LN(2)/2)*V74*Y74*VLOOKUP('Données projet'!$B$9,Paramètres!$A$1:$I$89,3,0)*0.475*44/12</f>
        <v>1.6266715586123031E-5</v>
      </c>
      <c r="AC74" s="22">
        <f t="shared" si="57"/>
        <v>7.4360306600815038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318.10000000000002</v>
      </c>
      <c r="AJ74" s="13">
        <f>AI74*VLOOKUP('Données projet'!$B$10,Paramètres!$A$1:$I$89,3,0)*VLOOKUP('Données projet'!$B$10,Paramètres!$A$1:$I$89,5,0)</f>
        <v>173.68260000000001</v>
      </c>
      <c r="AK74" s="13">
        <f t="shared" si="89"/>
        <v>43.913771928509959</v>
      </c>
      <c r="AL74" s="20">
        <f t="shared" si="58"/>
        <v>378.98034777548816</v>
      </c>
      <c r="AM74" s="59">
        <f t="shared" si="59"/>
        <v>672.31368110882147</v>
      </c>
      <c r="AN74" s="59">
        <f ca="1">AVERAGE(OFFSET($AM$3,0,0,'Données projet'!$E$10+1,1))-AVERAGE(OFFSET($H$3,0,0,'Données projet'!$E$10+1,1))</f>
        <v>168.72306536277267</v>
      </c>
      <c r="AO74" s="59">
        <f t="shared" si="90"/>
        <v>203.35476578922339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1.3506261430096809</v>
      </c>
      <c r="AV74" s="21">
        <f>EXP(-LN(2)/25)*AV73+(1-EXP(-LN(2)/25))/(LN(2)/25)*Calculateur!AQ74*Calculateur!AS74*VLOOKUP('Données projet'!$B$10,Paramètres!$A$1:$I$89,3,0)*0.475*44/12</f>
        <v>7.3748929771689253</v>
      </c>
      <c r="AW74" s="21">
        <f>EXP(-LN(2)/2)*AW73+(1-EXP(-LN(2)/2))/(LN(2)/2)*AQ74*AT74*VLOOKUP('Données projet'!$B$10,Paramètres!$A$1:$I$89,3,0)*0.475*44/12</f>
        <v>1.3503072482985176E-5</v>
      </c>
      <c r="AX74" s="21">
        <f t="shared" si="60"/>
        <v>8.7255326232510892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</v>
      </c>
      <c r="BD74" s="12">
        <f>IF('Données projet'!$A$88&gt;35,BD73+BC74-BL73,IF(A74&lt;'Données projet'!$A$88,$BA$205^A74,IF(A74='Données projet'!$A$88,'Données projet'!$B$88,BD73+BC74-BL73)))</f>
        <v>323.00000000000006</v>
      </c>
      <c r="BE74" s="13">
        <f>BD74*VLOOKUP('Données projet'!$B$11,Paramètres!$A$1:$I$89,3,0)*VLOOKUP('Données projet'!$B$11,Paramètres!$A$1:$I$89,5,0)</f>
        <v>193.15400000000005</v>
      </c>
      <c r="BF74" s="13">
        <f t="shared" si="91"/>
        <v>48.236587915544618</v>
      </c>
      <c r="BG74" s="20">
        <f t="shared" si="61"/>
        <v>420.42194061957366</v>
      </c>
      <c r="BH74" s="59">
        <f t="shared" si="62"/>
        <v>713.75527395290692</v>
      </c>
      <c r="BI74" s="59">
        <f ca="1">AVERAGE(OFFSET($BH$3,0,0,'Données projet'!$E$11+1,1))-AVERAGE(OFFSET($H$3,0,0,'Données projet'!$E$11+1,1))</f>
        <v>165.39579887388538</v>
      </c>
      <c r="BJ74" s="59">
        <f t="shared" si="92"/>
        <v>155.89639262545802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2.3388015028132974</v>
      </c>
      <c r="BR74" s="21">
        <f>EXP(-LN(2)/2)*BR73+(1-EXP(-LN(2)/2))/(LN(2)/2)*BL74*BO74*VLOOKUP('Données projet'!$B$11,Paramètres!$A$1:$I$89,3,0)*0.475*44/12</f>
        <v>9.3599962154356482E-6</v>
      </c>
      <c r="BS74" s="22">
        <f t="shared" si="63"/>
        <v>2.3388108628095128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162.79999999999987</v>
      </c>
      <c r="BZ74" s="13">
        <f>BY74*VLOOKUP('Données projet'!$B$12,Paramètres!$A$1:$I$89,3,0)*VLOOKUP('Données projet'!$B$12,Paramètres!$A$1:$I$89,5,0)</f>
        <v>157.46015999999989</v>
      </c>
      <c r="CA74" s="13">
        <f t="shared" si="93"/>
        <v>40.269114998475459</v>
      </c>
      <c r="CB74" s="20">
        <f t="shared" si="64"/>
        <v>344.37848728901122</v>
      </c>
      <c r="CC74" s="59">
        <f t="shared" si="65"/>
        <v>637.71182062234448</v>
      </c>
      <c r="CD74" s="59">
        <f ca="1">AVERAGE(OFFSET($CC$3,0,0,'Données projet'!$E$12+1,1))-AVERAGE(OFFSET($H$3,0,0,'Données projet'!$E$12+1,1))</f>
        <v>156.26368818265388</v>
      </c>
      <c r="CE74" s="59">
        <f t="shared" si="94"/>
        <v>56.347130462109817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162.79999999999987</v>
      </c>
      <c r="CU74" s="17">
        <f>CT74*VLOOKUP('Données projet'!$B$13,Paramètres!$A$1:$I$89,3,0)*VLOOKUP('Données projet'!$B$13,Paramètres!$A$1:$I$89,5,0)</f>
        <v>132.0633599999999</v>
      </c>
      <c r="CV74" s="13">
        <f t="shared" si="95"/>
        <v>34.472703398877925</v>
      </c>
      <c r="CW74" s="20">
        <f t="shared" si="67"/>
        <v>290.05031041971222</v>
      </c>
      <c r="CX74" s="59">
        <f t="shared" si="68"/>
        <v>583.38364375304559</v>
      </c>
      <c r="CY74" s="59">
        <f ca="1">AVERAGE(OFFSET($CX$3,0,0,'Données projet'!$E$13+1,1))-AVERAGE(OFFSET($H$3,0,0,'Données projet'!$E$13+1,1))</f>
        <v>112.78807760743126</v>
      </c>
      <c r="CZ74" s="59">
        <f t="shared" si="96"/>
        <v>37.867745922003564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2.5</v>
      </c>
      <c r="DO74" s="12">
        <f>IF('Données projet'!$A$166&gt;35,DO73+DN74-DW73,IF(A74&lt;'Données projet'!$A$166,$DL$205^A74,IF(A74='Données projet'!$A$166,'Données projet'!$B$166,DO73+DN74-DW73)))</f>
        <v>203.49999999999991</v>
      </c>
      <c r="DP74" s="17">
        <f>DO74*VLOOKUP('Données projet'!$B$14,Paramètres!$A$1:$I$89,3,0)*VLOOKUP('Données projet'!$B$14,Paramètres!$A$1:$I$89,5,0)</f>
        <v>136.50779999999995</v>
      </c>
      <c r="DQ74" s="13">
        <f t="shared" si="97"/>
        <v>35.495819162257526</v>
      </c>
      <c r="DR74" s="20">
        <f t="shared" si="70"/>
        <v>299.57297004093181</v>
      </c>
      <c r="DS74" s="59">
        <f t="shared" si="71"/>
        <v>592.90630337426512</v>
      </c>
      <c r="DT74" s="59">
        <f ca="1">AVERAGE(OFFSET($DS$3,0,0,'Données projet'!$E$14+1,1))-AVERAGE(OFFSET($H$3,0,0,'Données projet'!$E$14+1,1))</f>
        <v>107.15837202366862</v>
      </c>
      <c r="DU74" s="59">
        <f t="shared" si="98"/>
        <v>139.67031833740026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1.8186315951430694</v>
      </c>
      <c r="EC74" s="21">
        <f>EXP(-LN(2)/2)*EC73+(1-EXP(-LN(2)/2))/(LN(2)/2)*DW74*DZ74*VLOOKUP('Données projet'!$B$14,Paramètres!$A$1:$I$89,3,0)*0.475*44/12</f>
        <v>4.5515059804562844E-6</v>
      </c>
      <c r="ED74" s="22">
        <f t="shared" si="72"/>
        <v>1.8186361466490499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7.7</v>
      </c>
      <c r="EJ74" s="12">
        <f>IF('Données projet'!$A$192&gt;35,EJ73+EI74-ER73,IF(A74&lt;'Données projet'!$A$192,$EG$205^A74,IF(A74='Données projet'!$A$192,'Données projet'!$B$192,EJ73+EI74-ER73)))</f>
        <v>265.19999999999993</v>
      </c>
      <c r="EK74" s="17">
        <f>EJ74*VLOOKUP('Données projet'!$B$15,Paramètres!$A$1:$I$89,3,0)*VLOOKUP('Données projet'!$B$15,Paramètres!$A$1:$I$89,5,0)</f>
        <v>124.11359999999996</v>
      </c>
      <c r="EL74" s="13">
        <f t="shared" si="99"/>
        <v>32.632538771598028</v>
      </c>
      <c r="EM74" s="20">
        <f t="shared" si="73"/>
        <v>272.99952502719981</v>
      </c>
      <c r="EN74" s="59">
        <f t="shared" si="74"/>
        <v>566.33285836053312</v>
      </c>
      <c r="EO74" s="59">
        <f ca="1">AVERAGE(OFFSET($EN$3,0,0,'Données projet'!$E$15+1,1))-AVERAGE(OFFSET($H$3,0,0,'Données projet'!$E$15+1,1))</f>
        <v>123.60520571614535</v>
      </c>
      <c r="EP74" s="59">
        <f t="shared" si="100"/>
        <v>119.00926870519527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0.38506626975194397</v>
      </c>
      <c r="EW74" s="21">
        <f>EXP(-LN(2)/25)*EW73+(1-EXP(-LN(2)/25))/(LN(2)/25)*Calculateur!ER74*Calculateur!ET74*VLOOKUP('Données projet'!$B$15,Paramètres!$A$1:$I$89,3,0)*0.475*44/12</f>
        <v>1.5326537961077555</v>
      </c>
      <c r="EX74" s="21">
        <f>EXP(-LN(2)/2)*EX73+(1-EXP(-LN(2)/2))/(LN(2)/2)*ER74*EU74*VLOOKUP('Données projet'!$B$15,Paramètres!$A$1:$I$89,3,0)*0.475*44/12</f>
        <v>4.1227780785139136E-6</v>
      </c>
      <c r="EY74" s="22">
        <f t="shared" si="75"/>
        <v>1.917724188637778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11.9</v>
      </c>
      <c r="FE74" s="12">
        <f>IF('Données projet'!$A$218&gt;35,FE73+FD74-FM73,IF(A74&lt;'Données projet'!$A$218,$FB$205^A74,IF(A74='Données projet'!$A$218,'Données projet'!$B$218,FE73+FD74-FM73)))</f>
        <v>494.9</v>
      </c>
      <c r="FF74" s="17">
        <f>FE74*VLOOKUP('Données projet'!$B$16,Paramètres!$A$1:$I$89,3,0)*VLOOKUP('Données projet'!$B$16,Paramètres!$A$1:$I$89,5,0)</f>
        <v>238.04689999999999</v>
      </c>
      <c r="FG74" s="13">
        <f t="shared" si="101"/>
        <v>58.019111870609571</v>
      </c>
      <c r="FH74" s="20">
        <f t="shared" si="76"/>
        <v>515.64830400797825</v>
      </c>
      <c r="FI74" s="59">
        <f t="shared" si="77"/>
        <v>808.98163734131163</v>
      </c>
      <c r="FJ74" s="59">
        <f ca="1">AVERAGE(OFFSET($FI$3,0,0,'Données projet'!$E$16+1,1))-AVERAGE(OFFSET($H$3,0,0,'Données projet'!$E$16+1,1))</f>
        <v>197.66963254934603</v>
      </c>
      <c r="FK74" s="59">
        <f t="shared" si="102"/>
        <v>158.08388141976138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1.1841714244777619</v>
      </c>
      <c r="FR74" s="21">
        <f>EXP(-LN(2)/25)*FR73+(1-EXP(-LN(2)/25))/(LN(2)/25)*Calculateur!FM74*Calculateur!FO74*VLOOKUP('Données projet'!$B$16,Paramètres!$A$1:$I$89,3,0)*0.475*44/12</f>
        <v>1.7048146125844459</v>
      </c>
      <c r="FS74" s="21">
        <f>EXP(-LN(2)/2)*FS73+(1-EXP(-LN(2)/2))/(LN(2)/2)*FM74*FP74*VLOOKUP('Données projet'!$B$16,Paramètres!$A$1:$I$89,3,0)*0.475*44/12</f>
        <v>5.5822501289088099E-6</v>
      </c>
      <c r="FT74" s="22">
        <f t="shared" si="78"/>
        <v>2.8889916193123364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6</v>
      </c>
      <c r="FZ74" s="12">
        <f>IF('Données projet'!$A$244&gt;35,FZ73+FY74-GH73,IF(A74&lt;'Données projet'!$A$244,$FW$205^A74,IF(A74='Données projet'!$A$244,'Données projet'!$B$244,FZ73+FY74-GH73)))</f>
        <v>323.00000000000006</v>
      </c>
      <c r="GA74" s="17">
        <f>FZ74*VLOOKUP('Données projet'!$B$17,Paramètres!$A$1:$I$89,3,0)*VLOOKUP('Données projet'!$B$17,Paramètres!$A$1:$I$89,5,0)</f>
        <v>193.15400000000005</v>
      </c>
      <c r="GB74" s="13">
        <f t="shared" si="103"/>
        <v>48.236587915544618</v>
      </c>
      <c r="GC74" s="20">
        <f t="shared" si="79"/>
        <v>420.42194061957366</v>
      </c>
      <c r="GD74" s="59">
        <f t="shared" si="80"/>
        <v>713.75527395290692</v>
      </c>
      <c r="GE74" s="59">
        <f ca="1">AVERAGE(OFFSET($GD$3,0,0,'Données projet'!$E$17+1,1))-AVERAGE(OFFSET($H$3,0,0,'Données projet'!$E$17+1,1))</f>
        <v>165.39579887388538</v>
      </c>
      <c r="GF74" s="59">
        <f t="shared" si="104"/>
        <v>155.89639262545802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2.3388015028132974</v>
      </c>
      <c r="GN74" s="21">
        <f>EXP(-LN(2)/2)*GN73+(1-EXP(-LN(2)/2))/(LN(2)/2)*GH74*GK74*VLOOKUP('Données projet'!$B$17,Paramètres!$A$1:$I$89,3,0)*0.475*44/12</f>
        <v>9.3599962154356482E-6</v>
      </c>
      <c r="GO74" s="21">
        <f t="shared" si="81"/>
        <v>2.3388108628095128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4.8</v>
      </c>
      <c r="GU74" s="12">
        <f>IF('Données projet'!$A$270&gt;35,GU73+GT74-HC73,IF(A74&lt;'Données projet'!$A$270,$GR$205^A74,IF(A74='Données projet'!$A$270,'Données projet'!$B$270,GU73+GT74-HC73)))</f>
        <v>162.79999999999987</v>
      </c>
      <c r="GV74" s="17">
        <f>GU74*VLOOKUP('Données projet'!$B$18,Paramètres!$A$1:$I$89,3,0)*VLOOKUP('Données projet'!$B$18,Paramètres!$A$1:$I$89,5,0)</f>
        <v>175.23791999999983</v>
      </c>
      <c r="GW74" s="13">
        <f t="shared" si="105"/>
        <v>44.261063498246379</v>
      </c>
      <c r="GX74" s="20">
        <f t="shared" si="82"/>
        <v>382.29406292611219</v>
      </c>
      <c r="GY74" s="59">
        <f t="shared" si="83"/>
        <v>675.6273962594455</v>
      </c>
      <c r="GZ74" s="59">
        <f ca="1">AVERAGE(OFFSET($GY$3,0,0,'Données projet'!$E$18+1,1))-AVERAGE(OFFSET($H$3,0,0,'Données projet'!$E$18+1,1))</f>
        <v>186.60545265015247</v>
      </c>
      <c r="HA74" s="59">
        <f t="shared" si="106"/>
        <v>69.239647548491234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0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0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8.3000000000000007</v>
      </c>
      <c r="N75" s="13">
        <f>IF('Données projet'!$A$36&gt;35,N74+M75-V74,IF(A75&lt;'Données projet'!$A$36,$K$205^A75,IF(A75='Données projet'!$A$36,'Données projet'!$B$36,N74+M75-V74)))</f>
        <v>447.60000000000025</v>
      </c>
      <c r="O75" s="13">
        <f>N75*VLOOKUP('Données projet'!$B$9,Paramètres!$A$1:$I$89,3,0)*VLOOKUP('Données projet'!$B$9,Paramètres!$A$1:$I$89,5,0)</f>
        <v>250.20840000000015</v>
      </c>
      <c r="P75" s="13">
        <f t="shared" si="87"/>
        <v>60.630564411420188</v>
      </c>
      <c r="Q75" s="20">
        <f t="shared" si="54"/>
        <v>541.37786301655706</v>
      </c>
      <c r="R75" s="59">
        <f t="shared" si="55"/>
        <v>834.71119634989032</v>
      </c>
      <c r="S75" s="59">
        <f ca="1">AVERAGE(OFFSET($R$3,0,0,'Données projet'!$E$9+1,1))-AVERAGE(OFFSET($H$3,0,0,'Données projet'!$E$9+1,1))</f>
        <v>235.10258076192054</v>
      </c>
      <c r="T75" s="59">
        <f t="shared" si="88"/>
        <v>233.47316052603765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1.4912351952214138</v>
      </c>
      <c r="AA75" s="21">
        <f>EXP(-LN(2)/25)*AA74+(1-EXP(-LN(2)/25))/(LN(2)/25)*Calculateur!V75*Calculateur!X75*VLOOKUP('Données projet'!$B$9,Paramètres!$A$1:$I$89,3,0)*0.475*44/12</f>
        <v>5.7532074181444317</v>
      </c>
      <c r="AB75" s="21">
        <f>EXP(-LN(2)/2)*AB74+(1-EXP(-LN(2)/2))/(LN(2)/2)*V75*Y75*VLOOKUP('Données projet'!$B$9,Paramètres!$A$1:$I$89,3,0)*0.475*44/12</f>
        <v>1.15023048985805E-5</v>
      </c>
      <c r="AC75" s="22">
        <f t="shared" si="57"/>
        <v>7.2444541156707443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324.20000000000005</v>
      </c>
      <c r="AJ75" s="13">
        <f>AI75*VLOOKUP('Données projet'!$B$10,Paramètres!$A$1:$I$89,3,0)*VLOOKUP('Données projet'!$B$10,Paramètres!$A$1:$I$89,5,0)</f>
        <v>177.01320000000004</v>
      </c>
      <c r="AK75" s="13">
        <f t="shared" si="89"/>
        <v>44.657032460641901</v>
      </c>
      <c r="AL75" s="20">
        <f t="shared" si="58"/>
        <v>386.0756548689514</v>
      </c>
      <c r="AM75" s="59">
        <f t="shared" si="59"/>
        <v>679.40898820228472</v>
      </c>
      <c r="AN75" s="59">
        <f ca="1">AVERAGE(OFFSET($AM$3,0,0,'Données projet'!$E$10+1,1))-AVERAGE(OFFSET($H$3,0,0,'Données projet'!$E$10+1,1))</f>
        <v>168.72306536277267</v>
      </c>
      <c r="AO75" s="59">
        <f t="shared" si="90"/>
        <v>203.35476578922339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1.3241411881458647</v>
      </c>
      <c r="AV75" s="21">
        <f>EXP(-LN(2)/25)*AV74+(1-EXP(-LN(2)/25))/(LN(2)/25)*Calculateur!AQ75*Calculateur!AS75*VLOOKUP('Données projet'!$B$10,Paramètres!$A$1:$I$89,3,0)*0.475*44/12</f>
        <v>7.1732261408794749</v>
      </c>
      <c r="AW75" s="21">
        <f>EXP(-LN(2)/2)*AW74+(1-EXP(-LN(2)/2))/(LN(2)/2)*AQ75*AT75*VLOOKUP('Données projet'!$B$10,Paramètres!$A$1:$I$89,3,0)*0.475*44/12</f>
        <v>9.5481141195722895E-6</v>
      </c>
      <c r="AX75" s="21">
        <f t="shared" si="60"/>
        <v>8.4973768771394589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</v>
      </c>
      <c r="BD75" s="12">
        <f>IF('Données projet'!$A$88&gt;35,BD74+BC75-BL74,IF(A75&lt;'Données projet'!$A$88,$BA$205^A75,IF(A75='Données projet'!$A$88,'Données projet'!$B$88,BD74+BC75-BL74)))</f>
        <v>329.00000000000006</v>
      </c>
      <c r="BE75" s="13">
        <f>BD75*VLOOKUP('Données projet'!$B$11,Paramètres!$A$1:$I$89,3,0)*VLOOKUP('Données projet'!$B$11,Paramètres!$A$1:$I$89,5,0)</f>
        <v>196.74200000000005</v>
      </c>
      <c r="BF75" s="13">
        <f t="shared" si="91"/>
        <v>49.027474951150033</v>
      </c>
      <c r="BG75" s="20">
        <f t="shared" si="61"/>
        <v>428.04850220658636</v>
      </c>
      <c r="BH75" s="59">
        <f t="shared" si="62"/>
        <v>721.38183553991962</v>
      </c>
      <c r="BI75" s="59">
        <f ca="1">AVERAGE(OFFSET($BH$3,0,0,'Données projet'!$E$11+1,1))-AVERAGE(OFFSET($H$3,0,0,'Données projet'!$E$11+1,1))</f>
        <v>165.39579887388538</v>
      </c>
      <c r="BJ75" s="59">
        <f t="shared" si="92"/>
        <v>155.89639262545802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2.2748468527266419</v>
      </c>
      <c r="BR75" s="21">
        <f>EXP(-LN(2)/2)*BR74+(1-EXP(-LN(2)/2))/(LN(2)/2)*BL75*BO75*VLOOKUP('Données projet'!$B$11,Paramètres!$A$1:$I$89,3,0)*0.475*44/12</f>
        <v>6.618516795814968E-6</v>
      </c>
      <c r="BS75" s="22">
        <f t="shared" si="63"/>
        <v>2.2748534712434378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167.59999999999988</v>
      </c>
      <c r="BZ75" s="13">
        <f>BY75*VLOOKUP('Données projet'!$B$12,Paramètres!$A$1:$I$89,3,0)*VLOOKUP('Données projet'!$B$12,Paramètres!$A$1:$I$89,5,0)</f>
        <v>162.10271999999989</v>
      </c>
      <c r="CA75" s="13">
        <f t="shared" si="93"/>
        <v>41.316428778358599</v>
      </c>
      <c r="CB75" s="20">
        <f t="shared" si="64"/>
        <v>354.28835078897436</v>
      </c>
      <c r="CC75" s="59">
        <f t="shared" si="65"/>
        <v>647.62168412230767</v>
      </c>
      <c r="CD75" s="59">
        <f ca="1">AVERAGE(OFFSET($CC$3,0,0,'Données projet'!$E$12+1,1))-AVERAGE(OFFSET($H$3,0,0,'Données projet'!$E$12+1,1))</f>
        <v>156.26368818265388</v>
      </c>
      <c r="CE75" s="59">
        <f t="shared" si="94"/>
        <v>56.347130462109817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167.59999999999988</v>
      </c>
      <c r="CU75" s="17">
        <f>CT75*VLOOKUP('Données projet'!$B$13,Paramètres!$A$1:$I$89,3,0)*VLOOKUP('Données projet'!$B$13,Paramètres!$A$1:$I$89,5,0)</f>
        <v>135.95711999999992</v>
      </c>
      <c r="CV75" s="13">
        <f t="shared" si="95"/>
        <v>35.369264877838596</v>
      </c>
      <c r="CW75" s="20">
        <f t="shared" si="67"/>
        <v>298.39345366223534</v>
      </c>
      <c r="CX75" s="59">
        <f t="shared" si="68"/>
        <v>591.72678699556866</v>
      </c>
      <c r="CY75" s="59">
        <f ca="1">AVERAGE(OFFSET($CX$3,0,0,'Données projet'!$E$13+1,1))-AVERAGE(OFFSET($H$3,0,0,'Données projet'!$E$13+1,1))</f>
        <v>112.78807760743126</v>
      </c>
      <c r="CZ75" s="59">
        <f t="shared" si="96"/>
        <v>37.867745922003564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2.5</v>
      </c>
      <c r="DO75" s="12">
        <f>IF('Données projet'!$A$166&gt;35,DO74+DN75-DW74,IF(A75&lt;'Données projet'!$A$166,$DL$205^A75,IF(A75='Données projet'!$A$166,'Données projet'!$B$166,DO74+DN75-DW74)))</f>
        <v>205.99999999999991</v>
      </c>
      <c r="DP75" s="17">
        <f>DO75*VLOOKUP('Données projet'!$B$14,Paramètres!$A$1:$I$89,3,0)*VLOOKUP('Données projet'!$B$14,Paramètres!$A$1:$I$89,5,0)</f>
        <v>138.18479999999994</v>
      </c>
      <c r="DQ75" s="13">
        <f t="shared" si="97"/>
        <v>35.88085334799969</v>
      </c>
      <c r="DR75" s="20">
        <f t="shared" si="70"/>
        <v>303.16434624776599</v>
      </c>
      <c r="DS75" s="59">
        <f t="shared" si="71"/>
        <v>596.49767958109931</v>
      </c>
      <c r="DT75" s="59">
        <f ca="1">AVERAGE(OFFSET($DS$3,0,0,'Données projet'!$E$14+1,1))-AVERAGE(OFFSET($H$3,0,0,'Données projet'!$E$14+1,1))</f>
        <v>107.15837202366862</v>
      </c>
      <c r="DU75" s="59">
        <f t="shared" si="98"/>
        <v>139.67031833740026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1.7689010185362031</v>
      </c>
      <c r="EC75" s="21">
        <f>EXP(-LN(2)/2)*EC74+(1-EXP(-LN(2)/2))/(LN(2)/2)*DW75*DZ75*VLOOKUP('Données projet'!$B$14,Paramètres!$A$1:$I$89,3,0)*0.475*44/12</f>
        <v>3.2184007433917644E-6</v>
      </c>
      <c r="ED75" s="22">
        <f t="shared" si="72"/>
        <v>1.7689042369369465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7.7</v>
      </c>
      <c r="EJ75" s="12">
        <f>IF('Données projet'!$A$192&gt;35,EJ74+EI75-ER74,IF(A75&lt;'Données projet'!$A$192,$EG$205^A75,IF(A75='Données projet'!$A$192,'Données projet'!$B$192,EJ74+EI75-ER74)))</f>
        <v>272.89999999999992</v>
      </c>
      <c r="EK75" s="17">
        <f>EJ75*VLOOKUP('Données projet'!$B$15,Paramètres!$A$1:$I$89,3,0)*VLOOKUP('Données projet'!$B$15,Paramètres!$A$1:$I$89,5,0)</f>
        <v>127.71719999999996</v>
      </c>
      <c r="EL75" s="13">
        <f t="shared" si="99"/>
        <v>33.468328632580821</v>
      </c>
      <c r="EM75" s="20">
        <f t="shared" si="73"/>
        <v>280.73146236841148</v>
      </c>
      <c r="EN75" s="59">
        <f t="shared" si="74"/>
        <v>574.06479570174474</v>
      </c>
      <c r="EO75" s="59">
        <f ca="1">AVERAGE(OFFSET($EN$3,0,0,'Données projet'!$E$15+1,1))-AVERAGE(OFFSET($H$3,0,0,'Données projet'!$E$15+1,1))</f>
        <v>123.60520571614535</v>
      </c>
      <c r="EP75" s="59">
        <f t="shared" si="100"/>
        <v>119.00926870519527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0.3775153550693417</v>
      </c>
      <c r="EW75" s="21">
        <f>EXP(-LN(2)/25)*EW74+(1-EXP(-LN(2)/25))/(LN(2)/25)*Calculateur!ER75*Calculateur!ET75*VLOOKUP('Données projet'!$B$15,Paramètres!$A$1:$I$89,3,0)*0.475*44/12</f>
        <v>1.4907432974544288</v>
      </c>
      <c r="EX75" s="21">
        <f>EXP(-LN(2)/2)*EX74+(1-EXP(-LN(2)/2))/(LN(2)/2)*ER75*EU75*VLOOKUP('Données projet'!$B$15,Paramètres!$A$1:$I$89,3,0)*0.475*44/12</f>
        <v>2.9152443366444328E-6</v>
      </c>
      <c r="EY75" s="22">
        <f t="shared" si="75"/>
        <v>1.8682615677681071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11.9</v>
      </c>
      <c r="FE75" s="12">
        <f>IF('Données projet'!$A$218&gt;35,FE74+FD75-FM74,IF(A75&lt;'Données projet'!$A$218,$FB$205^A75,IF(A75='Données projet'!$A$218,'Données projet'!$B$218,FE74+FD75-FM74)))</f>
        <v>506.79999999999995</v>
      </c>
      <c r="FF75" s="17">
        <f>FE75*VLOOKUP('Données projet'!$B$16,Paramètres!$A$1:$I$89,3,0)*VLOOKUP('Données projet'!$B$16,Paramètres!$A$1:$I$89,5,0)</f>
        <v>243.77080000000001</v>
      </c>
      <c r="FG75" s="13">
        <f t="shared" si="101"/>
        <v>59.250098899551446</v>
      </c>
      <c r="FH75" s="20">
        <f t="shared" si="76"/>
        <v>527.7613989167188</v>
      </c>
      <c r="FI75" s="59">
        <f t="shared" si="77"/>
        <v>821.09473225005218</v>
      </c>
      <c r="FJ75" s="59">
        <f ca="1">AVERAGE(OFFSET($FI$3,0,0,'Données projet'!$E$16+1,1))-AVERAGE(OFFSET($H$3,0,0,'Données projet'!$E$16+1,1))</f>
        <v>197.66963254934603</v>
      </c>
      <c r="FK75" s="59">
        <f t="shared" si="102"/>
        <v>158.08388141976138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1.1609505451170035</v>
      </c>
      <c r="FR75" s="21">
        <f>EXP(-LN(2)/25)*FR74+(1-EXP(-LN(2)/25))/(LN(2)/25)*Calculateur!FM75*Calculateur!FO75*VLOOKUP('Données projet'!$B$16,Paramètres!$A$1:$I$89,3,0)*0.475*44/12</f>
        <v>1.6581963673510201</v>
      </c>
      <c r="FS75" s="21">
        <f>EXP(-LN(2)/2)*FS74+(1-EXP(-LN(2)/2))/(LN(2)/2)*FM75*FP75*VLOOKUP('Données projet'!$B$16,Paramètres!$A$1:$I$89,3,0)*0.475*44/12</f>
        <v>3.9472469204308984E-6</v>
      </c>
      <c r="FT75" s="22">
        <f t="shared" si="78"/>
        <v>2.8191508597149442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6</v>
      </c>
      <c r="FZ75" s="12">
        <f>IF('Données projet'!$A$244&gt;35,FZ74+FY75-GH74,IF(A75&lt;'Données projet'!$A$244,$FW$205^A75,IF(A75='Données projet'!$A$244,'Données projet'!$B$244,FZ74+FY75-GH74)))</f>
        <v>329.00000000000006</v>
      </c>
      <c r="GA75" s="17">
        <f>FZ75*VLOOKUP('Données projet'!$B$17,Paramètres!$A$1:$I$89,3,0)*VLOOKUP('Données projet'!$B$17,Paramètres!$A$1:$I$89,5,0)</f>
        <v>196.74200000000005</v>
      </c>
      <c r="GB75" s="13">
        <f t="shared" si="103"/>
        <v>49.027474951150033</v>
      </c>
      <c r="GC75" s="20">
        <f t="shared" si="79"/>
        <v>428.04850220658636</v>
      </c>
      <c r="GD75" s="59">
        <f t="shared" si="80"/>
        <v>721.38183553991962</v>
      </c>
      <c r="GE75" s="59">
        <f ca="1">AVERAGE(OFFSET($GD$3,0,0,'Données projet'!$E$17+1,1))-AVERAGE(OFFSET($H$3,0,0,'Données projet'!$E$17+1,1))</f>
        <v>165.39579887388538</v>
      </c>
      <c r="GF75" s="59">
        <f t="shared" si="104"/>
        <v>155.89639262545802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2.2748468527266419</v>
      </c>
      <c r="GN75" s="21">
        <f>EXP(-LN(2)/2)*GN74+(1-EXP(-LN(2)/2))/(LN(2)/2)*GH75*GK75*VLOOKUP('Données projet'!$B$17,Paramètres!$A$1:$I$89,3,0)*0.475*44/12</f>
        <v>6.618516795814968E-6</v>
      </c>
      <c r="GO75" s="21">
        <f t="shared" si="81"/>
        <v>2.2748534712434378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4.8</v>
      </c>
      <c r="GU75" s="12">
        <f>IF('Données projet'!$A$270&gt;35,GU74+GT75-HC74,IF(A75&lt;'Données projet'!$A$270,$GR$205^A75,IF(A75='Données projet'!$A$270,'Données projet'!$B$270,GU74+GT75-HC74)))</f>
        <v>167.59999999999988</v>
      </c>
      <c r="GV75" s="17">
        <f>GU75*VLOOKUP('Données projet'!$B$18,Paramètres!$A$1:$I$89,3,0)*VLOOKUP('Données projet'!$B$18,Paramètres!$A$1:$I$89,5,0)</f>
        <v>180.40463999999986</v>
      </c>
      <c r="GW75" s="13">
        <f t="shared" si="105"/>
        <v>45.412199343068174</v>
      </c>
      <c r="GX75" s="20">
        <f t="shared" si="82"/>
        <v>393.29766185584344</v>
      </c>
      <c r="GY75" s="59">
        <f t="shared" si="83"/>
        <v>686.6309951891767</v>
      </c>
      <c r="GZ75" s="59">
        <f ca="1">AVERAGE(OFFSET($GY$3,0,0,'Données projet'!$E$18+1,1))-AVERAGE(OFFSET($H$3,0,0,'Données projet'!$E$18+1,1))</f>
        <v>186.60545265015247</v>
      </c>
      <c r="HA75" s="59">
        <f t="shared" si="106"/>
        <v>69.239647548491234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0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0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8.3000000000000007</v>
      </c>
      <c r="N76" s="13">
        <f>IF('Données projet'!$A$36&gt;35,N75+M76-V75,IF(A76&lt;'Données projet'!$A$36,$K$205^A76,IF(A76='Données projet'!$A$36,'Données projet'!$B$36,N75+M76-V75)))</f>
        <v>455.90000000000026</v>
      </c>
      <c r="O76" s="13">
        <f>N76*VLOOKUP('Données projet'!$B$9,Paramètres!$A$1:$I$89,3,0)*VLOOKUP('Données projet'!$B$9,Paramètres!$A$1:$I$89,5,0)</f>
        <v>254.84810000000016</v>
      </c>
      <c r="P76" s="13">
        <f t="shared" si="87"/>
        <v>61.622925177592492</v>
      </c>
      <c r="Q76" s="20">
        <f t="shared" si="54"/>
        <v>551.18703551764054</v>
      </c>
      <c r="R76" s="59">
        <f t="shared" si="55"/>
        <v>844.52036885097391</v>
      </c>
      <c r="S76" s="59">
        <f ca="1">AVERAGE(OFFSET($R$3,0,0,'Données projet'!$E$9+1,1))-AVERAGE(OFFSET($H$3,0,0,'Données projet'!$E$9+1,1))</f>
        <v>235.10258076192054</v>
      </c>
      <c r="T76" s="59">
        <f t="shared" si="88"/>
        <v>233.47316052603765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1.461992982606779</v>
      </c>
      <c r="AA76" s="21">
        <f>EXP(-LN(2)/25)*AA75+(1-EXP(-LN(2)/25))/(LN(2)/25)*Calculateur!V76*Calculateur!X76*VLOOKUP('Données projet'!$B$9,Paramètres!$A$1:$I$89,3,0)*0.475*44/12</f>
        <v>5.5958856587472434</v>
      </c>
      <c r="AB76" s="21">
        <f>EXP(-LN(2)/2)*AB75+(1-EXP(-LN(2)/2))/(LN(2)/2)*V76*Y76*VLOOKUP('Données projet'!$B$9,Paramètres!$A$1:$I$89,3,0)*0.475*44/12</f>
        <v>8.1333577930615154E-6</v>
      </c>
      <c r="AC76" s="22">
        <f t="shared" si="57"/>
        <v>7.0578867747118164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330.30000000000007</v>
      </c>
      <c r="AJ76" s="13">
        <f>AI76*VLOOKUP('Données projet'!$B$10,Paramètres!$A$1:$I$89,3,0)*VLOOKUP('Données projet'!$B$10,Paramètres!$A$1:$I$89,5,0)</f>
        <v>180.34380000000004</v>
      </c>
      <c r="AK76" s="13">
        <f t="shared" si="89"/>
        <v>45.398666835773618</v>
      </c>
      <c r="AL76" s="20">
        <f t="shared" si="58"/>
        <v>393.16812973897248</v>
      </c>
      <c r="AM76" s="59">
        <f t="shared" si="59"/>
        <v>686.5014630723058</v>
      </c>
      <c r="AN76" s="59">
        <f ca="1">AVERAGE(OFFSET($AM$3,0,0,'Données projet'!$E$10+1,1))-AVERAGE(OFFSET($H$3,0,0,'Données projet'!$E$10+1,1))</f>
        <v>168.72306536277267</v>
      </c>
      <c r="AO76" s="59">
        <f t="shared" si="90"/>
        <v>203.35476578922339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1.2981755870927005</v>
      </c>
      <c r="AV76" s="21">
        <f>EXP(-LN(2)/25)*AV75+(1-EXP(-LN(2)/25))/(LN(2)/25)*Calculateur!AQ76*Calculateur!AS76*VLOOKUP('Données projet'!$B$10,Paramètres!$A$1:$I$89,3,0)*0.475*44/12</f>
        <v>6.9770738948335573</v>
      </c>
      <c r="AW76" s="21">
        <f>EXP(-LN(2)/2)*AW75+(1-EXP(-LN(2)/2))/(LN(2)/2)*AQ76*AT76*VLOOKUP('Données projet'!$B$10,Paramètres!$A$1:$I$89,3,0)*0.475*44/12</f>
        <v>6.7515362414925879E-6</v>
      </c>
      <c r="AX76" s="21">
        <f t="shared" si="60"/>
        <v>8.2752562334624997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</v>
      </c>
      <c r="BD76" s="12">
        <f>IF('Données projet'!$A$88&gt;35,BD75+BC76-BL75,IF(A76&lt;'Données projet'!$A$88,$BA$205^A76,IF(A76='Données projet'!$A$88,'Données projet'!$B$88,BD75+BC76-BL75)))</f>
        <v>335.00000000000006</v>
      </c>
      <c r="BE76" s="13">
        <f>BD76*VLOOKUP('Données projet'!$B$11,Paramètres!$A$1:$I$89,3,0)*VLOOKUP('Données projet'!$B$11,Paramètres!$A$1:$I$89,5,0)</f>
        <v>200.33000000000004</v>
      </c>
      <c r="BF76" s="13">
        <f t="shared" si="91"/>
        <v>49.81668477706851</v>
      </c>
      <c r="BG76" s="20">
        <f t="shared" si="61"/>
        <v>435.67214265339436</v>
      </c>
      <c r="BH76" s="59">
        <f t="shared" si="62"/>
        <v>729.00547598672767</v>
      </c>
      <c r="BI76" s="59">
        <f ca="1">AVERAGE(OFFSET($BH$3,0,0,'Données projet'!$E$11+1,1))-AVERAGE(OFFSET($H$3,0,0,'Données projet'!$E$11+1,1))</f>
        <v>165.39579887388538</v>
      </c>
      <c r="BJ76" s="59">
        <f t="shared" si="92"/>
        <v>155.89639262545802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2.2126410459098351</v>
      </c>
      <c r="BR76" s="21">
        <f>EXP(-LN(2)/2)*BR75+(1-EXP(-LN(2)/2))/(LN(2)/2)*BL76*BO76*VLOOKUP('Données projet'!$B$11,Paramètres!$A$1:$I$89,3,0)*0.475*44/12</f>
        <v>4.6799981077178241E-6</v>
      </c>
      <c r="BS76" s="22">
        <f t="shared" si="63"/>
        <v>2.2126457259079428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172.39999999999989</v>
      </c>
      <c r="BZ76" s="13">
        <f>BY76*VLOOKUP('Données projet'!$B$12,Paramètres!$A$1:$I$89,3,0)*VLOOKUP('Données projet'!$B$12,Paramètres!$A$1:$I$89,5,0)</f>
        <v>166.74527999999989</v>
      </c>
      <c r="CA76" s="13">
        <f t="shared" si="93"/>
        <v>42.3602564885365</v>
      </c>
      <c r="CB76" s="20">
        <f t="shared" si="64"/>
        <v>364.19214271753418</v>
      </c>
      <c r="CC76" s="59">
        <f t="shared" si="65"/>
        <v>657.5254760508675</v>
      </c>
      <c r="CD76" s="59">
        <f ca="1">AVERAGE(OFFSET($CC$3,0,0,'Données projet'!$E$12+1,1))-AVERAGE(OFFSET($H$3,0,0,'Données projet'!$E$12+1,1))</f>
        <v>156.26368818265388</v>
      </c>
      <c r="CE76" s="59">
        <f t="shared" si="94"/>
        <v>56.347130462109817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172.39999999999989</v>
      </c>
      <c r="CU76" s="17">
        <f>CT76*VLOOKUP('Données projet'!$B$13,Paramètres!$A$1:$I$89,3,0)*VLOOKUP('Données projet'!$B$13,Paramètres!$A$1:$I$89,5,0)</f>
        <v>139.85087999999993</v>
      </c>
      <c r="CV76" s="13">
        <f t="shared" si="95"/>
        <v>36.262842078476204</v>
      </c>
      <c r="CW76" s="20">
        <f t="shared" si="67"/>
        <v>306.73139928667928</v>
      </c>
      <c r="CX76" s="59">
        <f t="shared" si="68"/>
        <v>600.06473262001259</v>
      </c>
      <c r="CY76" s="59">
        <f ca="1">AVERAGE(OFFSET($CX$3,0,0,'Données projet'!$E$13+1,1))-AVERAGE(OFFSET($H$3,0,0,'Données projet'!$E$13+1,1))</f>
        <v>112.78807760743126</v>
      </c>
      <c r="CZ76" s="59">
        <f t="shared" si="96"/>
        <v>37.867745922003564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2.5</v>
      </c>
      <c r="DO76" s="12">
        <f>IF('Données projet'!$A$166&gt;35,DO75+DN76-DW75,IF(A76&lt;'Données projet'!$A$166,$DL$205^A76,IF(A76='Données projet'!$A$166,'Données projet'!$B$166,DO75+DN76-DW75)))</f>
        <v>208.49999999999991</v>
      </c>
      <c r="DP76" s="17">
        <f>DO76*VLOOKUP('Données projet'!$B$14,Paramètres!$A$1:$I$89,3,0)*VLOOKUP('Données projet'!$B$14,Paramètres!$A$1:$I$89,5,0)</f>
        <v>139.86179999999993</v>
      </c>
      <c r="DQ76" s="13">
        <f t="shared" si="97"/>
        <v>36.265343996104797</v>
      </c>
      <c r="DR76" s="20">
        <f t="shared" si="70"/>
        <v>306.75477579321574</v>
      </c>
      <c r="DS76" s="59">
        <f t="shared" si="71"/>
        <v>600.08810912654906</v>
      </c>
      <c r="DT76" s="59">
        <f ca="1">AVERAGE(OFFSET($DS$3,0,0,'Données projet'!$E$14+1,1))-AVERAGE(OFFSET($H$3,0,0,'Données projet'!$E$14+1,1))</f>
        <v>107.15837202366862</v>
      </c>
      <c r="DU76" s="59">
        <f t="shared" si="98"/>
        <v>139.67031833740026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1.7205303271618688</v>
      </c>
      <c r="EC76" s="21">
        <f>EXP(-LN(2)/2)*EC75+(1-EXP(-LN(2)/2))/(LN(2)/2)*DW76*DZ76*VLOOKUP('Données projet'!$B$14,Paramètres!$A$1:$I$89,3,0)*0.475*44/12</f>
        <v>2.2757529902281422E-6</v>
      </c>
      <c r="ED76" s="22">
        <f t="shared" si="72"/>
        <v>1.7205326029148591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7.7</v>
      </c>
      <c r="EJ76" s="12">
        <f>IF('Données projet'!$A$192&gt;35,EJ75+EI76-ER75,IF(A76&lt;'Données projet'!$A$192,$EG$205^A76,IF(A76='Données projet'!$A$192,'Données projet'!$B$192,EJ75+EI76-ER75)))</f>
        <v>280.59999999999991</v>
      </c>
      <c r="EK76" s="17">
        <f>EJ76*VLOOKUP('Données projet'!$B$15,Paramètres!$A$1:$I$89,3,0)*VLOOKUP('Données projet'!$B$15,Paramètres!$A$1:$I$89,5,0)</f>
        <v>131.32079999999996</v>
      </c>
      <c r="EL76" s="13">
        <f t="shared" si="99"/>
        <v>34.301377644087616</v>
      </c>
      <c r="EM76" s="20">
        <f t="shared" si="73"/>
        <v>288.45862606345253</v>
      </c>
      <c r="EN76" s="59">
        <f t="shared" si="74"/>
        <v>581.79195939678584</v>
      </c>
      <c r="EO76" s="59">
        <f ca="1">AVERAGE(OFFSET($EN$3,0,0,'Données projet'!$E$15+1,1))-AVERAGE(OFFSET($H$3,0,0,'Données projet'!$E$15+1,1))</f>
        <v>123.60520571614535</v>
      </c>
      <c r="EP76" s="59">
        <f t="shared" si="100"/>
        <v>119.00926870519527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0.37011250921806205</v>
      </c>
      <c r="EW76" s="21">
        <f>EXP(-LN(2)/25)*EW75+(1-EXP(-LN(2)/25))/(LN(2)/25)*Calculateur!ER76*Calculateur!ET76*VLOOKUP('Données projet'!$B$15,Paramètres!$A$1:$I$89,3,0)*0.475*44/12</f>
        <v>1.4499788435907546</v>
      </c>
      <c r="EX76" s="21">
        <f>EXP(-LN(2)/2)*EX75+(1-EXP(-LN(2)/2))/(LN(2)/2)*ER76*EU76*VLOOKUP('Données projet'!$B$15,Paramètres!$A$1:$I$89,3,0)*0.475*44/12</f>
        <v>2.0613890392569568E-6</v>
      </c>
      <c r="EY76" s="22">
        <f t="shared" si="75"/>
        <v>1.8200934141978558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11.9</v>
      </c>
      <c r="FE76" s="12">
        <f>IF('Données projet'!$A$218&gt;35,FE75+FD76-FM75,IF(A76&lt;'Données projet'!$A$218,$FB$205^A76,IF(A76='Données projet'!$A$218,'Données projet'!$B$218,FE75+FD76-FM75)))</f>
        <v>518.69999999999993</v>
      </c>
      <c r="FF76" s="17">
        <f>FE76*VLOOKUP('Données projet'!$B$16,Paramètres!$A$1:$I$89,3,0)*VLOOKUP('Données projet'!$B$16,Paramètres!$A$1:$I$89,5,0)</f>
        <v>249.49469999999999</v>
      </c>
      <c r="FG76" s="13">
        <f t="shared" si="101"/>
        <v>60.477725724592432</v>
      </c>
      <c r="FH76" s="20">
        <f t="shared" si="76"/>
        <v>539.86864147033168</v>
      </c>
      <c r="FI76" s="59">
        <f t="shared" si="77"/>
        <v>833.20197480366505</v>
      </c>
      <c r="FJ76" s="59">
        <f ca="1">AVERAGE(OFFSET($FI$3,0,0,'Données projet'!$E$16+1,1))-AVERAGE(OFFSET($H$3,0,0,'Données projet'!$E$16+1,1))</f>
        <v>197.66963254934603</v>
      </c>
      <c r="FK76" s="59">
        <f t="shared" si="102"/>
        <v>158.08388141976138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1.1381850130371716</v>
      </c>
      <c r="FR76" s="21">
        <f>EXP(-LN(2)/25)*FR75+(1-EXP(-LN(2)/25))/(LN(2)/25)*Calculateur!FM76*Calculateur!FO76*VLOOKUP('Données projet'!$B$16,Paramètres!$A$1:$I$89,3,0)*0.475*44/12</f>
        <v>1.6128529004850494</v>
      </c>
      <c r="FS76" s="21">
        <f>EXP(-LN(2)/2)*FS75+(1-EXP(-LN(2)/2))/(LN(2)/2)*FM76*FP76*VLOOKUP('Données projet'!$B$16,Paramètres!$A$1:$I$89,3,0)*0.475*44/12</f>
        <v>2.7911250644544049E-6</v>
      </c>
      <c r="FT76" s="22">
        <f t="shared" si="78"/>
        <v>2.7510407046472851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6</v>
      </c>
      <c r="FZ76" s="12">
        <f>IF('Données projet'!$A$244&gt;35,FZ75+FY76-GH75,IF(A76&lt;'Données projet'!$A$244,$FW$205^A76,IF(A76='Données projet'!$A$244,'Données projet'!$B$244,FZ75+FY76-GH75)))</f>
        <v>335.00000000000006</v>
      </c>
      <c r="GA76" s="17">
        <f>FZ76*VLOOKUP('Données projet'!$B$17,Paramètres!$A$1:$I$89,3,0)*VLOOKUP('Données projet'!$B$17,Paramètres!$A$1:$I$89,5,0)</f>
        <v>200.33000000000004</v>
      </c>
      <c r="GB76" s="13">
        <f t="shared" si="103"/>
        <v>49.81668477706851</v>
      </c>
      <c r="GC76" s="20">
        <f t="shared" si="79"/>
        <v>435.67214265339436</v>
      </c>
      <c r="GD76" s="59">
        <f t="shared" si="80"/>
        <v>729.00547598672767</v>
      </c>
      <c r="GE76" s="59">
        <f ca="1">AVERAGE(OFFSET($GD$3,0,0,'Données projet'!$E$17+1,1))-AVERAGE(OFFSET($H$3,0,0,'Données projet'!$E$17+1,1))</f>
        <v>165.39579887388538</v>
      </c>
      <c r="GF76" s="59">
        <f t="shared" si="104"/>
        <v>155.89639262545802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2.2126410459098351</v>
      </c>
      <c r="GN76" s="21">
        <f>EXP(-LN(2)/2)*GN75+(1-EXP(-LN(2)/2))/(LN(2)/2)*GH76*GK76*VLOOKUP('Données projet'!$B$17,Paramètres!$A$1:$I$89,3,0)*0.475*44/12</f>
        <v>4.6799981077178241E-6</v>
      </c>
      <c r="GO76" s="21">
        <f t="shared" si="81"/>
        <v>2.2126457259079428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4.8</v>
      </c>
      <c r="GU76" s="12">
        <f>IF('Données projet'!$A$270&gt;35,GU75+GT76-HC75,IF(A76&lt;'Données projet'!$A$270,$GR$205^A76,IF(A76='Données projet'!$A$270,'Données projet'!$B$270,GU75+GT76-HC75)))</f>
        <v>172.39999999999989</v>
      </c>
      <c r="GV76" s="17">
        <f>GU76*VLOOKUP('Données projet'!$B$18,Paramètres!$A$1:$I$89,3,0)*VLOOKUP('Données projet'!$B$18,Paramètres!$A$1:$I$89,5,0)</f>
        <v>185.57135999999988</v>
      </c>
      <c r="GW76" s="13">
        <f t="shared" si="105"/>
        <v>46.559503537937182</v>
      </c>
      <c r="GX76" s="20">
        <f t="shared" si="82"/>
        <v>404.2945873285737</v>
      </c>
      <c r="GY76" s="59">
        <f t="shared" si="83"/>
        <v>697.62792066190696</v>
      </c>
      <c r="GZ76" s="59">
        <f ca="1">AVERAGE(OFFSET($GY$3,0,0,'Données projet'!$E$18+1,1))-AVERAGE(OFFSET($H$3,0,0,'Données projet'!$E$18+1,1))</f>
        <v>186.60545265015247</v>
      </c>
      <c r="HA76" s="59">
        <f t="shared" si="106"/>
        <v>69.239647548491234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0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0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8.3000000000000007</v>
      </c>
      <c r="N77" s="13">
        <f>IF('Données projet'!$A$36&gt;35,N76+M77-V76,IF(A77&lt;'Données projet'!$A$36,$K$205^A77,IF(A77='Données projet'!$A$36,'Données projet'!$B$36,N76+M77-V76)))</f>
        <v>464.20000000000027</v>
      </c>
      <c r="O77" s="13">
        <f>N77*VLOOKUP('Données projet'!$B$9,Paramètres!$A$1:$I$89,3,0)*VLOOKUP('Données projet'!$B$9,Paramètres!$A$1:$I$89,5,0)</f>
        <v>259.48780000000016</v>
      </c>
      <c r="P77" s="13">
        <f t="shared" si="87"/>
        <v>62.613185087484013</v>
      </c>
      <c r="Q77" s="20">
        <f t="shared" si="54"/>
        <v>560.99254902736823</v>
      </c>
      <c r="R77" s="59">
        <f t="shared" si="55"/>
        <v>854.3258823607016</v>
      </c>
      <c r="S77" s="59">
        <f ca="1">AVERAGE(OFFSET($R$3,0,0,'Données projet'!$E$9+1,1))-AVERAGE(OFFSET($H$3,0,0,'Données projet'!$E$9+1,1))</f>
        <v>235.10258076192054</v>
      </c>
      <c r="T77" s="59">
        <f t="shared" si="88"/>
        <v>233.47316052603765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1.4333241919455286</v>
      </c>
      <c r="AA77" s="21">
        <f>EXP(-LN(2)/25)*AA76+(1-EXP(-LN(2)/25))/(LN(2)/25)*Calculateur!V77*Calculateur!X77*VLOOKUP('Données projet'!$B$9,Paramètres!$A$1:$I$89,3,0)*0.475*44/12</f>
        <v>5.4428658711339626</v>
      </c>
      <c r="AB77" s="21">
        <f>EXP(-LN(2)/2)*AB76+(1-EXP(-LN(2)/2))/(LN(2)/2)*V77*Y77*VLOOKUP('Données projet'!$B$9,Paramètres!$A$1:$I$89,3,0)*0.475*44/12</f>
        <v>5.7511524492902501E-6</v>
      </c>
      <c r="AC77" s="22">
        <f t="shared" si="57"/>
        <v>6.8761958142319406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336.40000000000009</v>
      </c>
      <c r="AJ77" s="13">
        <f>AI77*VLOOKUP('Données projet'!$B$10,Paramètres!$A$1:$I$89,3,0)*VLOOKUP('Données projet'!$B$10,Paramètres!$A$1:$I$89,5,0)</f>
        <v>183.67440000000005</v>
      </c>
      <c r="AK77" s="13">
        <f t="shared" si="89"/>
        <v>46.138708549418716</v>
      </c>
      <c r="AL77" s="20">
        <f t="shared" si="58"/>
        <v>400.25783072357098</v>
      </c>
      <c r="AM77" s="59">
        <f t="shared" si="59"/>
        <v>693.59116405690429</v>
      </c>
      <c r="AN77" s="59">
        <f ca="1">AVERAGE(OFFSET($AM$3,0,0,'Données projet'!$E$10+1,1))-AVERAGE(OFFSET($H$3,0,0,'Données projet'!$E$10+1,1))</f>
        <v>168.72306536277267</v>
      </c>
      <c r="AO77" s="59">
        <f t="shared" si="90"/>
        <v>203.35476578922339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1.2727191556387361</v>
      </c>
      <c r="AV77" s="21">
        <f>EXP(-LN(2)/25)*AV76+(1-EXP(-LN(2)/25))/(LN(2)/25)*Calculateur!AQ77*Calculateur!AS77*VLOOKUP('Données projet'!$B$10,Paramètres!$A$1:$I$89,3,0)*0.475*44/12</f>
        <v>6.7862854422709642</v>
      </c>
      <c r="AW77" s="21">
        <f>EXP(-LN(2)/2)*AW76+(1-EXP(-LN(2)/2))/(LN(2)/2)*AQ77*AT77*VLOOKUP('Données projet'!$B$10,Paramètres!$A$1:$I$89,3,0)*0.475*44/12</f>
        <v>4.7740570597861448E-6</v>
      </c>
      <c r="AX77" s="21">
        <f t="shared" si="60"/>
        <v>8.0590093719667593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</v>
      </c>
      <c r="BD77" s="12">
        <f>IF('Données projet'!$A$88&gt;35,BD76+BC77-BL76,IF(A77&lt;'Données projet'!$A$88,$BA$205^A77,IF(A77='Données projet'!$A$88,'Données projet'!$B$88,BD76+BC77-BL76)))</f>
        <v>341.00000000000006</v>
      </c>
      <c r="BE77" s="13">
        <f>BD77*VLOOKUP('Données projet'!$B$11,Paramètres!$A$1:$I$89,3,0)*VLOOKUP('Données projet'!$B$11,Paramètres!$A$1:$I$89,5,0)</f>
        <v>203.91800000000006</v>
      </c>
      <c r="BF77" s="13">
        <f t="shared" si="91"/>
        <v>50.604250898161411</v>
      </c>
      <c r="BG77" s="20">
        <f t="shared" si="61"/>
        <v>443.29292031429787</v>
      </c>
      <c r="BH77" s="59">
        <f t="shared" si="62"/>
        <v>736.62625364763119</v>
      </c>
      <c r="BI77" s="59">
        <f ca="1">AVERAGE(OFFSET($BH$3,0,0,'Données projet'!$E$11+1,1))-AVERAGE(OFFSET($H$3,0,0,'Données projet'!$E$11+1,1))</f>
        <v>165.39579887388538</v>
      </c>
      <c r="BJ77" s="59">
        <f t="shared" si="92"/>
        <v>155.89639262545802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2.1521362601516953</v>
      </c>
      <c r="BR77" s="21">
        <f>EXP(-LN(2)/2)*BR76+(1-EXP(-LN(2)/2))/(LN(2)/2)*BL77*BO77*VLOOKUP('Données projet'!$B$11,Paramètres!$A$1:$I$89,3,0)*0.475*44/12</f>
        <v>3.309258397907484E-6</v>
      </c>
      <c r="BS77" s="22">
        <f t="shared" si="63"/>
        <v>2.1521395694100933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177.1999999999999</v>
      </c>
      <c r="BZ77" s="13">
        <f>BY77*VLOOKUP('Données projet'!$B$12,Paramètres!$A$1:$I$89,3,0)*VLOOKUP('Données projet'!$B$12,Paramètres!$A$1:$I$89,5,0)</f>
        <v>171.3878399999999</v>
      </c>
      <c r="CA77" s="13">
        <f t="shared" si="93"/>
        <v>43.40070633965837</v>
      </c>
      <c r="CB77" s="20">
        <f t="shared" si="64"/>
        <v>374.09005154157148</v>
      </c>
      <c r="CC77" s="59">
        <f t="shared" si="65"/>
        <v>667.42338487490474</v>
      </c>
      <c r="CD77" s="59">
        <f ca="1">AVERAGE(OFFSET($CC$3,0,0,'Données projet'!$E$12+1,1))-AVERAGE(OFFSET($H$3,0,0,'Données projet'!$E$12+1,1))</f>
        <v>156.26368818265388</v>
      </c>
      <c r="CE77" s="59">
        <f t="shared" si="94"/>
        <v>56.347130462109817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177.1999999999999</v>
      </c>
      <c r="CU77" s="17">
        <f>CT77*VLOOKUP('Données projet'!$B$13,Paramètres!$A$1:$I$89,3,0)*VLOOKUP('Données projet'!$B$13,Paramètres!$A$1:$I$89,5,0)</f>
        <v>143.74463999999992</v>
      </c>
      <c r="CV77" s="13">
        <f t="shared" si="95"/>
        <v>37.153527635397182</v>
      </c>
      <c r="CW77" s="20">
        <f t="shared" si="67"/>
        <v>315.06430863164996</v>
      </c>
      <c r="CX77" s="59">
        <f t="shared" si="68"/>
        <v>608.39764196498322</v>
      </c>
      <c r="CY77" s="59">
        <f ca="1">AVERAGE(OFFSET($CX$3,0,0,'Données projet'!$E$13+1,1))-AVERAGE(OFFSET($H$3,0,0,'Données projet'!$E$13+1,1))</f>
        <v>112.78807760743126</v>
      </c>
      <c r="CZ77" s="59">
        <f t="shared" si="96"/>
        <v>37.867745922003564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2.5</v>
      </c>
      <c r="DO77" s="12">
        <f>IF('Données projet'!$A$166&gt;35,DO76+DN77-DW76,IF(A77&lt;'Données projet'!$A$166,$DL$205^A77,IF(A77='Données projet'!$A$166,'Données projet'!$B$166,DO76+DN77-DW76)))</f>
        <v>210.99999999999991</v>
      </c>
      <c r="DP77" s="17">
        <f>DO77*VLOOKUP('Données projet'!$B$14,Paramètres!$A$1:$I$89,3,0)*VLOOKUP('Données projet'!$B$14,Paramètres!$A$1:$I$89,5,0)</f>
        <v>141.53879999999995</v>
      </c>
      <c r="DQ77" s="13">
        <f t="shared" si="97"/>
        <v>36.649298377692446</v>
      </c>
      <c r="DR77" s="20">
        <f t="shared" si="70"/>
        <v>310.34427134114759</v>
      </c>
      <c r="DS77" s="59">
        <f t="shared" si="71"/>
        <v>603.6776046744809</v>
      </c>
      <c r="DT77" s="59">
        <f ca="1">AVERAGE(OFFSET($DS$3,0,0,'Données projet'!$E$14+1,1))-AVERAGE(OFFSET($H$3,0,0,'Données projet'!$E$14+1,1))</f>
        <v>107.15837202366862</v>
      </c>
      <c r="DU77" s="59">
        <f t="shared" si="98"/>
        <v>139.67031833740026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1.6734823348868699</v>
      </c>
      <c r="EC77" s="21">
        <f>EXP(-LN(2)/2)*EC76+(1-EXP(-LN(2)/2))/(LN(2)/2)*DW77*DZ77*VLOOKUP('Données projet'!$B$14,Paramètres!$A$1:$I$89,3,0)*0.475*44/12</f>
        <v>1.6092003716958822E-6</v>
      </c>
      <c r="ED77" s="22">
        <f t="shared" si="72"/>
        <v>1.6734839440872415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7.7</v>
      </c>
      <c r="EJ77" s="12">
        <f>IF('Données projet'!$A$192&gt;35,EJ76+EI77-ER76,IF(A77&lt;'Données projet'!$A$192,$EG$205^A77,IF(A77='Données projet'!$A$192,'Données projet'!$B$192,EJ76+EI77-ER76)))</f>
        <v>288.2999999999999</v>
      </c>
      <c r="EK77" s="17">
        <f>EJ77*VLOOKUP('Données projet'!$B$15,Paramètres!$A$1:$I$89,3,0)*VLOOKUP('Données projet'!$B$15,Paramètres!$A$1:$I$89,5,0)</f>
        <v>134.92439999999993</v>
      </c>
      <c r="EL77" s="13">
        <f t="shared" si="99"/>
        <v>35.131769660365201</v>
      </c>
      <c r="EM77" s="20">
        <f t="shared" si="73"/>
        <v>296.18116215846925</v>
      </c>
      <c r="EN77" s="59">
        <f t="shared" si="74"/>
        <v>589.51449549180256</v>
      </c>
      <c r="EO77" s="59">
        <f ca="1">AVERAGE(OFFSET($EN$3,0,0,'Données projet'!$E$15+1,1))-AVERAGE(OFFSET($H$3,0,0,'Données projet'!$E$15+1,1))</f>
        <v>123.60520571614535</v>
      </c>
      <c r="EP77" s="59">
        <f t="shared" si="100"/>
        <v>119.00926870519527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0.36285482865863589</v>
      </c>
      <c r="EW77" s="21">
        <f>EXP(-LN(2)/25)*EW76+(1-EXP(-LN(2)/25))/(LN(2)/25)*Calculateur!ER77*Calculateur!ET77*VLOOKUP('Données projet'!$B$15,Paramètres!$A$1:$I$89,3,0)*0.475*44/12</f>
        <v>1.4103290958616921</v>
      </c>
      <c r="EX77" s="21">
        <f>EXP(-LN(2)/2)*EX76+(1-EXP(-LN(2)/2))/(LN(2)/2)*ER77*EU77*VLOOKUP('Données projet'!$B$15,Paramètres!$A$1:$I$89,3,0)*0.475*44/12</f>
        <v>1.4576221683222164E-6</v>
      </c>
      <c r="EY77" s="22">
        <f t="shared" si="75"/>
        <v>1.7731853821424963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11.9</v>
      </c>
      <c r="FE77" s="12">
        <f>IF('Données projet'!$A$218&gt;35,FE76+FD77-FM76,IF(A77&lt;'Données projet'!$A$218,$FB$205^A77,IF(A77='Données projet'!$A$218,'Données projet'!$B$218,FE76+FD77-FM76)))</f>
        <v>530.59999999999991</v>
      </c>
      <c r="FF77" s="17">
        <f>FE77*VLOOKUP('Données projet'!$B$16,Paramètres!$A$1:$I$89,3,0)*VLOOKUP('Données projet'!$B$16,Paramètres!$A$1:$I$89,5,0)</f>
        <v>255.21859999999998</v>
      </c>
      <c r="FG77" s="13">
        <f t="shared" si="101"/>
        <v>61.70207830910109</v>
      </c>
      <c r="FH77" s="20">
        <f t="shared" si="76"/>
        <v>551.97018138835097</v>
      </c>
      <c r="FI77" s="59">
        <f t="shared" si="77"/>
        <v>845.30351472168422</v>
      </c>
      <c r="FJ77" s="59">
        <f ca="1">AVERAGE(OFFSET($FI$3,0,0,'Données projet'!$E$16+1,1))-AVERAGE(OFFSET($H$3,0,0,'Données projet'!$E$16+1,1))</f>
        <v>197.66963254934603</v>
      </c>
      <c r="FK77" s="59">
        <f t="shared" si="102"/>
        <v>158.08388141976138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1.1158658991558217</v>
      </c>
      <c r="FR77" s="21">
        <f>EXP(-LN(2)/25)*FR76+(1-EXP(-LN(2)/25))/(LN(2)/25)*Calculateur!FM77*Calculateur!FO77*VLOOKUP('Données projet'!$B$16,Paramètres!$A$1:$I$89,3,0)*0.475*44/12</f>
        <v>1.5687493531050378</v>
      </c>
      <c r="FS77" s="21">
        <f>EXP(-LN(2)/2)*FS76+(1-EXP(-LN(2)/2))/(LN(2)/2)*FM77*FP77*VLOOKUP('Données projet'!$B$16,Paramètres!$A$1:$I$89,3,0)*0.475*44/12</f>
        <v>1.9736234602154492E-6</v>
      </c>
      <c r="FT77" s="22">
        <f t="shared" si="78"/>
        <v>2.6846172258843195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6</v>
      </c>
      <c r="FZ77" s="12">
        <f>IF('Données projet'!$A$244&gt;35,FZ76+FY77-GH76,IF(A77&lt;'Données projet'!$A$244,$FW$205^A77,IF(A77='Données projet'!$A$244,'Données projet'!$B$244,FZ76+FY77-GH76)))</f>
        <v>341.00000000000006</v>
      </c>
      <c r="GA77" s="17">
        <f>FZ77*VLOOKUP('Données projet'!$B$17,Paramètres!$A$1:$I$89,3,0)*VLOOKUP('Données projet'!$B$17,Paramètres!$A$1:$I$89,5,0)</f>
        <v>203.91800000000006</v>
      </c>
      <c r="GB77" s="13">
        <f t="shared" si="103"/>
        <v>50.604250898161411</v>
      </c>
      <c r="GC77" s="20">
        <f t="shared" si="79"/>
        <v>443.29292031429787</v>
      </c>
      <c r="GD77" s="59">
        <f t="shared" si="80"/>
        <v>736.62625364763119</v>
      </c>
      <c r="GE77" s="59">
        <f ca="1">AVERAGE(OFFSET($GD$3,0,0,'Données projet'!$E$17+1,1))-AVERAGE(OFFSET($H$3,0,0,'Données projet'!$E$17+1,1))</f>
        <v>165.39579887388538</v>
      </c>
      <c r="GF77" s="59">
        <f t="shared" si="104"/>
        <v>155.89639262545802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2.1521362601516953</v>
      </c>
      <c r="GN77" s="21">
        <f>EXP(-LN(2)/2)*GN76+(1-EXP(-LN(2)/2))/(LN(2)/2)*GH77*GK77*VLOOKUP('Données projet'!$B$17,Paramètres!$A$1:$I$89,3,0)*0.475*44/12</f>
        <v>3.309258397907484E-6</v>
      </c>
      <c r="GO77" s="21">
        <f t="shared" si="81"/>
        <v>2.1521395694100933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4.8</v>
      </c>
      <c r="GU77" s="12">
        <f>IF('Données projet'!$A$270&gt;35,GU76+GT77-HC76,IF(A77&lt;'Données projet'!$A$270,$GR$205^A77,IF(A77='Données projet'!$A$270,'Données projet'!$B$270,GU76+GT77-HC76)))</f>
        <v>177.1999999999999</v>
      </c>
      <c r="GV77" s="17">
        <f>GU77*VLOOKUP('Données projet'!$B$18,Paramètres!$A$1:$I$89,3,0)*VLOOKUP('Données projet'!$B$18,Paramètres!$A$1:$I$89,5,0)</f>
        <v>190.73807999999988</v>
      </c>
      <c r="GW77" s="13">
        <f t="shared" si="105"/>
        <v>47.703095020615393</v>
      </c>
      <c r="GX77" s="20">
        <f t="shared" si="82"/>
        <v>415.28504649423826</v>
      </c>
      <c r="GY77" s="59">
        <f t="shared" si="83"/>
        <v>708.61837982757152</v>
      </c>
      <c r="GZ77" s="59">
        <f ca="1">AVERAGE(OFFSET($GY$3,0,0,'Données projet'!$E$18+1,1))-AVERAGE(OFFSET($H$3,0,0,'Données projet'!$E$18+1,1))</f>
        <v>186.60545265015247</v>
      </c>
      <c r="HA77" s="59">
        <f t="shared" si="106"/>
        <v>69.239647548491234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0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0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8.3000000000000007</v>
      </c>
      <c r="N78" s="13">
        <f>IF('Données projet'!$A$36&gt;35,N77+M78-V77,IF(A78&lt;'Données projet'!$A$36,$K$205^A78,IF(A78='Données projet'!$A$36,'Données projet'!$B$36,N77+M78-V77)))</f>
        <v>472.50000000000028</v>
      </c>
      <c r="O78" s="13">
        <f>N78*VLOOKUP('Données projet'!$B$9,Paramètres!$A$1:$I$89,3,0)*VLOOKUP('Données projet'!$B$9,Paramètres!$A$1:$I$89,5,0)</f>
        <v>264.12750000000017</v>
      </c>
      <c r="P78" s="13">
        <f t="shared" si="87"/>
        <v>63.601386038191272</v>
      </c>
      <c r="Q78" s="20">
        <f t="shared" si="54"/>
        <v>570.79447651651674</v>
      </c>
      <c r="R78" s="59">
        <f t="shared" si="55"/>
        <v>864.12780984985011</v>
      </c>
      <c r="S78" s="59">
        <f ca="1">AVERAGE(OFFSET($R$3,0,0,'Données projet'!$E$9+1,1))-AVERAGE(OFFSET($H$3,0,0,'Données projet'!$E$9+1,1))</f>
        <v>235.10258076192054</v>
      </c>
      <c r="T78" s="59">
        <f t="shared" si="88"/>
        <v>233.47316052603765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1.4052175787829098</v>
      </c>
      <c r="AA78" s="21">
        <f>EXP(-LN(2)/25)*AA77+(1-EXP(-LN(2)/25))/(LN(2)/25)*Calculateur!V78*Calculateur!X78*VLOOKUP('Données projet'!$B$9,Paramètres!$A$1:$I$89,3,0)*0.475*44/12</f>
        <v>5.2940304176599282</v>
      </c>
      <c r="AB78" s="21">
        <f>EXP(-LN(2)/2)*AB77+(1-EXP(-LN(2)/2))/(LN(2)/2)*V78*Y78*VLOOKUP('Données projet'!$B$9,Paramètres!$A$1:$I$89,3,0)*0.475*44/12</f>
        <v>4.0666788965307577E-6</v>
      </c>
      <c r="AC78" s="22">
        <f t="shared" si="57"/>
        <v>6.6992520631217349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342.50000000000011</v>
      </c>
      <c r="AJ78" s="13">
        <f>AI78*VLOOKUP('Données projet'!$B$10,Paramètres!$A$1:$I$89,3,0)*VLOOKUP('Données projet'!$B$10,Paramètres!$A$1:$I$89,5,0)</f>
        <v>187.00500000000008</v>
      </c>
      <c r="AK78" s="13">
        <f t="shared" si="89"/>
        <v>46.877189812776606</v>
      </c>
      <c r="AL78" s="20">
        <f t="shared" si="58"/>
        <v>407.34481392391939</v>
      </c>
      <c r="AM78" s="59">
        <f t="shared" si="59"/>
        <v>700.6781472572527</v>
      </c>
      <c r="AN78" s="59">
        <f ca="1">AVERAGE(OFFSET($AM$3,0,0,'Données projet'!$E$10+1,1))-AVERAGE(OFFSET($H$3,0,0,'Données projet'!$E$10+1,1))</f>
        <v>168.72306536277267</v>
      </c>
      <c r="AO78" s="59">
        <f t="shared" si="90"/>
        <v>203.35476578922339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1.2477619092786938</v>
      </c>
      <c r="AV78" s="21">
        <f>EXP(-LN(2)/25)*AV77+(1-EXP(-LN(2)/25))/(LN(2)/25)*Calculateur!AQ78*Calculateur!AS78*VLOOKUP('Données projet'!$B$10,Paramètres!$A$1:$I$89,3,0)*0.475*44/12</f>
        <v>6.6007141099768232</v>
      </c>
      <c r="AW78" s="21">
        <f>EXP(-LN(2)/2)*AW77+(1-EXP(-LN(2)/2))/(LN(2)/2)*AQ78*AT78*VLOOKUP('Données projet'!$B$10,Paramètres!$A$1:$I$89,3,0)*0.475*44/12</f>
        <v>3.375768120746294E-6</v>
      </c>
      <c r="AX78" s="21">
        <f t="shared" si="60"/>
        <v>7.848479395023638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</v>
      </c>
      <c r="BD78" s="12">
        <f>IF('Données projet'!$A$88&gt;35,BD77+BC78-BL77,IF(A78&lt;'Données projet'!$A$88,$BA$205^A78,IF(A78='Données projet'!$A$88,'Données projet'!$B$88,BD77+BC78-BL77)))</f>
        <v>347.00000000000006</v>
      </c>
      <c r="BE78" s="13">
        <f>BD78*VLOOKUP('Données projet'!$B$11,Paramètres!$A$1:$I$89,3,0)*VLOOKUP('Données projet'!$B$11,Paramètres!$A$1:$I$89,5,0)</f>
        <v>207.50600000000006</v>
      </c>
      <c r="BF78" s="13">
        <f t="shared" si="91"/>
        <v>51.3902055726969</v>
      </c>
      <c r="BG78" s="20">
        <f t="shared" si="61"/>
        <v>450.91089137244717</v>
      </c>
      <c r="BH78" s="59">
        <f t="shared" si="62"/>
        <v>744.24422470578043</v>
      </c>
      <c r="BI78" s="59">
        <f ca="1">AVERAGE(OFFSET($BH$3,0,0,'Données projet'!$E$11+1,1))-AVERAGE(OFFSET($H$3,0,0,'Données projet'!$E$11+1,1))</f>
        <v>165.39579887388538</v>
      </c>
      <c r="BJ78" s="59">
        <f t="shared" si="92"/>
        <v>155.89639262545802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2.09328598094192</v>
      </c>
      <c r="BR78" s="21">
        <f>EXP(-LN(2)/2)*BR77+(1-EXP(-LN(2)/2))/(LN(2)/2)*BL78*BO78*VLOOKUP('Données projet'!$B$11,Paramètres!$A$1:$I$89,3,0)*0.475*44/12</f>
        <v>2.3399990538589121E-6</v>
      </c>
      <c r="BS78" s="22">
        <f t="shared" si="63"/>
        <v>2.0932883209409741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181.99999999999991</v>
      </c>
      <c r="BZ78" s="13">
        <f>BY78*VLOOKUP('Données projet'!$B$12,Paramètres!$A$1:$I$89,3,0)*VLOOKUP('Données projet'!$B$12,Paramètres!$A$1:$I$89,5,0)</f>
        <v>176.03039999999993</v>
      </c>
      <c r="CA78" s="13">
        <f t="shared" si="93"/>
        <v>44.437880346232944</v>
      </c>
      <c r="CB78" s="20">
        <f t="shared" si="64"/>
        <v>383.9822549363555</v>
      </c>
      <c r="CC78" s="59">
        <f t="shared" si="65"/>
        <v>677.31558826968876</v>
      </c>
      <c r="CD78" s="59">
        <f ca="1">AVERAGE(OFFSET($CC$3,0,0,'Données projet'!$E$12+1,1))-AVERAGE(OFFSET($H$3,0,0,'Données projet'!$E$12+1,1))</f>
        <v>156.26368818265388</v>
      </c>
      <c r="CE78" s="59">
        <f t="shared" si="94"/>
        <v>56.347130462109817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181.99999999999991</v>
      </c>
      <c r="CU78" s="17">
        <f>CT78*VLOOKUP('Données projet'!$B$13,Paramètres!$A$1:$I$89,3,0)*VLOOKUP('Données projet'!$B$13,Paramètres!$A$1:$I$89,5,0)</f>
        <v>147.63839999999993</v>
      </c>
      <c r="CV78" s="13">
        <f t="shared" si="95"/>
        <v>38.041408878951295</v>
      </c>
      <c r="CW78" s="20">
        <f t="shared" si="67"/>
        <v>323.39233379750675</v>
      </c>
      <c r="CX78" s="59">
        <f t="shared" si="68"/>
        <v>616.72566713084007</v>
      </c>
      <c r="CY78" s="59">
        <f ca="1">AVERAGE(OFFSET($CX$3,0,0,'Données projet'!$E$13+1,1))-AVERAGE(OFFSET($H$3,0,0,'Données projet'!$E$13+1,1))</f>
        <v>112.78807760743126</v>
      </c>
      <c r="CZ78" s="59">
        <f t="shared" si="96"/>
        <v>37.867745922003564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2.5</v>
      </c>
      <c r="DO78" s="12">
        <f>IF('Données projet'!$A$166&gt;35,DO77+DN78-DW77,IF(A78&lt;'Données projet'!$A$166,$DL$205^A78,IF(A78='Données projet'!$A$166,'Données projet'!$B$166,DO77+DN78-DW77)))</f>
        <v>213.49999999999991</v>
      </c>
      <c r="DP78" s="17">
        <f>DO78*VLOOKUP('Données projet'!$B$14,Paramètres!$A$1:$I$89,3,0)*VLOOKUP('Données projet'!$B$14,Paramètres!$A$1:$I$89,5,0)</f>
        <v>143.21579999999994</v>
      </c>
      <c r="DQ78" s="13">
        <f t="shared" si="97"/>
        <v>37.032723581665955</v>
      </c>
      <c r="DR78" s="20">
        <f t="shared" si="70"/>
        <v>313.93284523806807</v>
      </c>
      <c r="DS78" s="59">
        <f t="shared" si="71"/>
        <v>607.26617857140138</v>
      </c>
      <c r="DT78" s="59">
        <f ca="1">AVERAGE(OFFSET($DS$3,0,0,'Données projet'!$E$14+1,1))-AVERAGE(OFFSET($H$3,0,0,'Données projet'!$E$14+1,1))</f>
        <v>107.15837202366862</v>
      </c>
      <c r="DU78" s="59">
        <f t="shared" si="98"/>
        <v>139.67031833740026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1.6277208724347774</v>
      </c>
      <c r="EC78" s="21">
        <f>EXP(-LN(2)/2)*EC77+(1-EXP(-LN(2)/2))/(LN(2)/2)*DW78*DZ78*VLOOKUP('Données projet'!$B$14,Paramètres!$A$1:$I$89,3,0)*0.475*44/12</f>
        <v>1.1378764951140711E-6</v>
      </c>
      <c r="ED78" s="22">
        <f t="shared" si="72"/>
        <v>1.6277220103112724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7.7</v>
      </c>
      <c r="EJ78" s="12">
        <f>IF('Données projet'!$A$192&gt;35,EJ77+EI78-ER77,IF(A78&lt;'Données projet'!$A$192,$EG$205^A78,IF(A78='Données projet'!$A$192,'Données projet'!$B$192,EJ77+EI78-ER77)))</f>
        <v>295.99999999999989</v>
      </c>
      <c r="EK78" s="17">
        <f>EJ78*VLOOKUP('Données projet'!$B$15,Paramètres!$A$1:$I$89,3,0)*VLOOKUP('Données projet'!$B$15,Paramètres!$A$1:$I$89,5,0)</f>
        <v>138.52799999999996</v>
      </c>
      <c r="EL78" s="13">
        <f t="shared" si="99"/>
        <v>35.959583801423776</v>
      </c>
      <c r="EM78" s="20">
        <f t="shared" si="73"/>
        <v>303.89920845414628</v>
      </c>
      <c r="EN78" s="59">
        <f t="shared" si="74"/>
        <v>597.23254178747959</v>
      </c>
      <c r="EO78" s="59">
        <f ca="1">AVERAGE(OFFSET($EN$3,0,0,'Données projet'!$E$15+1,1))-AVERAGE(OFFSET($H$3,0,0,'Données projet'!$E$15+1,1))</f>
        <v>123.60520571614535</v>
      </c>
      <c r="EP78" s="59">
        <f t="shared" si="100"/>
        <v>119.00926870519527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0.35573946678823204</v>
      </c>
      <c r="EW78" s="21">
        <f>EXP(-LN(2)/25)*EW77+(1-EXP(-LN(2)/25))/(LN(2)/25)*Calculateur!ER78*Calculateur!ET78*VLOOKUP('Données projet'!$B$15,Paramètres!$A$1:$I$89,3,0)*0.475*44/12</f>
        <v>1.3717635725693702</v>
      </c>
      <c r="EX78" s="21">
        <f>EXP(-LN(2)/2)*EX77+(1-EXP(-LN(2)/2))/(LN(2)/2)*ER78*EU78*VLOOKUP('Données projet'!$B$15,Paramètres!$A$1:$I$89,3,0)*0.475*44/12</f>
        <v>1.0306945196284784E-6</v>
      </c>
      <c r="EY78" s="22">
        <f t="shared" si="75"/>
        <v>1.727504070052122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11.9</v>
      </c>
      <c r="FE78" s="12">
        <f>IF('Données projet'!$A$218&gt;35,FE77+FD78-FM77,IF(A78&lt;'Données projet'!$A$218,$FB$205^A78,IF(A78='Données projet'!$A$218,'Données projet'!$B$218,FE77+FD78-FM77)))</f>
        <v>542.49999999999989</v>
      </c>
      <c r="FF78" s="17">
        <f>FE78*VLOOKUP('Données projet'!$B$16,Paramètres!$A$1:$I$89,3,0)*VLOOKUP('Données projet'!$B$16,Paramètres!$A$1:$I$89,5,0)</f>
        <v>260.94249999999994</v>
      </c>
      <c r="FG78" s="13">
        <f t="shared" si="101"/>
        <v>62.923238540451031</v>
      </c>
      <c r="FH78" s="20">
        <f t="shared" si="76"/>
        <v>564.06616129128554</v>
      </c>
      <c r="FI78" s="59">
        <f t="shared" si="77"/>
        <v>857.39949462461891</v>
      </c>
      <c r="FJ78" s="59">
        <f ca="1">AVERAGE(OFFSET($FI$3,0,0,'Données projet'!$E$16+1,1))-AVERAGE(OFFSET($H$3,0,0,'Données projet'!$E$16+1,1))</f>
        <v>197.66963254934603</v>
      </c>
      <c r="FK78" s="59">
        <f t="shared" si="102"/>
        <v>158.08388141976138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1.0939844494843698</v>
      </c>
      <c r="FR78" s="21">
        <f>EXP(-LN(2)/25)*FR77+(1-EXP(-LN(2)/25))/(LN(2)/25)*Calculateur!FM78*Calculateur!FO78*VLOOKUP('Données projet'!$B$16,Paramètres!$A$1:$I$89,3,0)*0.475*44/12</f>
        <v>1.5258518195474375</v>
      </c>
      <c r="FS78" s="21">
        <f>EXP(-LN(2)/2)*FS77+(1-EXP(-LN(2)/2))/(LN(2)/2)*FM78*FP78*VLOOKUP('Données projet'!$B$16,Paramètres!$A$1:$I$89,3,0)*0.475*44/12</f>
        <v>1.3955625322272025E-6</v>
      </c>
      <c r="FT78" s="22">
        <f t="shared" si="78"/>
        <v>2.6198376645943395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6</v>
      </c>
      <c r="FZ78" s="12">
        <f>IF('Données projet'!$A$244&gt;35,FZ77+FY78-GH77,IF(A78&lt;'Données projet'!$A$244,$FW$205^A78,IF(A78='Données projet'!$A$244,'Données projet'!$B$244,FZ77+FY78-GH77)))</f>
        <v>347.00000000000006</v>
      </c>
      <c r="GA78" s="17">
        <f>FZ78*VLOOKUP('Données projet'!$B$17,Paramètres!$A$1:$I$89,3,0)*VLOOKUP('Données projet'!$B$17,Paramètres!$A$1:$I$89,5,0)</f>
        <v>207.50600000000006</v>
      </c>
      <c r="GB78" s="13">
        <f t="shared" si="103"/>
        <v>51.3902055726969</v>
      </c>
      <c r="GC78" s="20">
        <f t="shared" si="79"/>
        <v>450.91089137244717</v>
      </c>
      <c r="GD78" s="59">
        <f t="shared" si="80"/>
        <v>744.24422470578043</v>
      </c>
      <c r="GE78" s="59">
        <f ca="1">AVERAGE(OFFSET($GD$3,0,0,'Données projet'!$E$17+1,1))-AVERAGE(OFFSET($H$3,0,0,'Données projet'!$E$17+1,1))</f>
        <v>165.39579887388538</v>
      </c>
      <c r="GF78" s="59">
        <f t="shared" si="104"/>
        <v>155.89639262545802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2.09328598094192</v>
      </c>
      <c r="GN78" s="21">
        <f>EXP(-LN(2)/2)*GN77+(1-EXP(-LN(2)/2))/(LN(2)/2)*GH78*GK78*VLOOKUP('Données projet'!$B$17,Paramètres!$A$1:$I$89,3,0)*0.475*44/12</f>
        <v>2.3399990538589121E-6</v>
      </c>
      <c r="GO78" s="21">
        <f t="shared" si="81"/>
        <v>2.0932883209409741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4.8</v>
      </c>
      <c r="GU78" s="12">
        <f>IF('Données projet'!$A$270&gt;35,GU77+GT78-HC77,IF(A78&lt;'Données projet'!$A$270,$GR$205^A78,IF(A78='Données projet'!$A$270,'Données projet'!$B$270,GU77+GT78-HC77)))</f>
        <v>181.99999999999991</v>
      </c>
      <c r="GV78" s="17">
        <f>GU78*VLOOKUP('Données projet'!$B$18,Paramètres!$A$1:$I$89,3,0)*VLOOKUP('Données projet'!$B$18,Paramètres!$A$1:$I$89,5,0)</f>
        <v>195.90479999999988</v>
      </c>
      <c r="GW78" s="13">
        <f t="shared" si="105"/>
        <v>48.843085918489955</v>
      </c>
      <c r="GX78" s="20">
        <f t="shared" si="82"/>
        <v>426.26923464136979</v>
      </c>
      <c r="GY78" s="59">
        <f t="shared" si="83"/>
        <v>719.60256797470311</v>
      </c>
      <c r="GZ78" s="59">
        <f ca="1">AVERAGE(OFFSET($GY$3,0,0,'Données projet'!$E$18+1,1))-AVERAGE(OFFSET($H$3,0,0,'Données projet'!$E$18+1,1))</f>
        <v>186.60545265015247</v>
      </c>
      <c r="HA78" s="59">
        <f t="shared" si="106"/>
        <v>69.239647548491234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0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0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8.3000000000000007</v>
      </c>
      <c r="N79" s="13">
        <f>IF('Données projet'!$A$36&gt;35,N78+M79-V78,IF(A79&lt;'Données projet'!$A$36,$K$205^A79,IF(A79='Données projet'!$A$36,'Données projet'!$B$36,N78+M79-V78)))</f>
        <v>480.8000000000003</v>
      </c>
      <c r="O79" s="13">
        <f>N79*VLOOKUP('Données projet'!$B$9,Paramètres!$A$1:$I$89,3,0)*VLOOKUP('Données projet'!$B$9,Paramètres!$A$1:$I$89,5,0)</f>
        <v>268.76720000000017</v>
      </c>
      <c r="P79" s="13">
        <f t="shared" si="87"/>
        <v>64.587568370555275</v>
      </c>
      <c r="Q79" s="20">
        <f t="shared" si="54"/>
        <v>580.59288824538407</v>
      </c>
      <c r="R79" s="59">
        <f t="shared" si="55"/>
        <v>873.92622157871733</v>
      </c>
      <c r="S79" s="59">
        <f ca="1">AVERAGE(OFFSET($R$3,0,0,'Données projet'!$E$9+1,1))-AVERAGE(OFFSET($H$3,0,0,'Données projet'!$E$9+1,1))</f>
        <v>235.10258076192054</v>
      </c>
      <c r="T79" s="59">
        <f t="shared" si="88"/>
        <v>233.47316052603765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1.3776621191610685</v>
      </c>
      <c r="AA79" s="21">
        <f>EXP(-LN(2)/25)*AA78+(1-EXP(-LN(2)/25))/(LN(2)/25)*Calculateur!V79*Calculateur!X79*VLOOKUP('Données projet'!$B$9,Paramètres!$A$1:$I$89,3,0)*0.475*44/12</f>
        <v>5.1492648774880578</v>
      </c>
      <c r="AB79" s="21">
        <f>EXP(-LN(2)/2)*AB78+(1-EXP(-LN(2)/2))/(LN(2)/2)*V79*Y79*VLOOKUP('Données projet'!$B$9,Paramètres!$A$1:$I$89,3,0)*0.475*44/12</f>
        <v>2.8755762246451251E-6</v>
      </c>
      <c r="AC79" s="22">
        <f t="shared" si="57"/>
        <v>6.5269298722253506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348.60000000000014</v>
      </c>
      <c r="AJ79" s="13">
        <f>AI79*VLOOKUP('Données projet'!$B$10,Paramètres!$A$1:$I$89,3,0)*VLOOKUP('Données projet'!$B$10,Paramètres!$A$1:$I$89,5,0)</f>
        <v>190.33560000000008</v>
      </c>
      <c r="AK79" s="13">
        <f t="shared" si="89"/>
        <v>47.614141623958091</v>
      </c>
      <c r="AL79" s="20">
        <f t="shared" si="58"/>
        <v>414.42913332839385</v>
      </c>
      <c r="AM79" s="59">
        <f t="shared" si="59"/>
        <v>707.7624666617271</v>
      </c>
      <c r="AN79" s="59">
        <f ca="1">AVERAGE(OFFSET($AM$3,0,0,'Données projet'!$E$10+1,1))-AVERAGE(OFFSET($H$3,0,0,'Données projet'!$E$10+1,1))</f>
        <v>168.72306536277267</v>
      </c>
      <c r="AO79" s="59">
        <f t="shared" si="90"/>
        <v>203.35476578922339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1.2232940592973549</v>
      </c>
      <c r="AV79" s="21">
        <f>EXP(-LN(2)/25)*AV78+(1-EXP(-LN(2)/25))/(LN(2)/25)*Calculateur!AQ79*Calculateur!AS79*VLOOKUP('Données projet'!$B$10,Paramètres!$A$1:$I$89,3,0)*0.475*44/12</f>
        <v>6.4202172355230385</v>
      </c>
      <c r="AW79" s="21">
        <f>EXP(-LN(2)/2)*AW78+(1-EXP(-LN(2)/2))/(LN(2)/2)*AQ79*AT79*VLOOKUP('Données projet'!$B$10,Paramètres!$A$1:$I$89,3,0)*0.475*44/12</f>
        <v>2.3870285298930724E-6</v>
      </c>
      <c r="AX79" s="21">
        <f t="shared" si="60"/>
        <v>7.6435136818489227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353.00000000000006</v>
      </c>
      <c r="BE79" s="13">
        <f>BD79*VLOOKUP('Données projet'!$B$11,Paramètres!$A$1:$I$89,3,0)*VLOOKUP('Données projet'!$B$11,Paramètres!$A$1:$I$89,5,0)</f>
        <v>211.09400000000005</v>
      </c>
      <c r="BF79" s="13">
        <f t="shared" si="91"/>
        <v>52.1745798794691</v>
      </c>
      <c r="BG79" s="20">
        <f t="shared" si="61"/>
        <v>458.52610995674212</v>
      </c>
      <c r="BH79" s="59">
        <f t="shared" si="62"/>
        <v>751.85944329007543</v>
      </c>
      <c r="BI79" s="59">
        <f ca="1">AVERAGE(OFFSET($BH$3,0,0,'Données projet'!$E$11+1,1))-AVERAGE(OFFSET($H$3,0,0,'Données projet'!$E$11+1,1))</f>
        <v>165.39579887388538</v>
      </c>
      <c r="BJ79" s="59">
        <f t="shared" si="92"/>
        <v>155.89639262545802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2.0360449657119375</v>
      </c>
      <c r="BR79" s="21">
        <f>EXP(-LN(2)/2)*BR78+(1-EXP(-LN(2)/2))/(LN(2)/2)*BL79*BO79*VLOOKUP('Données projet'!$B$11,Paramètres!$A$1:$I$89,3,0)*0.475*44/12</f>
        <v>1.654629198953742E-6</v>
      </c>
      <c r="BS79" s="22">
        <f t="shared" si="63"/>
        <v>2.0360466203411365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4.8</v>
      </c>
      <c r="BY79" s="12">
        <f>IF('Données projet'!$A$114&gt;35,BY78+BX79-CG78,IF(A79&lt;'Données projet'!$A$114,$BV$205^A79,IF(A79='Données projet'!$A$114,'Données projet'!$B$114,BY78+BX79-CG78)))</f>
        <v>186.79999999999993</v>
      </c>
      <c r="BZ79" s="13">
        <f>BY79*VLOOKUP('Données projet'!$B$12,Paramètres!$A$1:$I$89,3,0)*VLOOKUP('Données projet'!$B$12,Paramètres!$A$1:$I$89,5,0)</f>
        <v>180.67295999999993</v>
      </c>
      <c r="CA79" s="13">
        <f t="shared" si="93"/>
        <v>45.471874835351159</v>
      </c>
      <c r="CB79" s="20">
        <f t="shared" si="64"/>
        <v>393.86892067156981</v>
      </c>
      <c r="CC79" s="59">
        <f t="shared" si="65"/>
        <v>687.20225400490312</v>
      </c>
      <c r="CD79" s="59">
        <f ca="1">AVERAGE(OFFSET($CC$3,0,0,'Données projet'!$E$12+1,1))-AVERAGE(OFFSET($H$3,0,0,'Données projet'!$E$12+1,1))</f>
        <v>156.26368818265388</v>
      </c>
      <c r="CE79" s="59">
        <f t="shared" si="94"/>
        <v>56.347130462109817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4.8</v>
      </c>
      <c r="CT79" s="12">
        <f>IF('Données projet'!$A$140&gt;35,CT78+CS79-DB78,IF(A79&lt;'Données projet'!$A$140,$CQ$205^A79,IF(A79='Données projet'!$A$140,'Données projet'!$B$140,CT78+CS79-DB78)))</f>
        <v>186.79999999999993</v>
      </c>
      <c r="CU79" s="17">
        <f>CT79*VLOOKUP('Données projet'!$B$13,Paramètres!$A$1:$I$89,3,0)*VLOOKUP('Données projet'!$B$13,Paramètres!$A$1:$I$89,5,0)</f>
        <v>151.53215999999995</v>
      </c>
      <c r="CV79" s="13">
        <f t="shared" si="95"/>
        <v>38.926568270728275</v>
      </c>
      <c r="CW79" s="20">
        <f t="shared" si="67"/>
        <v>331.71561840485163</v>
      </c>
      <c r="CX79" s="59">
        <f t="shared" si="68"/>
        <v>625.048951738185</v>
      </c>
      <c r="CY79" s="59">
        <f ca="1">AVERAGE(OFFSET($CX$3,0,0,'Données projet'!$E$13+1,1))-AVERAGE(OFFSET($H$3,0,0,'Données projet'!$E$13+1,1))</f>
        <v>112.78807760743126</v>
      </c>
      <c r="CZ79" s="59">
        <f t="shared" si="96"/>
        <v>37.867745922003564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2.5</v>
      </c>
      <c r="DO79" s="12">
        <f>IF('Données projet'!$A$166&gt;35,DO78+DN79-DW78,IF(A79&lt;'Données projet'!$A$166,$DL$205^A79,IF(A79='Données projet'!$A$166,'Données projet'!$B$166,DO78+DN79-DW78)))</f>
        <v>215.99999999999991</v>
      </c>
      <c r="DP79" s="17">
        <f>DO79*VLOOKUP('Données projet'!$B$14,Paramètres!$A$1:$I$89,3,0)*VLOOKUP('Données projet'!$B$14,Paramètres!$A$1:$I$89,5,0)</f>
        <v>144.89279999999997</v>
      </c>
      <c r="DQ79" s="13">
        <f t="shared" si="97"/>
        <v>37.41562652135768</v>
      </c>
      <c r="DR79" s="20">
        <f t="shared" si="70"/>
        <v>317.5205095246979</v>
      </c>
      <c r="DS79" s="59">
        <f t="shared" si="71"/>
        <v>610.85384285803116</v>
      </c>
      <c r="DT79" s="59">
        <f ca="1">AVERAGE(OFFSET($DS$3,0,0,'Données projet'!$E$14+1,1))-AVERAGE(OFFSET($H$3,0,0,'Données projet'!$E$14+1,1))</f>
        <v>107.15837202366862</v>
      </c>
      <c r="DU79" s="59">
        <f t="shared" si="98"/>
        <v>139.67031833740026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1.5832107595799279</v>
      </c>
      <c r="EC79" s="21">
        <f>EXP(-LN(2)/2)*EC78+(1-EXP(-LN(2)/2))/(LN(2)/2)*DW79*DZ79*VLOOKUP('Données projet'!$B$14,Paramètres!$A$1:$I$89,3,0)*0.475*44/12</f>
        <v>8.046001858479411E-7</v>
      </c>
      <c r="ED79" s="22">
        <f t="shared" si="72"/>
        <v>1.5832115641801137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7.7</v>
      </c>
      <c r="EJ79" s="12">
        <f>IF('Données projet'!$A$192&gt;35,EJ78+EI79-ER78,IF(A79&lt;'Données projet'!$A$192,$EG$205^A79,IF(A79='Données projet'!$A$192,'Données projet'!$B$192,EJ78+EI79-ER78)))</f>
        <v>303.69999999999987</v>
      </c>
      <c r="EK79" s="17">
        <f>EJ79*VLOOKUP('Données projet'!$B$15,Paramètres!$A$1:$I$89,3,0)*VLOOKUP('Données projet'!$B$15,Paramètres!$A$1:$I$89,5,0)</f>
        <v>142.13159999999993</v>
      </c>
      <c r="EL79" s="13">
        <f t="shared" si="99"/>
        <v>36.784894836428784</v>
      </c>
      <c r="EM79" s="20">
        <f t="shared" si="73"/>
        <v>311.6128951734467</v>
      </c>
      <c r="EN79" s="59">
        <f t="shared" si="74"/>
        <v>604.94622850678002</v>
      </c>
      <c r="EO79" s="59">
        <f ca="1">AVERAGE(OFFSET($EN$3,0,0,'Données projet'!$E$15+1,1))-AVERAGE(OFFSET($H$3,0,0,'Données projet'!$E$15+1,1))</f>
        <v>123.60520571614535</v>
      </c>
      <c r="EP79" s="59">
        <f t="shared" si="100"/>
        <v>119.00926870519527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0.34876363282416462</v>
      </c>
      <c r="EW79" s="21">
        <f>EXP(-LN(2)/25)*EW78+(1-EXP(-LN(2)/25))/(LN(2)/25)*Calculateur!ER79*Calculateur!ET79*VLOOKUP('Données projet'!$B$15,Paramètres!$A$1:$I$89,3,0)*0.475*44/12</f>
        <v>1.3342526255395497</v>
      </c>
      <c r="EX79" s="21">
        <f>EXP(-LN(2)/2)*EX78+(1-EXP(-LN(2)/2))/(LN(2)/2)*ER79*EU79*VLOOKUP('Données projet'!$B$15,Paramètres!$A$1:$I$89,3,0)*0.475*44/12</f>
        <v>7.288110841611082E-7</v>
      </c>
      <c r="EY79" s="22">
        <f t="shared" si="75"/>
        <v>1.6830169871747984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11.9</v>
      </c>
      <c r="FE79" s="12">
        <f>IF('Données projet'!$A$218&gt;35,FE78+FD79-FM78,IF(A79&lt;'Données projet'!$A$218,$FB$205^A79,IF(A79='Données projet'!$A$218,'Données projet'!$B$218,FE78+FD79-FM78)))</f>
        <v>554.39999999999986</v>
      </c>
      <c r="FF79" s="17">
        <f>FE79*VLOOKUP('Données projet'!$B$16,Paramètres!$A$1:$I$89,3,0)*VLOOKUP('Données projet'!$B$16,Paramètres!$A$1:$I$89,5,0)</f>
        <v>266.66639999999995</v>
      </c>
      <c r="FG79" s="13">
        <f t="shared" si="101"/>
        <v>64.141284508389361</v>
      </c>
      <c r="FH79" s="20">
        <f t="shared" si="76"/>
        <v>576.15671718544479</v>
      </c>
      <c r="FI79" s="59">
        <f t="shared" si="77"/>
        <v>869.49005051877816</v>
      </c>
      <c r="FJ79" s="59">
        <f ca="1">AVERAGE(OFFSET($FI$3,0,0,'Données projet'!$E$16+1,1))-AVERAGE(OFFSET($H$3,0,0,'Données projet'!$E$16+1,1))</f>
        <v>197.66963254934603</v>
      </c>
      <c r="FK79" s="59">
        <f t="shared" si="102"/>
        <v>158.08388141976138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1.0725320816946087</v>
      </c>
      <c r="FR79" s="21">
        <f>EXP(-LN(2)/25)*FR78+(1-EXP(-LN(2)/25))/(LN(2)/25)*Calculateur!FM79*Calculateur!FO79*VLOOKUP('Données projet'!$B$16,Paramètres!$A$1:$I$89,3,0)*0.475*44/12</f>
        <v>1.484127321300853</v>
      </c>
      <c r="FS79" s="21">
        <f>EXP(-LN(2)/2)*FS78+(1-EXP(-LN(2)/2))/(LN(2)/2)*FM79*FP79*VLOOKUP('Données projet'!$B$16,Paramètres!$A$1:$I$89,3,0)*0.475*44/12</f>
        <v>9.868117301077246E-7</v>
      </c>
      <c r="FT79" s="22">
        <f t="shared" si="78"/>
        <v>2.5566603898071918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6</v>
      </c>
      <c r="FZ79" s="12">
        <f>IF('Données projet'!$A$244&gt;35,FZ78+FY79-GH78,IF(A79&lt;'Données projet'!$A$244,$FW$205^A79,IF(A79='Données projet'!$A$244,'Données projet'!$B$244,FZ78+FY79-GH78)))</f>
        <v>353.00000000000006</v>
      </c>
      <c r="GA79" s="17">
        <f>FZ79*VLOOKUP('Données projet'!$B$17,Paramètres!$A$1:$I$89,3,0)*VLOOKUP('Données projet'!$B$17,Paramètres!$A$1:$I$89,5,0)</f>
        <v>211.09400000000005</v>
      </c>
      <c r="GB79" s="13">
        <f t="shared" si="103"/>
        <v>52.1745798794691</v>
      </c>
      <c r="GC79" s="20">
        <f t="shared" si="79"/>
        <v>458.52610995674212</v>
      </c>
      <c r="GD79" s="59">
        <f t="shared" si="80"/>
        <v>751.85944329007543</v>
      </c>
      <c r="GE79" s="59">
        <f ca="1">AVERAGE(OFFSET($GD$3,0,0,'Données projet'!$E$17+1,1))-AVERAGE(OFFSET($H$3,0,0,'Données projet'!$E$17+1,1))</f>
        <v>165.39579887388538</v>
      </c>
      <c r="GF79" s="59">
        <f t="shared" si="104"/>
        <v>155.89639262545802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2.0360449657119375</v>
      </c>
      <c r="GN79" s="21">
        <f>EXP(-LN(2)/2)*GN78+(1-EXP(-LN(2)/2))/(LN(2)/2)*GH79*GK79*VLOOKUP('Données projet'!$B$17,Paramètres!$A$1:$I$89,3,0)*0.475*44/12</f>
        <v>1.654629198953742E-6</v>
      </c>
      <c r="GO79" s="21">
        <f t="shared" si="81"/>
        <v>2.0360466203411365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4.8</v>
      </c>
      <c r="GU79" s="12">
        <f>IF('Données projet'!$A$270&gt;35,GU78+GT79-HC78,IF(A79&lt;'Données projet'!$A$270,$GR$205^A79,IF(A79='Données projet'!$A$270,'Données projet'!$B$270,GU78+GT79-HC78)))</f>
        <v>186.79999999999993</v>
      </c>
      <c r="GV79" s="17">
        <f>GU79*VLOOKUP('Données projet'!$B$18,Paramètres!$A$1:$I$89,3,0)*VLOOKUP('Données projet'!$B$18,Paramètres!$A$1:$I$89,5,0)</f>
        <v>201.07151999999991</v>
      </c>
      <c r="GW79" s="13">
        <f t="shared" si="105"/>
        <v>49.97958210772665</v>
      </c>
      <c r="GX79" s="20">
        <f t="shared" si="82"/>
        <v>437.24733617095711</v>
      </c>
      <c r="GY79" s="59">
        <f t="shared" si="83"/>
        <v>730.58066950429043</v>
      </c>
      <c r="GZ79" s="59">
        <f ca="1">AVERAGE(OFFSET($GY$3,0,0,'Données projet'!$E$18+1,1))-AVERAGE(OFFSET($H$3,0,0,'Données projet'!$E$18+1,1))</f>
        <v>186.60545265015247</v>
      </c>
      <c r="HA79" s="59">
        <f t="shared" si="106"/>
        <v>69.239647548491234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0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0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8.3000000000000007</v>
      </c>
      <c r="N80" s="13">
        <f>IF('Données projet'!$A$36&gt;35,N79+M80-V79,IF(A80&lt;'Données projet'!$A$36,$K$205^A80,IF(A80='Données projet'!$A$36,'Données projet'!$B$36,N79+M80-V79)))</f>
        <v>489.10000000000031</v>
      </c>
      <c r="O80" s="13">
        <f>N80*VLOOKUP('Données projet'!$B$9,Paramètres!$A$1:$I$89,3,0)*VLOOKUP('Données projet'!$B$9,Paramètres!$A$1:$I$89,5,0)</f>
        <v>273.40690000000018</v>
      </c>
      <c r="P80" s="13">
        <f t="shared" si="87"/>
        <v>65.571770952817729</v>
      </c>
      <c r="Q80" s="20">
        <f t="shared" si="54"/>
        <v>590.38785190949113</v>
      </c>
      <c r="R80" s="59">
        <f t="shared" si="55"/>
        <v>883.7211852428245</v>
      </c>
      <c r="S80" s="59">
        <f ca="1">AVERAGE(OFFSET($R$3,0,0,'Données projet'!$E$9+1,1))-AVERAGE(OFFSET($H$3,0,0,'Données projet'!$E$9+1,1))</f>
        <v>235.10258076192054</v>
      </c>
      <c r="T80" s="59">
        <f t="shared" si="88"/>
        <v>233.47316052603765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1.3506470052952408</v>
      </c>
      <c r="AA80" s="21">
        <f>EXP(-LN(2)/25)*AA79+(1-EXP(-LN(2)/25))/(LN(2)/25)*Calculateur!V80*Calculateur!X80*VLOOKUP('Données projet'!$B$9,Paramètres!$A$1:$I$89,3,0)*0.475*44/12</f>
        <v>5.0084579586250761</v>
      </c>
      <c r="AB80" s="21">
        <f>EXP(-LN(2)/2)*AB79+(1-EXP(-LN(2)/2))/(LN(2)/2)*V80*Y80*VLOOKUP('Données projet'!$B$9,Paramètres!$A$1:$I$89,3,0)*0.475*44/12</f>
        <v>2.0333394482653788E-6</v>
      </c>
      <c r="AC80" s="22">
        <f t="shared" si="57"/>
        <v>6.3591069972597651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354.70000000000016</v>
      </c>
      <c r="AJ80" s="13">
        <f>AI80*VLOOKUP('Données projet'!$B$10,Paramètres!$A$1:$I$89,3,0)*VLOOKUP('Données projet'!$B$10,Paramètres!$A$1:$I$89,5,0)</f>
        <v>193.66620000000012</v>
      </c>
      <c r="AK80" s="13">
        <f t="shared" si="89"/>
        <v>48.349593834084288</v>
      </c>
      <c r="AL80" s="20">
        <f t="shared" si="58"/>
        <v>421.51084092769702</v>
      </c>
      <c r="AM80" s="59">
        <f t="shared" si="59"/>
        <v>714.84417426103028</v>
      </c>
      <c r="AN80" s="59">
        <f ca="1">AVERAGE(OFFSET($AM$3,0,0,'Données projet'!$E$10+1,1))-AVERAGE(OFFSET($H$3,0,0,'Données projet'!$E$10+1,1))</f>
        <v>168.72306536277267</v>
      </c>
      <c r="AO80" s="59">
        <f t="shared" si="90"/>
        <v>203.35476578922339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1.1993060089302352</v>
      </c>
      <c r="AV80" s="21">
        <f>EXP(-LN(2)/25)*AV79+(1-EXP(-LN(2)/25))/(LN(2)/25)*Calculateur!AQ80*Calculateur!AS80*VLOOKUP('Données projet'!$B$10,Paramètres!$A$1:$I$89,3,0)*0.475*44/12</f>
        <v>6.2446560575931098</v>
      </c>
      <c r="AW80" s="21">
        <f>EXP(-LN(2)/2)*AW79+(1-EXP(-LN(2)/2))/(LN(2)/2)*AQ80*AT80*VLOOKUP('Données projet'!$B$10,Paramètres!$A$1:$I$89,3,0)*0.475*44/12</f>
        <v>1.687884060373147E-6</v>
      </c>
      <c r="AX80" s="21">
        <f t="shared" si="60"/>
        <v>7.4439637544074051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359.00000000000006</v>
      </c>
      <c r="BE80" s="13">
        <f>BD80*VLOOKUP('Données projet'!$B$11,Paramètres!$A$1:$I$89,3,0)*VLOOKUP('Données projet'!$B$11,Paramètres!$A$1:$I$89,5,0)</f>
        <v>214.68200000000007</v>
      </c>
      <c r="BF80" s="13">
        <f t="shared" si="91"/>
        <v>52.957403780225121</v>
      </c>
      <c r="BG80" s="20">
        <f t="shared" si="61"/>
        <v>466.13862825055884</v>
      </c>
      <c r="BH80" s="59">
        <f t="shared" si="62"/>
        <v>759.47196158389215</v>
      </c>
      <c r="BI80" s="59">
        <f ca="1">AVERAGE(OFFSET($BH$3,0,0,'Données projet'!$E$11+1,1))-AVERAGE(OFFSET($H$3,0,0,'Données projet'!$E$11+1,1))</f>
        <v>165.39579887388538</v>
      </c>
      <c r="BJ80" s="59">
        <f t="shared" si="92"/>
        <v>155.89639262545802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1.9803692090535931</v>
      </c>
      <c r="BR80" s="21">
        <f>EXP(-LN(2)/2)*BR79+(1-EXP(-LN(2)/2))/(LN(2)/2)*BL80*BO80*VLOOKUP('Données projet'!$B$11,Paramètres!$A$1:$I$89,3,0)*0.475*44/12</f>
        <v>1.169999526929456E-6</v>
      </c>
      <c r="BS80" s="22">
        <f t="shared" si="63"/>
        <v>1.9803703790531202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4.8</v>
      </c>
      <c r="BY80" s="12">
        <f>IF('Données projet'!$A$114&gt;35,BY79+BX80-CG79,IF(A80&lt;'Données projet'!$A$114,$BV$205^A80,IF(A80='Données projet'!$A$114,'Données projet'!$B$114,BY79+BX80-CG79)))</f>
        <v>191.59999999999994</v>
      </c>
      <c r="BZ80" s="13">
        <f>BY80*VLOOKUP('Données projet'!$B$12,Paramètres!$A$1:$I$89,3,0)*VLOOKUP('Données projet'!$B$12,Paramètres!$A$1:$I$89,5,0)</f>
        <v>185.31551999999994</v>
      </c>
      <c r="CA80" s="13">
        <f t="shared" si="93"/>
        <v>46.502780901649913</v>
      </c>
      <c r="CB80" s="20">
        <f t="shared" si="64"/>
        <v>403.75020740370678</v>
      </c>
      <c r="CC80" s="59">
        <f t="shared" si="65"/>
        <v>697.08354073704004</v>
      </c>
      <c r="CD80" s="59">
        <f ca="1">AVERAGE(OFFSET($CC$3,0,0,'Données projet'!$E$12+1,1))-AVERAGE(OFFSET($H$3,0,0,'Données projet'!$E$12+1,1))</f>
        <v>156.26368818265388</v>
      </c>
      <c r="CE80" s="59">
        <f t="shared" si="94"/>
        <v>56.347130462109817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4.8</v>
      </c>
      <c r="CT80" s="12">
        <f>IF('Données projet'!$A$140&gt;35,CT79+CS80-DB79,IF(A80&lt;'Données projet'!$A$140,$CQ$205^A80,IF(A80='Données projet'!$A$140,'Données projet'!$B$140,CT79+CS80-DB79)))</f>
        <v>191.59999999999994</v>
      </c>
      <c r="CU80" s="17">
        <f>CT80*VLOOKUP('Données projet'!$B$13,Paramètres!$A$1:$I$89,3,0)*VLOOKUP('Données projet'!$B$13,Paramètres!$A$1:$I$89,5,0)</f>
        <v>155.42591999999996</v>
      </c>
      <c r="CV80" s="13">
        <f t="shared" si="95"/>
        <v>39.809083793032777</v>
      </c>
      <c r="CW80" s="20">
        <f t="shared" si="67"/>
        <v>340.03429827286533</v>
      </c>
      <c r="CX80" s="59">
        <f t="shared" si="68"/>
        <v>633.36763160619864</v>
      </c>
      <c r="CY80" s="59">
        <f ca="1">AVERAGE(OFFSET($CX$3,0,0,'Données projet'!$E$13+1,1))-AVERAGE(OFFSET($H$3,0,0,'Données projet'!$E$13+1,1))</f>
        <v>112.78807760743126</v>
      </c>
      <c r="CZ80" s="59">
        <f t="shared" si="96"/>
        <v>37.867745922003564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2.5</v>
      </c>
      <c r="DO80" s="12">
        <f>IF('Données projet'!$A$166&gt;35,DO79+DN80-DW79,IF(A80&lt;'Données projet'!$A$166,$DL$205^A80,IF(A80='Données projet'!$A$166,'Données projet'!$B$166,DO79+DN80-DW79)))</f>
        <v>218.49999999999991</v>
      </c>
      <c r="DP80" s="17">
        <f>DO80*VLOOKUP('Données projet'!$B$14,Paramètres!$A$1:$I$89,3,0)*VLOOKUP('Données projet'!$B$14,Paramètres!$A$1:$I$89,5,0)</f>
        <v>146.56979999999993</v>
      </c>
      <c r="DQ80" s="13">
        <f t="shared" si="97"/>
        <v>37.798013940858134</v>
      </c>
      <c r="DR80" s="20">
        <f t="shared" si="70"/>
        <v>321.10727594699443</v>
      </c>
      <c r="DS80" s="59">
        <f t="shared" si="71"/>
        <v>614.44060928032775</v>
      </c>
      <c r="DT80" s="59">
        <f ca="1">AVERAGE(OFFSET($DS$3,0,0,'Données projet'!$E$14+1,1))-AVERAGE(OFFSET($H$3,0,0,'Données projet'!$E$14+1,1))</f>
        <v>107.15837202366862</v>
      </c>
      <c r="DU80" s="59">
        <f t="shared" si="98"/>
        <v>139.67031833740026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1.5399177781017794</v>
      </c>
      <c r="EC80" s="21">
        <f>EXP(-LN(2)/2)*EC79+(1-EXP(-LN(2)/2))/(LN(2)/2)*DW80*DZ80*VLOOKUP('Données projet'!$B$14,Paramètres!$A$1:$I$89,3,0)*0.475*44/12</f>
        <v>5.6893824755703555E-7</v>
      </c>
      <c r="ED80" s="22">
        <f t="shared" si="72"/>
        <v>1.5399183470400271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7.7</v>
      </c>
      <c r="EJ80" s="12">
        <f>IF('Données projet'!$A$192&gt;35,EJ79+EI80-ER79,IF(A80&lt;'Données projet'!$A$192,$EG$205^A80,IF(A80='Données projet'!$A$192,'Données projet'!$B$192,EJ79+EI80-ER79)))</f>
        <v>311.39999999999986</v>
      </c>
      <c r="EK80" s="17">
        <f>EJ80*VLOOKUP('Données projet'!$B$15,Paramètres!$A$1:$I$89,3,0)*VLOOKUP('Données projet'!$B$15,Paramètres!$A$1:$I$89,5,0)</f>
        <v>145.73519999999994</v>
      </c>
      <c r="EL80" s="13">
        <f t="shared" si="99"/>
        <v>37.607773527116223</v>
      </c>
      <c r="EM80" s="20">
        <f t="shared" si="73"/>
        <v>319.3223455597273</v>
      </c>
      <c r="EN80" s="59">
        <f t="shared" si="74"/>
        <v>612.65567889306067</v>
      </c>
      <c r="EO80" s="59">
        <f ca="1">AVERAGE(OFFSET($EN$3,0,0,'Données projet'!$E$15+1,1))-AVERAGE(OFFSET($H$3,0,0,'Données projet'!$E$15+1,1))</f>
        <v>123.60520571614535</v>
      </c>
      <c r="EP80" s="59">
        <f t="shared" si="100"/>
        <v>119.00926870519527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0.34192459070929393</v>
      </c>
      <c r="EW80" s="21">
        <f>EXP(-LN(2)/25)*EW79+(1-EXP(-LN(2)/25))/(LN(2)/25)*Calculateur!ER80*Calculateur!ET80*VLOOKUP('Données projet'!$B$15,Paramètres!$A$1:$I$89,3,0)*0.475*44/12</f>
        <v>1.2977674173288747</v>
      </c>
      <c r="EX80" s="21">
        <f>EXP(-LN(2)/2)*EX79+(1-EXP(-LN(2)/2))/(LN(2)/2)*ER80*EU80*VLOOKUP('Données projet'!$B$15,Paramètres!$A$1:$I$89,3,0)*0.475*44/12</f>
        <v>5.153472598142392E-7</v>
      </c>
      <c r="EY80" s="22">
        <f t="shared" si="75"/>
        <v>1.6396925233854283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11.9</v>
      </c>
      <c r="FE80" s="12">
        <f>IF('Données projet'!$A$218&gt;35,FE79+FD80-FM79,IF(A80&lt;'Données projet'!$A$218,$FB$205^A80,IF(A80='Données projet'!$A$218,'Données projet'!$B$218,FE79+FD80-FM79)))</f>
        <v>566.29999999999984</v>
      </c>
      <c r="FF80" s="17">
        <f>FE80*VLOOKUP('Données projet'!$B$16,Paramètres!$A$1:$I$89,3,0)*VLOOKUP('Données projet'!$B$16,Paramètres!$A$1:$I$89,5,0)</f>
        <v>272.39029999999997</v>
      </c>
      <c r="FG80" s="13">
        <f t="shared" si="101"/>
        <v>65.35629075882963</v>
      </c>
      <c r="FH80" s="20">
        <f t="shared" si="76"/>
        <v>588.24197890496157</v>
      </c>
      <c r="FI80" s="59">
        <f t="shared" si="77"/>
        <v>881.57531223829483</v>
      </c>
      <c r="FJ80" s="59">
        <f ca="1">AVERAGE(OFFSET($FI$3,0,0,'Données projet'!$E$16+1,1))-AVERAGE(OFFSET($H$3,0,0,'Données projet'!$E$16+1,1))</f>
        <v>197.66963254934603</v>
      </c>
      <c r="FK80" s="59">
        <f t="shared" si="102"/>
        <v>158.08388141976138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1.0515003817525523</v>
      </c>
      <c r="FR80" s="21">
        <f>EXP(-LN(2)/25)*FR79+(1-EXP(-LN(2)/25))/(LN(2)/25)*Calculateur!FM80*Calculateur!FO80*VLOOKUP('Données projet'!$B$16,Paramètres!$A$1:$I$89,3,0)*0.475*44/12</f>
        <v>1.4435437816530174</v>
      </c>
      <c r="FS80" s="21">
        <f>EXP(-LN(2)/2)*FS79+(1-EXP(-LN(2)/2))/(LN(2)/2)*FM80*FP80*VLOOKUP('Données projet'!$B$16,Paramètres!$A$1:$I$89,3,0)*0.475*44/12</f>
        <v>6.9778126611360123E-7</v>
      </c>
      <c r="FT80" s="22">
        <f t="shared" si="78"/>
        <v>2.4950448611868361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6</v>
      </c>
      <c r="FZ80" s="12">
        <f>IF('Données projet'!$A$244&gt;35,FZ79+FY80-GH79,IF(A80&lt;'Données projet'!$A$244,$FW$205^A80,IF(A80='Données projet'!$A$244,'Données projet'!$B$244,FZ79+FY80-GH79)))</f>
        <v>359.00000000000006</v>
      </c>
      <c r="GA80" s="17">
        <f>FZ80*VLOOKUP('Données projet'!$B$17,Paramètres!$A$1:$I$89,3,0)*VLOOKUP('Données projet'!$B$17,Paramètres!$A$1:$I$89,5,0)</f>
        <v>214.68200000000007</v>
      </c>
      <c r="GB80" s="13">
        <f t="shared" si="103"/>
        <v>52.957403780225121</v>
      </c>
      <c r="GC80" s="20">
        <f t="shared" si="79"/>
        <v>466.13862825055884</v>
      </c>
      <c r="GD80" s="59">
        <f t="shared" si="80"/>
        <v>759.47196158389215</v>
      </c>
      <c r="GE80" s="59">
        <f ca="1">AVERAGE(OFFSET($GD$3,0,0,'Données projet'!$E$17+1,1))-AVERAGE(OFFSET($H$3,0,0,'Données projet'!$E$17+1,1))</f>
        <v>165.39579887388538</v>
      </c>
      <c r="GF80" s="59">
        <f t="shared" si="104"/>
        <v>155.89639262545802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1.9803692090535931</v>
      </c>
      <c r="GN80" s="21">
        <f>EXP(-LN(2)/2)*GN79+(1-EXP(-LN(2)/2))/(LN(2)/2)*GH80*GK80*VLOOKUP('Données projet'!$B$17,Paramètres!$A$1:$I$89,3,0)*0.475*44/12</f>
        <v>1.169999526929456E-6</v>
      </c>
      <c r="GO80" s="21">
        <f t="shared" si="81"/>
        <v>1.9803703790531202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4.8</v>
      </c>
      <c r="GU80" s="12">
        <f>IF('Données projet'!$A$270&gt;35,GU79+GT80-HC79,IF(A80&lt;'Données projet'!$A$270,$GR$205^A80,IF(A80='Données projet'!$A$270,'Données projet'!$B$270,GU79+GT80-HC79)))</f>
        <v>191.59999999999994</v>
      </c>
      <c r="GV80" s="17">
        <f>GU80*VLOOKUP('Données projet'!$B$18,Paramètres!$A$1:$I$89,3,0)*VLOOKUP('Données projet'!$B$18,Paramètres!$A$1:$I$89,5,0)</f>
        <v>206.23823999999993</v>
      </c>
      <c r="GW80" s="13">
        <f t="shared" si="105"/>
        <v>51.112683713334427</v>
      </c>
      <c r="GX80" s="20">
        <f t="shared" si="82"/>
        <v>448.21952546739061</v>
      </c>
      <c r="GY80" s="59">
        <f t="shared" si="83"/>
        <v>741.55285880072393</v>
      </c>
      <c r="GZ80" s="59">
        <f ca="1">AVERAGE(OFFSET($GY$3,0,0,'Données projet'!$E$18+1,1))-AVERAGE(OFFSET($H$3,0,0,'Données projet'!$E$18+1,1))</f>
        <v>186.60545265015247</v>
      </c>
      <c r="HA80" s="59">
        <f t="shared" si="106"/>
        <v>69.239647548491234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0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0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8.3000000000000007</v>
      </c>
      <c r="N81" s="13">
        <f>IF('Données projet'!$A$36&gt;35,N80+M81-V80,IF(A81&lt;'Données projet'!$A$36,$K$205^A81,IF(A81='Données projet'!$A$36,'Données projet'!$B$36,N80+M81-V80)))</f>
        <v>497.40000000000032</v>
      </c>
      <c r="O81" s="13">
        <f>N81*VLOOKUP('Données projet'!$B$9,Paramètres!$A$1:$I$89,3,0)*VLOOKUP('Données projet'!$B$9,Paramètres!$A$1:$I$89,5,0)</f>
        <v>278.04660000000018</v>
      </c>
      <c r="P81" s="13">
        <f t="shared" si="87"/>
        <v>66.554031258437732</v>
      </c>
      <c r="Q81" s="20">
        <f t="shared" si="54"/>
        <v>600.17943277511279</v>
      </c>
      <c r="R81" s="59">
        <f t="shared" si="55"/>
        <v>893.51276610844616</v>
      </c>
      <c r="S81" s="59">
        <f ca="1">AVERAGE(OFFSET($R$3,0,0,'Données projet'!$E$9+1,1))-AVERAGE(OFFSET($H$3,0,0,'Données projet'!$E$9+1,1))</f>
        <v>235.10258076192054</v>
      </c>
      <c r="T81" s="59">
        <f t="shared" si="88"/>
        <v>233.47316052603765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1.3241616413347297</v>
      </c>
      <c r="AA81" s="21">
        <f>EXP(-LN(2)/25)*AA80+(1-EXP(-LN(2)/25))/(LN(2)/25)*Calculateur!V81*Calculateur!X81*VLOOKUP('Données projet'!$B$9,Paramètres!$A$1:$I$89,3,0)*0.475*44/12</f>
        <v>4.8715014123631164</v>
      </c>
      <c r="AB81" s="21">
        <f>EXP(-LN(2)/2)*AB80+(1-EXP(-LN(2)/2))/(LN(2)/2)*V81*Y81*VLOOKUP('Données projet'!$B$9,Paramètres!$A$1:$I$89,3,0)*0.475*44/12</f>
        <v>1.4377881123225625E-6</v>
      </c>
      <c r="AC81" s="22">
        <f t="shared" si="57"/>
        <v>6.1956644914859584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360.80000000000018</v>
      </c>
      <c r="AJ81" s="13">
        <f>AI81*VLOOKUP('Données projet'!$B$10,Paramètres!$A$1:$I$89,3,0)*VLOOKUP('Données projet'!$B$10,Paramètres!$A$1:$I$89,5,0)</f>
        <v>196.99680000000009</v>
      </c>
      <c r="AK81" s="13">
        <f t="shared" si="89"/>
        <v>49.083575208709597</v>
      </c>
      <c r="AL81" s="20">
        <f t="shared" si="58"/>
        <v>428.58998682183602</v>
      </c>
      <c r="AM81" s="59">
        <f t="shared" si="59"/>
        <v>721.92332015516934</v>
      </c>
      <c r="AN81" s="59">
        <f ca="1">AVERAGE(OFFSET($AM$3,0,0,'Données projet'!$E$10+1,1))-AVERAGE(OFFSET($H$3,0,0,'Données projet'!$E$10+1,1))</f>
        <v>168.72306536277267</v>
      </c>
      <c r="AO81" s="59">
        <f t="shared" si="90"/>
        <v>203.35476578922339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1.1757883495995487</v>
      </c>
      <c r="AV81" s="21">
        <f>EXP(-LN(2)/25)*AV80+(1-EXP(-LN(2)/25))/(LN(2)/25)*Calculateur!AQ81*Calculateur!AS81*VLOOKUP('Données projet'!$B$10,Paramètres!$A$1:$I$89,3,0)*0.475*44/12</f>
        <v>6.0738956093060361</v>
      </c>
      <c r="AW81" s="21">
        <f>EXP(-LN(2)/2)*AW80+(1-EXP(-LN(2)/2))/(LN(2)/2)*AQ81*AT81*VLOOKUP('Données projet'!$B$10,Paramètres!$A$1:$I$89,3,0)*0.475*44/12</f>
        <v>1.1935142649465362E-6</v>
      </c>
      <c r="AX81" s="21">
        <f t="shared" si="60"/>
        <v>7.2496851524198505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365.00000000000006</v>
      </c>
      <c r="BE81" s="13">
        <f>BD81*VLOOKUP('Données projet'!$B$11,Paramètres!$A$1:$I$89,3,0)*VLOOKUP('Données projet'!$B$11,Paramètres!$A$1:$I$89,5,0)</f>
        <v>218.27000000000004</v>
      </c>
      <c r="BF81" s="13">
        <f t="shared" si="91"/>
        <v>53.738706177800289</v>
      </c>
      <c r="BG81" s="20">
        <f t="shared" si="61"/>
        <v>473.74849659300213</v>
      </c>
      <c r="BH81" s="59">
        <f t="shared" si="62"/>
        <v>767.08182992633544</v>
      </c>
      <c r="BI81" s="59">
        <f ca="1">AVERAGE(OFFSET($BH$3,0,0,'Données projet'!$E$11+1,1))-AVERAGE(OFFSET($H$3,0,0,'Données projet'!$E$11+1,1))</f>
        <v>165.39579887388538</v>
      </c>
      <c r="BJ81" s="59">
        <f t="shared" si="92"/>
        <v>155.89639262545802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1.9262159088889321</v>
      </c>
      <c r="BR81" s="21">
        <f>EXP(-LN(2)/2)*BR80+(1-EXP(-LN(2)/2))/(LN(2)/2)*BL81*BO81*VLOOKUP('Données projet'!$B$11,Paramètres!$A$1:$I$89,3,0)*0.475*44/12</f>
        <v>8.2731459947687099E-7</v>
      </c>
      <c r="BS81" s="22">
        <f t="shared" si="63"/>
        <v>1.9262167362035316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4.8</v>
      </c>
      <c r="BY81" s="12">
        <f>IF('Données projet'!$A$114&gt;35,BY80+BX81-CG80,IF(A81&lt;'Données projet'!$A$114,$BV$205^A81,IF(A81='Données projet'!$A$114,'Données projet'!$B$114,BY80+BX81-CG80)))</f>
        <v>196.39999999999995</v>
      </c>
      <c r="BZ81" s="13">
        <f>BY81*VLOOKUP('Données projet'!$B$12,Paramètres!$A$1:$I$89,3,0)*VLOOKUP('Données projet'!$B$12,Paramètres!$A$1:$I$89,5,0)</f>
        <v>189.95807999999997</v>
      </c>
      <c r="CA81" s="13">
        <f t="shared" si="93"/>
        <v>47.530684815400313</v>
      </c>
      <c r="CB81" s="20">
        <f t="shared" si="64"/>
        <v>413.62626538682213</v>
      </c>
      <c r="CC81" s="59">
        <f t="shared" si="65"/>
        <v>706.95959872015544</v>
      </c>
      <c r="CD81" s="59">
        <f ca="1">AVERAGE(OFFSET($CC$3,0,0,'Données projet'!$E$12+1,1))-AVERAGE(OFFSET($H$3,0,0,'Données projet'!$E$12+1,1))</f>
        <v>156.26368818265388</v>
      </c>
      <c r="CE81" s="59">
        <f t="shared" si="94"/>
        <v>56.347130462109817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4.8</v>
      </c>
      <c r="CT81" s="12">
        <f>IF('Données projet'!$A$140&gt;35,CT80+CS81-DB80,IF(A81&lt;'Données projet'!$A$140,$CQ$205^A81,IF(A81='Données projet'!$A$140,'Données projet'!$B$140,CT80+CS81-DB80)))</f>
        <v>196.39999999999995</v>
      </c>
      <c r="CU81" s="17">
        <f>CT81*VLOOKUP('Données projet'!$B$13,Paramètres!$A$1:$I$89,3,0)*VLOOKUP('Données projet'!$B$13,Paramètres!$A$1:$I$89,5,0)</f>
        <v>159.31967999999995</v>
      </c>
      <c r="CV81" s="13">
        <f t="shared" si="95"/>
        <v>40.689029298232107</v>
      </c>
      <c r="CW81" s="20">
        <f t="shared" si="67"/>
        <v>348.34850202775414</v>
      </c>
      <c r="CX81" s="59">
        <f t="shared" si="68"/>
        <v>641.68183536108745</v>
      </c>
      <c r="CY81" s="59">
        <f ca="1">AVERAGE(OFFSET($CX$3,0,0,'Données projet'!$E$13+1,1))-AVERAGE(OFFSET($H$3,0,0,'Données projet'!$E$13+1,1))</f>
        <v>112.78807760743126</v>
      </c>
      <c r="CZ81" s="59">
        <f t="shared" si="96"/>
        <v>37.867745922003564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2.5</v>
      </c>
      <c r="DO81" s="12">
        <f>IF('Données projet'!$A$166&gt;35,DO80+DN81-DW80,IF(A81&lt;'Données projet'!$A$166,$DL$205^A81,IF(A81='Données projet'!$A$166,'Données projet'!$B$166,DO80+DN81-DW80)))</f>
        <v>220.99999999999991</v>
      </c>
      <c r="DP81" s="17">
        <f>DO81*VLOOKUP('Données projet'!$B$14,Paramètres!$A$1:$I$89,3,0)*VLOOKUP('Données projet'!$B$14,Paramètres!$A$1:$I$89,5,0)</f>
        <v>148.24679999999995</v>
      </c>
      <c r="DQ81" s="13">
        <f t="shared" si="97"/>
        <v>38.17989242104715</v>
      </c>
      <c r="DR81" s="20">
        <f t="shared" si="70"/>
        <v>324.69315596665706</v>
      </c>
      <c r="DS81" s="59">
        <f t="shared" si="71"/>
        <v>618.02648929999032</v>
      </c>
      <c r="DT81" s="59">
        <f ca="1">AVERAGE(OFFSET($DS$3,0,0,'Données projet'!$E$14+1,1))-AVERAGE(OFFSET($H$3,0,0,'Données projet'!$E$14+1,1))</f>
        <v>107.15837202366862</v>
      </c>
      <c r="DU81" s="59">
        <f t="shared" si="98"/>
        <v>139.67031833740026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1.4978086454788297</v>
      </c>
      <c r="EC81" s="21">
        <f>EXP(-LN(2)/2)*EC80+(1-EXP(-LN(2)/2))/(LN(2)/2)*DW81*DZ81*VLOOKUP('Données projet'!$B$14,Paramètres!$A$1:$I$89,3,0)*0.475*44/12</f>
        <v>4.0230009292397055E-7</v>
      </c>
      <c r="ED81" s="22">
        <f t="shared" si="72"/>
        <v>1.4978090477789228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7.7</v>
      </c>
      <c r="EJ81" s="12">
        <f>IF('Données projet'!$A$192&gt;35,EJ80+EI81-ER80,IF(A81&lt;'Données projet'!$A$192,$EG$205^A81,IF(A81='Données projet'!$A$192,'Données projet'!$B$192,EJ80+EI81-ER80)))</f>
        <v>319.09999999999985</v>
      </c>
      <c r="EK81" s="17">
        <f>EJ81*VLOOKUP('Données projet'!$B$15,Paramètres!$A$1:$I$89,3,0)*VLOOKUP('Données projet'!$B$15,Paramètres!$A$1:$I$89,5,0)</f>
        <v>149.33879999999994</v>
      </c>
      <c r="EL81" s="13">
        <f t="shared" si="99"/>
        <v>38.428286936285446</v>
      </c>
      <c r="EM81" s="20">
        <f t="shared" si="73"/>
        <v>327.02767641403034</v>
      </c>
      <c r="EN81" s="59">
        <f t="shared" si="74"/>
        <v>620.3610097473636</v>
      </c>
      <c r="EO81" s="59">
        <f ca="1">AVERAGE(OFFSET($EN$3,0,0,'Données projet'!$E$15+1,1))-AVERAGE(OFFSET($H$3,0,0,'Données projet'!$E$15+1,1))</f>
        <v>123.60520571614535</v>
      </c>
      <c r="EP81" s="59">
        <f t="shared" si="100"/>
        <v>119.00926870519527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0.33521965803889209</v>
      </c>
      <c r="EW81" s="21">
        <f>EXP(-LN(2)/25)*EW80+(1-EXP(-LN(2)/25))/(LN(2)/25)*Calculateur!ER81*Calculateur!ET81*VLOOKUP('Données projet'!$B$15,Paramètres!$A$1:$I$89,3,0)*0.475*44/12</f>
        <v>1.2622798990553943</v>
      </c>
      <c r="EX81" s="21">
        <f>EXP(-LN(2)/2)*EX80+(1-EXP(-LN(2)/2))/(LN(2)/2)*ER81*EU81*VLOOKUP('Données projet'!$B$15,Paramètres!$A$1:$I$89,3,0)*0.475*44/12</f>
        <v>3.644055420805541E-7</v>
      </c>
      <c r="EY81" s="22">
        <f t="shared" si="75"/>
        <v>1.5974999214998284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11.9</v>
      </c>
      <c r="FE81" s="12">
        <f>IF('Données projet'!$A$218&gt;35,FE80+FD81-FM80,IF(A81&lt;'Données projet'!$A$218,$FB$205^A81,IF(A81='Données projet'!$A$218,'Données projet'!$B$218,FE80+FD81-FM80)))</f>
        <v>578.19999999999982</v>
      </c>
      <c r="FF81" s="17">
        <f>FE81*VLOOKUP('Données projet'!$B$16,Paramètres!$A$1:$I$89,3,0)*VLOOKUP('Données projet'!$B$16,Paramètres!$A$1:$I$89,5,0)</f>
        <v>278.11419999999993</v>
      </c>
      <c r="FG81" s="13">
        <f t="shared" si="101"/>
        <v>66.568328525711649</v>
      </c>
      <c r="FH81" s="20">
        <f t="shared" si="76"/>
        <v>600.32207051561431</v>
      </c>
      <c r="FI81" s="59">
        <f t="shared" si="77"/>
        <v>893.65540384894757</v>
      </c>
      <c r="FJ81" s="59">
        <f ca="1">AVERAGE(OFFSET($FI$3,0,0,'Données projet'!$E$16+1,1))-AVERAGE(OFFSET($H$3,0,0,'Données projet'!$E$16+1,1))</f>
        <v>197.66963254934603</v>
      </c>
      <c r="FK81" s="59">
        <f t="shared" si="102"/>
        <v>158.08388141976138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1.0308811006182894</v>
      </c>
      <c r="FR81" s="21">
        <f>EXP(-LN(2)/25)*FR80+(1-EXP(-LN(2)/25))/(LN(2)/25)*Calculateur!FM81*Calculateur!FO81*VLOOKUP('Données projet'!$B$16,Paramètres!$A$1:$I$89,3,0)*0.475*44/12</f>
        <v>1.4040700010310474</v>
      </c>
      <c r="FS81" s="21">
        <f>EXP(-LN(2)/2)*FS80+(1-EXP(-LN(2)/2))/(LN(2)/2)*FM81*FP81*VLOOKUP('Données projet'!$B$16,Paramètres!$A$1:$I$89,3,0)*0.475*44/12</f>
        <v>4.934058650538623E-7</v>
      </c>
      <c r="FT81" s="22">
        <f t="shared" si="78"/>
        <v>2.4349515950552019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6</v>
      </c>
      <c r="FZ81" s="12">
        <f>IF('Données projet'!$A$244&gt;35,FZ80+FY81-GH80,IF(A81&lt;'Données projet'!$A$244,$FW$205^A81,IF(A81='Données projet'!$A$244,'Données projet'!$B$244,FZ80+FY81-GH80)))</f>
        <v>365.00000000000006</v>
      </c>
      <c r="GA81" s="17">
        <f>FZ81*VLOOKUP('Données projet'!$B$17,Paramètres!$A$1:$I$89,3,0)*VLOOKUP('Données projet'!$B$17,Paramètres!$A$1:$I$89,5,0)</f>
        <v>218.27000000000004</v>
      </c>
      <c r="GB81" s="13">
        <f t="shared" si="103"/>
        <v>53.738706177800289</v>
      </c>
      <c r="GC81" s="20">
        <f t="shared" si="79"/>
        <v>473.74849659300213</v>
      </c>
      <c r="GD81" s="59">
        <f t="shared" si="80"/>
        <v>767.08182992633544</v>
      </c>
      <c r="GE81" s="59">
        <f ca="1">AVERAGE(OFFSET($GD$3,0,0,'Données projet'!$E$17+1,1))-AVERAGE(OFFSET($H$3,0,0,'Données projet'!$E$17+1,1))</f>
        <v>165.39579887388538</v>
      </c>
      <c r="GF81" s="59">
        <f t="shared" si="104"/>
        <v>155.89639262545802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1.9262159088889321</v>
      </c>
      <c r="GN81" s="21">
        <f>EXP(-LN(2)/2)*GN80+(1-EXP(-LN(2)/2))/(LN(2)/2)*GH81*GK81*VLOOKUP('Données projet'!$B$17,Paramètres!$A$1:$I$89,3,0)*0.475*44/12</f>
        <v>8.2731459947687099E-7</v>
      </c>
      <c r="GO81" s="21">
        <f t="shared" si="81"/>
        <v>1.9262167362035316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4.8</v>
      </c>
      <c r="GU81" s="12">
        <f>IF('Données projet'!$A$270&gt;35,GU80+GT81-HC80,IF(A81&lt;'Données projet'!$A$270,$GR$205^A81,IF(A81='Données projet'!$A$270,'Données projet'!$B$270,GU80+GT81-HC80)))</f>
        <v>196.39999999999995</v>
      </c>
      <c r="GV81" s="17">
        <f>GU81*VLOOKUP('Données projet'!$B$18,Paramètres!$A$1:$I$89,3,0)*VLOOKUP('Données projet'!$B$18,Paramètres!$A$1:$I$89,5,0)</f>
        <v>211.40495999999996</v>
      </c>
      <c r="GW81" s="13">
        <f t="shared" si="105"/>
        <v>52.242485557708825</v>
      </c>
      <c r="GX81" s="20">
        <f t="shared" si="82"/>
        <v>459.18596767967614</v>
      </c>
      <c r="GY81" s="59">
        <f t="shared" si="83"/>
        <v>752.51930101300945</v>
      </c>
      <c r="GZ81" s="59">
        <f ca="1">AVERAGE(OFFSET($GY$3,0,0,'Données projet'!$E$18+1,1))-AVERAGE(OFFSET($H$3,0,0,'Données projet'!$E$18+1,1))</f>
        <v>186.60545265015247</v>
      </c>
      <c r="HA81" s="59">
        <f t="shared" si="106"/>
        <v>69.239647548491234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0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0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8.3000000000000007</v>
      </c>
      <c r="N82" s="13">
        <f>IF('Données projet'!$A$36&gt;35,N81+M82-V81,IF(A82&lt;'Données projet'!$A$36,$K$205^A82,IF(A82='Données projet'!$A$36,'Données projet'!$B$36,N81+M82-V81)))</f>
        <v>505.70000000000033</v>
      </c>
      <c r="O82" s="13">
        <f>N82*VLOOKUP('Données projet'!$B$9,Paramètres!$A$1:$I$89,3,0)*VLOOKUP('Données projet'!$B$9,Paramètres!$A$1:$I$89,5,0)</f>
        <v>282.68630000000019</v>
      </c>
      <c r="P82" s="13">
        <f t="shared" si="87"/>
        <v>67.534385438566929</v>
      </c>
      <c r="Q82" s="20">
        <f t="shared" si="54"/>
        <v>609.96769380550427</v>
      </c>
      <c r="R82" s="59">
        <f t="shared" si="55"/>
        <v>903.30102713883753</v>
      </c>
      <c r="S82" s="59">
        <f ca="1">AVERAGE(OFFSET($R$3,0,0,'Données projet'!$E$9+1,1))-AVERAGE(OFFSET($H$3,0,0,'Données projet'!$E$9+1,1))</f>
        <v>235.10258076192054</v>
      </c>
      <c r="T82" s="59">
        <f t="shared" si="88"/>
        <v>233.47316052603765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1.2981956392070071</v>
      </c>
      <c r="AA82" s="21">
        <f>EXP(-LN(2)/25)*AA81+(1-EXP(-LN(2)/25))/(LN(2)/25)*Calculateur!V82*Calculateur!X82*VLOOKUP('Données projet'!$B$9,Paramètres!$A$1:$I$89,3,0)*0.475*44/12</f>
        <v>4.7382899500609215</v>
      </c>
      <c r="AB82" s="21">
        <f>EXP(-LN(2)/2)*AB81+(1-EXP(-LN(2)/2))/(LN(2)/2)*V82*Y82*VLOOKUP('Données projet'!$B$9,Paramètres!$A$1:$I$89,3,0)*0.475*44/12</f>
        <v>1.0166697241326894E-6</v>
      </c>
      <c r="AC82" s="22">
        <f t="shared" si="57"/>
        <v>6.036486605937653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366.9000000000002</v>
      </c>
      <c r="AJ82" s="13">
        <f>AI82*VLOOKUP('Données projet'!$B$10,Paramètres!$A$1:$I$89,3,0)*VLOOKUP('Données projet'!$B$10,Paramètres!$A$1:$I$89,5,0)</f>
        <v>200.3274000000001</v>
      </c>
      <c r="AK82" s="13">
        <f t="shared" si="89"/>
        <v>49.816113484973513</v>
      </c>
      <c r="AL82" s="20">
        <f t="shared" si="58"/>
        <v>435.66661931966229</v>
      </c>
      <c r="AM82" s="59">
        <f t="shared" si="59"/>
        <v>728.9999526529956</v>
      </c>
      <c r="AN82" s="59">
        <f ca="1">AVERAGE(OFFSET($AM$3,0,0,'Données projet'!$E$10+1,1))-AVERAGE(OFFSET($H$3,0,0,'Données projet'!$E$10+1,1))</f>
        <v>168.72306536277267</v>
      </c>
      <c r="AO82" s="59">
        <f t="shared" si="90"/>
        <v>203.35476578922339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1.1527318572239811</v>
      </c>
      <c r="AV82" s="21">
        <f>EXP(-LN(2)/25)*AV81+(1-EXP(-LN(2)/25))/(LN(2)/25)*Calculateur!AQ82*Calculateur!AS82*VLOOKUP('Données projet'!$B$10,Paramètres!$A$1:$I$89,3,0)*0.475*44/12</f>
        <v>5.9078046144572749</v>
      </c>
      <c r="AW82" s="21">
        <f>EXP(-LN(2)/2)*AW81+(1-EXP(-LN(2)/2))/(LN(2)/2)*AQ82*AT82*VLOOKUP('Données projet'!$B$10,Paramètres!$A$1:$I$89,3,0)*0.475*44/12</f>
        <v>8.4394203018657349E-7</v>
      </c>
      <c r="AX82" s="21">
        <f t="shared" si="60"/>
        <v>7.0605373156232858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371.00000000000006</v>
      </c>
      <c r="BE82" s="13">
        <f>BD82*VLOOKUP('Données projet'!$B$11,Paramètres!$A$1:$I$89,3,0)*VLOOKUP('Données projet'!$B$11,Paramètres!$A$1:$I$89,5,0)</f>
        <v>221.85800000000003</v>
      </c>
      <c r="BF82" s="13">
        <f t="shared" si="91"/>
        <v>54.518514970322535</v>
      </c>
      <c r="BG82" s="20">
        <f t="shared" si="61"/>
        <v>481.35576357331178</v>
      </c>
      <c r="BH82" s="59">
        <f t="shared" si="62"/>
        <v>774.68909690664509</v>
      </c>
      <c r="BI82" s="59">
        <f ca="1">AVERAGE(OFFSET($BH$3,0,0,'Données projet'!$E$11+1,1))-AVERAGE(OFFSET($H$3,0,0,'Données projet'!$E$11+1,1))</f>
        <v>165.39579887388538</v>
      </c>
      <c r="BJ82" s="59">
        <f t="shared" si="92"/>
        <v>155.89639262545802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1.873543433565072</v>
      </c>
      <c r="BR82" s="21">
        <f>EXP(-LN(2)/2)*BR81+(1-EXP(-LN(2)/2))/(LN(2)/2)*BL82*BO82*VLOOKUP('Données projet'!$B$11,Paramètres!$A$1:$I$89,3,0)*0.475*44/12</f>
        <v>5.8499976346472801E-7</v>
      </c>
      <c r="BS82" s="22">
        <f t="shared" si="63"/>
        <v>1.8735440185648355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4.8</v>
      </c>
      <c r="BY82" s="12">
        <f>IF('Données projet'!$A$114&gt;35,BY81+BX82-CG81,IF(A82&lt;'Données projet'!$A$114,$BV$205^A82,IF(A82='Données projet'!$A$114,'Données projet'!$B$114,BY81+BX82-CG81)))</f>
        <v>201.19999999999996</v>
      </c>
      <c r="BZ82" s="13">
        <f>BY82*VLOOKUP('Données projet'!$B$12,Paramètres!$A$1:$I$89,3,0)*VLOOKUP('Données projet'!$B$12,Paramètres!$A$1:$I$89,5,0)</f>
        <v>194.60063999999997</v>
      </c>
      <c r="CA82" s="13">
        <f t="shared" si="93"/>
        <v>48.555668389578749</v>
      </c>
      <c r="CB82" s="20">
        <f t="shared" si="64"/>
        <v>423.49723711184964</v>
      </c>
      <c r="CC82" s="59">
        <f t="shared" si="65"/>
        <v>716.83057044518296</v>
      </c>
      <c r="CD82" s="59">
        <f ca="1">AVERAGE(OFFSET($CC$3,0,0,'Données projet'!$E$12+1,1))-AVERAGE(OFFSET($H$3,0,0,'Données projet'!$E$12+1,1))</f>
        <v>156.26368818265388</v>
      </c>
      <c r="CE82" s="59">
        <f t="shared" si="94"/>
        <v>56.347130462109817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4.8</v>
      </c>
      <c r="CT82" s="12">
        <f>IF('Données projet'!$A$140&gt;35,CT81+CS82-DB81,IF(A82&lt;'Données projet'!$A$140,$CQ$205^A82,IF(A82='Données projet'!$A$140,'Données projet'!$B$140,CT81+CS82-DB81)))</f>
        <v>201.19999999999996</v>
      </c>
      <c r="CU82" s="17">
        <f>CT82*VLOOKUP('Données projet'!$B$13,Paramètres!$A$1:$I$89,3,0)*VLOOKUP('Données projet'!$B$13,Paramètres!$A$1:$I$89,5,0)</f>
        <v>163.21343999999996</v>
      </c>
      <c r="CV82" s="13">
        <f t="shared" si="95"/>
        <v>41.566474822990045</v>
      </c>
      <c r="CW82" s="20">
        <f t="shared" si="67"/>
        <v>356.65835165004091</v>
      </c>
      <c r="CX82" s="59">
        <f t="shared" si="68"/>
        <v>649.99168498337417</v>
      </c>
      <c r="CY82" s="59">
        <f ca="1">AVERAGE(OFFSET($CX$3,0,0,'Données projet'!$E$13+1,1))-AVERAGE(OFFSET($H$3,0,0,'Données projet'!$E$13+1,1))</f>
        <v>112.78807760743126</v>
      </c>
      <c r="CZ82" s="59">
        <f t="shared" si="96"/>
        <v>37.867745922003564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2.5</v>
      </c>
      <c r="DO82" s="12">
        <f>IF('Données projet'!$A$166&gt;35,DO81+DN82-DW81,IF(A82&lt;'Données projet'!$A$166,$DL$205^A82,IF(A82='Données projet'!$A$166,'Données projet'!$B$166,DO81+DN82-DW81)))</f>
        <v>223.49999999999991</v>
      </c>
      <c r="DP82" s="17">
        <f>DO82*VLOOKUP('Données projet'!$B$14,Paramètres!$A$1:$I$89,3,0)*VLOOKUP('Données projet'!$B$14,Paramètres!$A$1:$I$89,5,0)</f>
        <v>149.92379999999994</v>
      </c>
      <c r="DQ82" s="13">
        <f t="shared" si="97"/>
        <v>38.561268385344221</v>
      </c>
      <c r="DR82" s="20">
        <f t="shared" si="70"/>
        <v>328.27816077114107</v>
      </c>
      <c r="DS82" s="59">
        <f t="shared" si="71"/>
        <v>621.61149410447433</v>
      </c>
      <c r="DT82" s="59">
        <f ca="1">AVERAGE(OFFSET($DS$3,0,0,'Données projet'!$E$14+1,1))-AVERAGE(OFFSET($H$3,0,0,'Données projet'!$E$14+1,1))</f>
        <v>107.15837202366862</v>
      </c>
      <c r="DU82" s="59">
        <f t="shared" si="98"/>
        <v>139.67031833740026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1.4568509893018777</v>
      </c>
      <c r="EC82" s="21">
        <f>EXP(-LN(2)/2)*EC81+(1-EXP(-LN(2)/2))/(LN(2)/2)*DW82*DZ82*VLOOKUP('Données projet'!$B$14,Paramètres!$A$1:$I$89,3,0)*0.475*44/12</f>
        <v>2.8446912377851778E-7</v>
      </c>
      <c r="ED82" s="22">
        <f t="shared" si="72"/>
        <v>1.4568512737710015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7.7</v>
      </c>
      <c r="EJ82" s="12">
        <f>IF('Données projet'!$A$192&gt;35,EJ81+EI82-ER81,IF(A82&lt;'Données projet'!$A$192,$EG$205^A82,IF(A82='Données projet'!$A$192,'Données projet'!$B$192,EJ81+EI82-ER81)))</f>
        <v>326.79999999999984</v>
      </c>
      <c r="EK82" s="17">
        <f>EJ82*VLOOKUP('Données projet'!$B$15,Paramètres!$A$1:$I$89,3,0)*VLOOKUP('Données projet'!$B$15,Paramètres!$A$1:$I$89,5,0)</f>
        <v>152.94239999999994</v>
      </c>
      <c r="EL82" s="13">
        <f t="shared" si="99"/>
        <v>39.246498705676878</v>
      </c>
      <c r="EM82" s="20">
        <f t="shared" si="73"/>
        <v>334.72899857905378</v>
      </c>
      <c r="EN82" s="59">
        <f t="shared" si="74"/>
        <v>628.06233191238709</v>
      </c>
      <c r="EO82" s="59">
        <f ca="1">AVERAGE(OFFSET($EN$3,0,0,'Données projet'!$E$15+1,1))-AVERAGE(OFFSET($H$3,0,0,'Données projet'!$E$15+1,1))</f>
        <v>123.60520571614535</v>
      </c>
      <c r="EP82" s="59">
        <f t="shared" si="100"/>
        <v>119.00926870519527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0.32864620500855168</v>
      </c>
      <c r="EW82" s="21">
        <f>EXP(-LN(2)/25)*EW81+(1-EXP(-LN(2)/25))/(LN(2)/25)*Calculateur!ER82*Calculateur!ET82*VLOOKUP('Données projet'!$B$15,Paramètres!$A$1:$I$89,3,0)*0.475*44/12</f>
        <v>1.2277627888353095</v>
      </c>
      <c r="EX82" s="21">
        <f>EXP(-LN(2)/2)*EX81+(1-EXP(-LN(2)/2))/(LN(2)/2)*ER82*EU82*VLOOKUP('Données projet'!$B$15,Paramètres!$A$1:$I$89,3,0)*0.475*44/12</f>
        <v>2.576736299071196E-7</v>
      </c>
      <c r="EY82" s="22">
        <f t="shared" si="75"/>
        <v>1.5564092515174912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11.9</v>
      </c>
      <c r="FE82" s="12">
        <f>IF('Données projet'!$A$218&gt;35,FE81+FD82-FM81,IF(A82&lt;'Données projet'!$A$218,$FB$205^A82,IF(A82='Données projet'!$A$218,'Données projet'!$B$218,FE81+FD82-FM81)))</f>
        <v>590.0999999999998</v>
      </c>
      <c r="FF82" s="17">
        <f>FE82*VLOOKUP('Données projet'!$B$16,Paramètres!$A$1:$I$89,3,0)*VLOOKUP('Données projet'!$B$16,Paramètres!$A$1:$I$89,5,0)</f>
        <v>283.83809999999994</v>
      </c>
      <c r="FG82" s="13">
        <f t="shared" si="101"/>
        <v>67.777465943233139</v>
      </c>
      <c r="FH82" s="20">
        <f t="shared" si="76"/>
        <v>612.39711068446434</v>
      </c>
      <c r="FI82" s="59">
        <f t="shared" si="77"/>
        <v>905.73044401779771</v>
      </c>
      <c r="FJ82" s="59">
        <f ca="1">AVERAGE(OFFSET($FI$3,0,0,'Données projet'!$E$16+1,1))-AVERAGE(OFFSET($H$3,0,0,'Données projet'!$E$16+1,1))</f>
        <v>197.66963254934603</v>
      </c>
      <c r="FK82" s="59">
        <f t="shared" si="102"/>
        <v>158.08388141976138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1.0106661510105497</v>
      </c>
      <c r="FR82" s="21">
        <f>EXP(-LN(2)/25)*FR81+(1-EXP(-LN(2)/25))/(LN(2)/25)*Calculateur!FM82*Calculateur!FO82*VLOOKUP('Données projet'!$B$16,Paramètres!$A$1:$I$89,3,0)*0.475*44/12</f>
        <v>1.3656756330160211</v>
      </c>
      <c r="FS82" s="21">
        <f>EXP(-LN(2)/2)*FS81+(1-EXP(-LN(2)/2))/(LN(2)/2)*FM82*FP82*VLOOKUP('Données projet'!$B$16,Paramètres!$A$1:$I$89,3,0)*0.475*44/12</f>
        <v>3.4889063305680062E-7</v>
      </c>
      <c r="FT82" s="22">
        <f t="shared" si="78"/>
        <v>2.3763421329172041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6</v>
      </c>
      <c r="FZ82" s="12">
        <f>IF('Données projet'!$A$244&gt;35,FZ81+FY82-GH81,IF(A82&lt;'Données projet'!$A$244,$FW$205^A82,IF(A82='Données projet'!$A$244,'Données projet'!$B$244,FZ81+FY82-GH81)))</f>
        <v>371.00000000000006</v>
      </c>
      <c r="GA82" s="17">
        <f>FZ82*VLOOKUP('Données projet'!$B$17,Paramètres!$A$1:$I$89,3,0)*VLOOKUP('Données projet'!$B$17,Paramètres!$A$1:$I$89,5,0)</f>
        <v>221.85800000000003</v>
      </c>
      <c r="GB82" s="13">
        <f t="shared" si="103"/>
        <v>54.518514970322535</v>
      </c>
      <c r="GC82" s="20">
        <f t="shared" si="79"/>
        <v>481.35576357331178</v>
      </c>
      <c r="GD82" s="59">
        <f t="shared" si="80"/>
        <v>774.68909690664509</v>
      </c>
      <c r="GE82" s="59">
        <f ca="1">AVERAGE(OFFSET($GD$3,0,0,'Données projet'!$E$17+1,1))-AVERAGE(OFFSET($H$3,0,0,'Données projet'!$E$17+1,1))</f>
        <v>165.39579887388538</v>
      </c>
      <c r="GF82" s="59">
        <f t="shared" si="104"/>
        <v>155.89639262545802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1.873543433565072</v>
      </c>
      <c r="GN82" s="21">
        <f>EXP(-LN(2)/2)*GN81+(1-EXP(-LN(2)/2))/(LN(2)/2)*GH82*GK82*VLOOKUP('Données projet'!$B$17,Paramètres!$A$1:$I$89,3,0)*0.475*44/12</f>
        <v>5.8499976346472801E-7</v>
      </c>
      <c r="GO82" s="21">
        <f t="shared" si="81"/>
        <v>1.8735440185648355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4.8</v>
      </c>
      <c r="GU82" s="12">
        <f>IF('Données projet'!$A$270&gt;35,GU81+GT82-HC81,IF(A82&lt;'Données projet'!$A$270,$GR$205^A82,IF(A82='Données projet'!$A$270,'Données projet'!$B$270,GU81+GT82-HC81)))</f>
        <v>201.19999999999996</v>
      </c>
      <c r="GV82" s="17">
        <f>GU82*VLOOKUP('Données projet'!$B$18,Paramètres!$A$1:$I$89,3,0)*VLOOKUP('Données projet'!$B$18,Paramètres!$A$1:$I$89,5,0)</f>
        <v>216.57167999999996</v>
      </c>
      <c r="GW82" s="13">
        <f t="shared" si="105"/>
        <v>53.369077564091015</v>
      </c>
      <c r="GX82" s="20">
        <f t="shared" si="82"/>
        <v>470.14681942412517</v>
      </c>
      <c r="GY82" s="59">
        <f t="shared" si="83"/>
        <v>763.48015275745843</v>
      </c>
      <c r="GZ82" s="59">
        <f ca="1">AVERAGE(OFFSET($GY$3,0,0,'Données projet'!$E$18+1,1))-AVERAGE(OFFSET($H$3,0,0,'Données projet'!$E$18+1,1))</f>
        <v>186.60545265015247</v>
      </c>
      <c r="HA82" s="59">
        <f t="shared" si="106"/>
        <v>69.239647548491234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0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0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514</v>
      </c>
      <c r="L83" s="12">
        <f>VLOOKUP(A83,'Données projet'!$A$35:$I$55,9,0)</f>
        <v>8.3000000000000007</v>
      </c>
      <c r="M83" s="12">
        <f t="array" ref="M83">INDEX(L:L,MIN(IF(ISNUMBER(L83:L279),ROW(L83:L279),"")))</f>
        <v>8.3000000000000007</v>
      </c>
      <c r="N83" s="13">
        <f>IF('Données projet'!$A$36&gt;35,N82+M83-V82,IF(A83&lt;'Données projet'!$A$36,$K$205^A83,IF(A83='Données projet'!$A$36,'Données projet'!$B$36,N82+M83-V82)))</f>
        <v>514.00000000000034</v>
      </c>
      <c r="O83" s="13">
        <f>N83*VLOOKUP('Données projet'!$B$9,Paramètres!$A$1:$I$89,3,0)*VLOOKUP('Données projet'!$B$9,Paramètres!$A$1:$I$89,5,0)</f>
        <v>287.32600000000019</v>
      </c>
      <c r="P83" s="13">
        <f t="shared" si="87"/>
        <v>68.512868389632118</v>
      </c>
      <c r="Q83" s="20">
        <f t="shared" si="54"/>
        <v>619.75269577860956</v>
      </c>
      <c r="R83" s="59">
        <f t="shared" si="55"/>
        <v>913.08602911194293</v>
      </c>
      <c r="S83" s="59">
        <f ca="1">AVERAGE(OFFSET($R$3,0,0,'Données projet'!$E$9+1,1))-AVERAGE(OFFSET($H$3,0,0,'Données projet'!$E$9+1,1))</f>
        <v>235.10258076192054</v>
      </c>
      <c r="T83" s="59">
        <f t="shared" si="88"/>
        <v>233.47316052603765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514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1.2727388145433118</v>
      </c>
      <c r="AA83" s="21">
        <f>EXP(-LN(2)/25)*AA82+(1-EXP(-LN(2)/25))/(LN(2)/25)*Calculateur!V83*Calculateur!X83*VLOOKUP('Données projet'!$B$9,Paramètres!$A$1:$I$89,3,0)*0.475*44/12</f>
        <v>4.6087211622006663</v>
      </c>
      <c r="AB83" s="21">
        <f>EXP(-LN(2)/2)*AB82+(1-EXP(-LN(2)/2))/(LN(2)/2)*V83*Y83*VLOOKUP('Données projet'!$B$9,Paramètres!$A$1:$I$89,3,0)*0.475*44/12</f>
        <v>7.1889405616128126E-7</v>
      </c>
      <c r="AC83" s="22">
        <f t="shared" si="57"/>
        <v>5.881460695638034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373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373.00000000000023</v>
      </c>
      <c r="AJ83" s="13">
        <f>AI83*VLOOKUP('Données projet'!$B$10,Paramètres!$A$1:$I$89,3,0)*VLOOKUP('Données projet'!$B$10,Paramètres!$A$1:$I$89,5,0)</f>
        <v>203.6580000000001</v>
      </c>
      <c r="AK83" s="13">
        <f t="shared" si="89"/>
        <v>50.547235424843521</v>
      </c>
      <c r="AL83" s="20">
        <f t="shared" si="58"/>
        <v>442.74078503160263</v>
      </c>
      <c r="AM83" s="59">
        <f t="shared" si="59"/>
        <v>736.07411836493588</v>
      </c>
      <c r="AN83" s="59">
        <f ca="1">AVERAGE(OFFSET($AM$3,0,0,'Données projet'!$E$10+1,1))-AVERAGE(OFFSET($H$3,0,0,'Données projet'!$E$10+1,1))</f>
        <v>168.72306536277267</v>
      </c>
      <c r="AO83" s="59">
        <f t="shared" si="90"/>
        <v>203.35476578922339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373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1.1301274886008266</v>
      </c>
      <c r="AV83" s="21">
        <f>EXP(-LN(2)/25)*AV82+(1-EXP(-LN(2)/25))/(LN(2)/25)*Calculateur!AQ83*Calculateur!AS83*VLOOKUP('Données projet'!$B$10,Paramètres!$A$1:$I$89,3,0)*0.475*44/12</f>
        <v>5.7462553865969985</v>
      </c>
      <c r="AW83" s="21">
        <f>EXP(-LN(2)/2)*AW82+(1-EXP(-LN(2)/2))/(LN(2)/2)*AQ83*AT83*VLOOKUP('Données projet'!$B$10,Paramètres!$A$1:$I$89,3,0)*0.475*44/12</f>
        <v>5.967571324732681E-7</v>
      </c>
      <c r="AX83" s="21">
        <f t="shared" si="60"/>
        <v>6.8763834719549575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377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377.00000000000006</v>
      </c>
      <c r="BE83" s="13">
        <f>BD83*VLOOKUP('Données projet'!$B$11,Paramètres!$A$1:$I$89,3,0)*VLOOKUP('Données projet'!$B$11,Paramètres!$A$1:$I$89,5,0)</f>
        <v>225.44600000000005</v>
      </c>
      <c r="BF83" s="13">
        <f t="shared" si="91"/>
        <v>55.296857101810794</v>
      </c>
      <c r="BG83" s="20">
        <f t="shared" si="61"/>
        <v>488.96047611898717</v>
      </c>
      <c r="BH83" s="59">
        <f t="shared" si="62"/>
        <v>782.29380945232049</v>
      </c>
      <c r="BI83" s="59">
        <f ca="1">AVERAGE(OFFSET($BH$3,0,0,'Données projet'!$E$11+1,1))-AVERAGE(OFFSET($H$3,0,0,'Données projet'!$E$11+1,1))</f>
        <v>165.39579887388538</v>
      </c>
      <c r="BJ83" s="59">
        <f t="shared" si="92"/>
        <v>155.89639262545802</v>
      </c>
      <c r="BK83" s="15">
        <f>IF(ISNA(VLOOKUP(A83,'Données projet'!$A$87:$I$107,3,0)),0,VLOOKUP(A83,'Données projet'!$A$87:$I$107,3,0))</f>
        <v>6</v>
      </c>
      <c r="BL83" s="21">
        <f>IF(ISNA(VLOOKUP(A83,'Données projet'!$A$87:$I$107,4,0)),0,VLOOKUP(A83,'Données projet'!$A$87:$I$107,4,0))</f>
        <v>377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1.822311289848868</v>
      </c>
      <c r="BR83" s="21">
        <f>EXP(-LN(2)/2)*BR82+(1-EXP(-LN(2)/2))/(LN(2)/2)*BL83*BO83*VLOOKUP('Données projet'!$B$11,Paramètres!$A$1:$I$89,3,0)*0.475*44/12</f>
        <v>4.136572997384355E-7</v>
      </c>
      <c r="BS83" s="22">
        <f t="shared" si="63"/>
        <v>1.8223117035061678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206</v>
      </c>
      <c r="BW83" s="12">
        <f>VLOOKUP(A83,'Données projet'!$A$113:$I$133,9,0)</f>
        <v>4.8</v>
      </c>
      <c r="BX83" s="12">
        <f t="array" ref="BX83">INDEX(BW:BW,MIN(IF(ISNUMBER(BW83:BW279),ROW(BW83:BW279),"")))</f>
        <v>4.8</v>
      </c>
      <c r="BY83" s="12">
        <f>IF('Données projet'!$A$114&gt;35,BY82+BX83-CG82,IF(A83&lt;'Données projet'!$A$114,$BV$205^A83,IF(A83='Données projet'!$A$114,'Données projet'!$B$114,BY82+BX83-CG82)))</f>
        <v>205.99999999999997</v>
      </c>
      <c r="BZ83" s="13">
        <f>BY83*VLOOKUP('Données projet'!$B$12,Paramètres!$A$1:$I$89,3,0)*VLOOKUP('Données projet'!$B$12,Paramètres!$A$1:$I$89,5,0)</f>
        <v>199.24319999999997</v>
      </c>
      <c r="CA83" s="13">
        <f t="shared" si="93"/>
        <v>49.577809310922227</v>
      </c>
      <c r="CB83" s="20">
        <f t="shared" si="64"/>
        <v>433.36325788318953</v>
      </c>
      <c r="CC83" s="59">
        <f t="shared" si="65"/>
        <v>726.69659121652285</v>
      </c>
      <c r="CD83" s="59">
        <f ca="1">AVERAGE(OFFSET($CC$3,0,0,'Données projet'!$E$12+1,1))-AVERAGE(OFFSET($H$3,0,0,'Données projet'!$E$12+1,1))</f>
        <v>156.26368818265388</v>
      </c>
      <c r="CE83" s="59">
        <f t="shared" si="94"/>
        <v>56.347130462109817</v>
      </c>
      <c r="CF83" s="15">
        <f>IF(ISNA(VLOOKUP(A83,'Données projet'!$A$113:$I$133,3,0)),0,VLOOKUP(A83,'Données projet'!$A$113:$I$133,3,0))</f>
        <v>5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206</v>
      </c>
      <c r="CR83" s="12">
        <f>VLOOKUP(A83,'Données projet'!$A$139:$I$159,9,0)</f>
        <v>4.8</v>
      </c>
      <c r="CS83" s="12">
        <f t="array" ref="CS83">INDEX(CR:CR,MIN(IF(ISNUMBER(CR83:CR279),ROW(CR83:CR279),"")))</f>
        <v>4.8</v>
      </c>
      <c r="CT83" s="12">
        <f>IF('Données projet'!$A$140&gt;35,CT82+CS83-DB82,IF(A83&lt;'Données projet'!$A$140,$CQ$205^A83,IF(A83='Données projet'!$A$140,'Données projet'!$B$140,CT82+CS83-DB82)))</f>
        <v>205.99999999999997</v>
      </c>
      <c r="CU83" s="17">
        <f>CT83*VLOOKUP('Données projet'!$B$13,Paramètres!$A$1:$I$89,3,0)*VLOOKUP('Données projet'!$B$13,Paramètres!$A$1:$I$89,5,0)</f>
        <v>167.10719999999998</v>
      </c>
      <c r="CV83" s="13">
        <f t="shared" si="95"/>
        <v>42.44148687166966</v>
      </c>
      <c r="CW83" s="20">
        <f t="shared" si="67"/>
        <v>364.96396296815789</v>
      </c>
      <c r="CX83" s="59">
        <f t="shared" si="68"/>
        <v>658.2972963014912</v>
      </c>
      <c r="CY83" s="59">
        <f ca="1">AVERAGE(OFFSET($CX$3,0,0,'Données projet'!$E$13+1,1))-AVERAGE(OFFSET($H$3,0,0,'Données projet'!$E$13+1,1))</f>
        <v>112.78807760743126</v>
      </c>
      <c r="CZ83" s="59">
        <f t="shared" si="96"/>
        <v>37.867745922003564</v>
      </c>
      <c r="DA83" s="15">
        <f>IF(ISNA(VLOOKUP(A83,'Données projet'!$A$139:$I$159,3,0)),0,VLOOKUP(A83,'Données projet'!$A$139:$I$159,3,0))</f>
        <v>5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226</v>
      </c>
      <c r="DM83" s="12">
        <f>VLOOKUP(A83,'Données projet'!$A$165:$I$185,9,0)</f>
        <v>2.5</v>
      </c>
      <c r="DN83" s="12">
        <f t="array" ref="DN83">INDEX(DM:DM,MIN(IF(ISNUMBER(DM83:DM279),ROW(DM83:DM279),"")))</f>
        <v>2.5</v>
      </c>
      <c r="DO83" s="12">
        <f>IF('Données projet'!$A$166&gt;35,DO82+DN83-DW82,IF(A83&lt;'Données projet'!$A$166,$DL$205^A83,IF(A83='Données projet'!$A$166,'Données projet'!$B$166,DO82+DN83-DW82)))</f>
        <v>225.99999999999991</v>
      </c>
      <c r="DP83" s="17">
        <f>DO83*VLOOKUP('Données projet'!$B$14,Paramètres!$A$1:$I$89,3,0)*VLOOKUP('Données projet'!$B$14,Paramètres!$A$1:$I$89,5,0)</f>
        <v>151.60079999999994</v>
      </c>
      <c r="DQ83" s="13">
        <f t="shared" si="97"/>
        <v>38.942148105194256</v>
      </c>
      <c r="DR83" s="20">
        <f t="shared" si="70"/>
        <v>331.86230128321324</v>
      </c>
      <c r="DS83" s="59">
        <f t="shared" si="71"/>
        <v>625.19563461654661</v>
      </c>
      <c r="DT83" s="59">
        <f ca="1">AVERAGE(OFFSET($DS$3,0,0,'Données projet'!$E$14+1,1))-AVERAGE(OFFSET($H$3,0,0,'Données projet'!$E$14+1,1))</f>
        <v>107.15837202366862</v>
      </c>
      <c r="DU83" s="59">
        <f t="shared" si="98"/>
        <v>139.67031833740026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226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1.4170133223869541</v>
      </c>
      <c r="EC83" s="21">
        <f>EXP(-LN(2)/2)*EC82+(1-EXP(-LN(2)/2))/(LN(2)/2)*DW83*DZ83*VLOOKUP('Données projet'!$B$14,Paramètres!$A$1:$I$89,3,0)*0.475*44/12</f>
        <v>2.0115004646198528E-7</v>
      </c>
      <c r="ED83" s="22">
        <f t="shared" si="72"/>
        <v>1.4170135235370005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334.5</v>
      </c>
      <c r="EH83" s="12">
        <f>VLOOKUP(A83,'Données projet'!$A$191:$I$211,9,0)</f>
        <v>7.7</v>
      </c>
      <c r="EI83" s="12">
        <f t="array" ref="EI83">INDEX(EH:EH,MIN(IF(ISNUMBER(EH83:EH279),ROW(EH83:EH279),"")))</f>
        <v>7.7</v>
      </c>
      <c r="EJ83" s="12">
        <f>IF('Données projet'!$A$192&gt;35,EJ82+EI83-ER82,IF(A83&lt;'Données projet'!$A$192,$EG$205^A83,IF(A83='Données projet'!$A$192,'Données projet'!$B$192,EJ82+EI83-ER82)))</f>
        <v>334.49999999999983</v>
      </c>
      <c r="EK83" s="17">
        <f>EJ83*VLOOKUP('Données projet'!$B$15,Paramètres!$A$1:$I$89,3,0)*VLOOKUP('Données projet'!$B$15,Paramètres!$A$1:$I$89,5,0)</f>
        <v>156.54599999999991</v>
      </c>
      <c r="EL83" s="13">
        <f t="shared" si="99"/>
        <v>40.062469306923084</v>
      </c>
      <c r="EM83" s="20">
        <f t="shared" si="73"/>
        <v>342.42641737622415</v>
      </c>
      <c r="EN83" s="59">
        <f t="shared" si="74"/>
        <v>635.75975070955747</v>
      </c>
      <c r="EO83" s="59">
        <f ca="1">AVERAGE(OFFSET($EN$3,0,0,'Données projet'!$E$15+1,1))-AVERAGE(OFFSET($H$3,0,0,'Données projet'!$E$15+1,1))</f>
        <v>123.60520571614535</v>
      </c>
      <c r="EP83" s="59">
        <f t="shared" si="100"/>
        <v>119.00926870519527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46.3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0.32220165338272583</v>
      </c>
      <c r="EW83" s="21">
        <f>EXP(-LN(2)/25)*EW82+(1-EXP(-LN(2)/25))/(LN(2)/25)*Calculateur!ER83*Calculateur!ET83*VLOOKUP('Données projet'!$B$15,Paramètres!$A$1:$I$89,3,0)*0.475*44/12</f>
        <v>1.1941895508093689</v>
      </c>
      <c r="EX83" s="21">
        <f>EXP(-LN(2)/2)*EX82+(1-EXP(-LN(2)/2))/(LN(2)/2)*ER83*EU83*VLOOKUP('Données projet'!$B$15,Paramètres!$A$1:$I$89,3,0)*0.475*44/12</f>
        <v>1.8220277104027705E-7</v>
      </c>
      <c r="EY83" s="22">
        <f t="shared" si="75"/>
        <v>1.5163913863948659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602</v>
      </c>
      <c r="FC83" s="12">
        <f>VLOOKUP(A83,'Données projet'!$A$217:$I$237,9,0)</f>
        <v>11.9</v>
      </c>
      <c r="FD83" s="12">
        <f t="array" ref="FD83">INDEX(FC:FC,MIN(IF(ISNUMBER(FC83:FC279),ROW(FC83:FC279),"")))</f>
        <v>11.9</v>
      </c>
      <c r="FE83" s="12">
        <f>IF('Données projet'!$A$218&gt;35,FE82+FD83-FM82,IF(A83&lt;'Données projet'!$A$218,$FB$205^A83,IF(A83='Données projet'!$A$218,'Données projet'!$B$218,FE82+FD83-FM82)))</f>
        <v>601.99999999999977</v>
      </c>
      <c r="FF83" s="17">
        <f>FE83*VLOOKUP('Données projet'!$B$16,Paramètres!$A$1:$I$89,3,0)*VLOOKUP('Données projet'!$B$16,Paramètres!$A$1:$I$89,5,0)</f>
        <v>289.5619999999999</v>
      </c>
      <c r="FG83" s="13">
        <f t="shared" si="101"/>
        <v>68.983768240479478</v>
      </c>
      <c r="FH83" s="20">
        <f t="shared" si="76"/>
        <v>624.46721301883497</v>
      </c>
      <c r="FI83" s="59">
        <f t="shared" si="77"/>
        <v>917.80054635216834</v>
      </c>
      <c r="FJ83" s="59">
        <f ca="1">AVERAGE(OFFSET($FI$3,0,0,'Données projet'!$E$16+1,1))-AVERAGE(OFFSET($H$3,0,0,'Données projet'!$E$16+1,1))</f>
        <v>197.66963254934603</v>
      </c>
      <c r="FK83" s="59">
        <f t="shared" si="102"/>
        <v>158.08388141976138</v>
      </c>
      <c r="FL83" s="15">
        <f>IF(ISNA(VLOOKUP(A83,'Données projet'!$A$217:$I$237,3,0)),0,VLOOKUP(A83,'Données projet'!$A$217:$I$237,3,0))</f>
        <v>6</v>
      </c>
      <c r="FM83" s="15">
        <f>IF(ISNA(VLOOKUP(A83,'Données projet'!$A$217:$I$237,4,0)),0,VLOOKUP(A83,'Données projet'!$A$217:$I$237,4,0))</f>
        <v>602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0.99084760423471596</v>
      </c>
      <c r="FR83" s="21">
        <f>EXP(-LN(2)/25)*FR82+(1-EXP(-LN(2)/25))/(LN(2)/25)*Calculateur!FM83*Calculateur!FO83*VLOOKUP('Données projet'!$B$16,Paramètres!$A$1:$I$89,3,0)*0.475*44/12</f>
        <v>1.3283311610134378</v>
      </c>
      <c r="FS83" s="21">
        <f>EXP(-LN(2)/2)*FS82+(1-EXP(-LN(2)/2))/(LN(2)/2)*FM83*FP83*VLOOKUP('Données projet'!$B$16,Paramètres!$A$1:$I$89,3,0)*0.475*44/12</f>
        <v>2.4670293252693115E-7</v>
      </c>
      <c r="FT83" s="22">
        <f t="shared" si="78"/>
        <v>2.319179011951086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377</v>
      </c>
      <c r="FX83" s="12">
        <f>VLOOKUP(A83,'Données projet'!$A$243:$I$263,9,0)</f>
        <v>6</v>
      </c>
      <c r="FY83" s="12">
        <f t="array" ref="FY83">INDEX(FX:FX,MIN(IF(ISNUMBER(FX83:FX279),ROW(FX83:FX279),"")))</f>
        <v>6</v>
      </c>
      <c r="FZ83" s="12">
        <f>IF('Données projet'!$A$244&gt;35,FZ82+FY83-GH82,IF(A83&lt;'Données projet'!$A$244,$FW$205^A83,IF(A83='Données projet'!$A$244,'Données projet'!$B$244,FZ82+FY83-GH82)))</f>
        <v>377.00000000000006</v>
      </c>
      <c r="GA83" s="17">
        <f>FZ83*VLOOKUP('Données projet'!$B$17,Paramètres!$A$1:$I$89,3,0)*VLOOKUP('Données projet'!$B$17,Paramètres!$A$1:$I$89,5,0)</f>
        <v>225.44600000000005</v>
      </c>
      <c r="GB83" s="13">
        <f t="shared" si="103"/>
        <v>55.296857101810794</v>
      </c>
      <c r="GC83" s="20">
        <f t="shared" si="79"/>
        <v>488.96047611898717</v>
      </c>
      <c r="GD83" s="59">
        <f t="shared" si="80"/>
        <v>782.29380945232049</v>
      </c>
      <c r="GE83" s="59">
        <f ca="1">AVERAGE(OFFSET($GD$3,0,0,'Données projet'!$E$17+1,1))-AVERAGE(OFFSET($H$3,0,0,'Données projet'!$E$17+1,1))</f>
        <v>165.39579887388538</v>
      </c>
      <c r="GF83" s="59">
        <f t="shared" si="104"/>
        <v>155.89639262545802</v>
      </c>
      <c r="GG83" s="15">
        <f>IF(ISNA(VLOOKUP(A83,'Données projet'!$A$243:$I$263,3,0)),0,VLOOKUP(A83,'Données projet'!$A$243:$I$263,3,0))</f>
        <v>6</v>
      </c>
      <c r="GH83" s="15">
        <f>IF(ISNA(VLOOKUP(A83,'Données projet'!$A$243:$I$263,4,0)),0,VLOOKUP(A83,'Données projet'!$A$243:$I$263,4,0))</f>
        <v>377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1.822311289848868</v>
      </c>
      <c r="GN83" s="21">
        <f>EXP(-LN(2)/2)*GN82+(1-EXP(-LN(2)/2))/(LN(2)/2)*GH83*GK83*VLOOKUP('Données projet'!$B$17,Paramètres!$A$1:$I$89,3,0)*0.475*44/12</f>
        <v>4.136572997384355E-7</v>
      </c>
      <c r="GO83" s="21">
        <f t="shared" si="81"/>
        <v>1.8223117035061678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206</v>
      </c>
      <c r="GS83" s="12">
        <f>VLOOKUP(A83,'Données projet'!$A$269:$I$289,9,0)</f>
        <v>4.8</v>
      </c>
      <c r="GT83" s="12">
        <f t="array" ref="GT83">INDEX(GS:GS,MIN(IF(ISNUMBER(GS83:GS279),ROW(GS83:GS279),"")))</f>
        <v>4.8</v>
      </c>
      <c r="GU83" s="12">
        <f>IF('Données projet'!$A$270&gt;35,GU82+GT83-HC82,IF(A83&lt;'Données projet'!$A$270,$GR$205^A83,IF(A83='Données projet'!$A$270,'Données projet'!$B$270,GU82+GT83-HC82)))</f>
        <v>205.99999999999997</v>
      </c>
      <c r="GV83" s="17">
        <f>GU83*VLOOKUP('Données projet'!$B$18,Paramètres!$A$1:$I$89,3,0)*VLOOKUP('Données projet'!$B$18,Paramètres!$A$1:$I$89,5,0)</f>
        <v>221.73839999999996</v>
      </c>
      <c r="GW83" s="13">
        <f t="shared" si="105"/>
        <v>54.492545120441747</v>
      </c>
      <c r="GX83" s="20">
        <f t="shared" si="82"/>
        <v>481.10222941810252</v>
      </c>
      <c r="GY83" s="59">
        <f t="shared" si="83"/>
        <v>774.43556275143578</v>
      </c>
      <c r="GZ83" s="59">
        <f ca="1">AVERAGE(OFFSET($GY$3,0,0,'Données projet'!$E$18+1,1))-AVERAGE(OFFSET($H$3,0,0,'Données projet'!$E$18+1,1))</f>
        <v>186.60545265015247</v>
      </c>
      <c r="HA83" s="59">
        <f t="shared" si="106"/>
        <v>69.239647548491234</v>
      </c>
      <c r="HB83" s="15">
        <f>IF(ISNA(VLOOKUP(A83,'Données projet'!$A$269:$I$289,3,0)),0,VLOOKUP(A83,'Données projet'!$A$269:$I$289,3,0))</f>
        <v>5</v>
      </c>
      <c r="HC83" s="15">
        <f>IF(ISNA(VLOOKUP(A83,'Données projet'!$A$269:$I$289,4,0)),0,VLOOKUP(A83,'Données projet'!$A$269:$I$289,4,0))</f>
        <v>28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0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0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3.4106051316484809E-13</v>
      </c>
      <c r="O84" s="13">
        <f>N84*VLOOKUP('Données projet'!$B$9,Paramètres!$A$1:$I$89,3,0)*VLOOKUP('Données projet'!$B$9,Paramètres!$A$1:$I$89,5,0)</f>
        <v>1.9065282685915009E-13</v>
      </c>
      <c r="P84" s="13">
        <f t="shared" si="87"/>
        <v>2.6568987209435707E-12</v>
      </c>
      <c r="Q84" s="20">
        <f t="shared" si="54"/>
        <v>4.959485612423072E-12</v>
      </c>
      <c r="R84" s="59">
        <f t="shared" si="55"/>
        <v>293.33333333333826</v>
      </c>
      <c r="S84" s="59">
        <f ca="1">AVERAGE(OFFSET($R$3,0,0,'Données projet'!$E$9+1,1))-AVERAGE(OFFSET($H$3,0,0,'Données projet'!$E$9+1,1))</f>
        <v>235.10258076192054</v>
      </c>
      <c r="T84" s="59">
        <f t="shared" si="88"/>
        <v>233.47316052603765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1.2477811826841416</v>
      </c>
      <c r="AA84" s="21">
        <f>EXP(-LN(2)/25)*AA83+(1-EXP(-LN(2)/25))/(LN(2)/25)*Calculateur!V84*Calculateur!X84*VLOOKUP('Données projet'!$B$9,Paramètres!$A$1:$I$89,3,0)*0.475*44/12</f>
        <v>4.4826954396581762</v>
      </c>
      <c r="AB84" s="21">
        <f>EXP(-LN(2)/2)*AB83+(1-EXP(-LN(2)/2))/(LN(2)/2)*V84*Y84*VLOOKUP('Données projet'!$B$9,Paramètres!$A$1:$I$89,3,0)*0.475*44/12</f>
        <v>5.0833486206634471E-7</v>
      </c>
      <c r="AC84" s="22">
        <f t="shared" si="57"/>
        <v>5.7304771306771798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2.2737367544323206E-13</v>
      </c>
      <c r="AJ84" s="13">
        <f>AI84*VLOOKUP('Données projet'!$B$10,Paramètres!$A$1:$I$89,3,0)*VLOOKUP('Données projet'!$B$10,Paramètres!$A$1:$I$89,5,0)</f>
        <v>1.2414602679200471E-13</v>
      </c>
      <c r="AK84" s="13">
        <f t="shared" si="89"/>
        <v>1.8186582995804361E-12</v>
      </c>
      <c r="AL84" s="20">
        <f t="shared" si="58"/>
        <v>3.3837175350986671E-12</v>
      </c>
      <c r="AM84" s="59">
        <f t="shared" si="59"/>
        <v>293.33333333333672</v>
      </c>
      <c r="AN84" s="59">
        <f ca="1">AVERAGE(OFFSET($AM$3,0,0,'Données projet'!$E$10+1,1))-AVERAGE(OFFSET($H$3,0,0,'Données projet'!$E$10+1,1))</f>
        <v>168.72306536277267</v>
      </c>
      <c r="AO84" s="59">
        <f t="shared" si="90"/>
        <v>203.35476578922339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1.1079663778590687</v>
      </c>
      <c r="AV84" s="21">
        <f>EXP(-LN(2)/25)*AV83+(1-EXP(-LN(2)/25))/(LN(2)/25)*Calculateur!AQ84*Calculateur!AS84*VLOOKUP('Données projet'!$B$10,Paramètres!$A$1:$I$89,3,0)*0.475*44/12</f>
        <v>5.5891237308680664</v>
      </c>
      <c r="AW84" s="21">
        <f>EXP(-LN(2)/2)*AW83+(1-EXP(-LN(2)/2))/(LN(2)/2)*AQ84*AT84*VLOOKUP('Données projet'!$B$10,Paramètres!$A$1:$I$89,3,0)*0.475*44/12</f>
        <v>4.2197101509328674E-7</v>
      </c>
      <c r="AX84" s="21">
        <f t="shared" si="60"/>
        <v>6.6970905306981505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5.6843418860808015E-14</v>
      </c>
      <c r="BE84" s="13">
        <f>BD84*VLOOKUP('Données projet'!$B$11,Paramètres!$A$1:$I$89,3,0)*VLOOKUP('Données projet'!$B$11,Paramètres!$A$1:$I$89,5,0)</f>
        <v>3.3992364478763198E-14</v>
      </c>
      <c r="BF84" s="13">
        <f t="shared" si="91"/>
        <v>5.790027782444094E-13</v>
      </c>
      <c r="BG84" s="20">
        <f t="shared" si="61"/>
        <v>1.0676332069095257E-12</v>
      </c>
      <c r="BH84" s="59">
        <f t="shared" si="62"/>
        <v>293.33333333333439</v>
      </c>
      <c r="BI84" s="59">
        <f ca="1">AVERAGE(OFFSET($BH$3,0,0,'Données projet'!$E$11+1,1))-AVERAGE(OFFSET($H$3,0,0,'Données projet'!$E$11+1,1))</f>
        <v>165.39579887388538</v>
      </c>
      <c r="BJ84" s="59">
        <f t="shared" si="92"/>
        <v>155.89639262545802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1.7724800917967649</v>
      </c>
      <c r="BR84" s="21">
        <f>EXP(-LN(2)/2)*BR83+(1-EXP(-LN(2)/2))/(LN(2)/2)*BL84*BO84*VLOOKUP('Données projet'!$B$11,Paramètres!$A$1:$I$89,3,0)*0.475*44/12</f>
        <v>2.9249988173236401E-7</v>
      </c>
      <c r="BS84" s="22">
        <f t="shared" si="63"/>
        <v>1.7724803842966466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4.3</v>
      </c>
      <c r="BY84" s="12">
        <f>IF('Données projet'!$A$114&gt;35,BY83+BX84-CG83,IF(A84&lt;'Données projet'!$A$114,$BV$205^A84,IF(A84='Données projet'!$A$114,'Données projet'!$B$114,BY83+BX84-CG83)))</f>
        <v>182.29999999999998</v>
      </c>
      <c r="BZ84" s="13">
        <f>BY84*VLOOKUP('Données projet'!$B$12,Paramètres!$A$1:$I$89,3,0)*VLOOKUP('Données projet'!$B$12,Paramètres!$A$1:$I$89,5,0)</f>
        <v>176.32055999999997</v>
      </c>
      <c r="CA84" s="13">
        <f t="shared" si="93"/>
        <v>44.502597181125708</v>
      </c>
      <c r="CB84" s="20">
        <f t="shared" si="64"/>
        <v>384.6003320904606</v>
      </c>
      <c r="CC84" s="59">
        <f t="shared" si="65"/>
        <v>677.93366542379385</v>
      </c>
      <c r="CD84" s="59">
        <f ca="1">AVERAGE(OFFSET($CC$3,0,0,'Données projet'!$E$12+1,1))-AVERAGE(OFFSET($H$3,0,0,'Données projet'!$E$12+1,1))</f>
        <v>156.26368818265388</v>
      </c>
      <c r="CE84" s="59">
        <f t="shared" si="94"/>
        <v>56.347130462109817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4.3</v>
      </c>
      <c r="CT84" s="12">
        <f>IF('Données projet'!$A$140&gt;35,CT83+CS84-DB83,IF(A84&lt;'Données projet'!$A$140,$CQ$205^A84,IF(A84='Données projet'!$A$140,'Données projet'!$B$140,CT83+CS84-DB83)))</f>
        <v>182.29999999999998</v>
      </c>
      <c r="CU84" s="17">
        <f>CT84*VLOOKUP('Données projet'!$B$13,Paramètres!$A$1:$I$89,3,0)*VLOOKUP('Données projet'!$B$13,Paramètres!$A$1:$I$89,5,0)</f>
        <v>147.88175999999999</v>
      </c>
      <c r="CV84" s="13">
        <f t="shared" si="95"/>
        <v>38.096810251796349</v>
      </c>
      <c r="CW84" s="20">
        <f t="shared" si="67"/>
        <v>323.91267652187861</v>
      </c>
      <c r="CX84" s="59">
        <f t="shared" si="68"/>
        <v>617.24600985521192</v>
      </c>
      <c r="CY84" s="59">
        <f ca="1">AVERAGE(OFFSET($CX$3,0,0,'Données projet'!$E$13+1,1))-AVERAGE(OFFSET($H$3,0,0,'Données projet'!$E$13+1,1))</f>
        <v>112.78807760743126</v>
      </c>
      <c r="CZ84" s="59">
        <f t="shared" si="96"/>
        <v>37.867745922003564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-8.5265128291212022E-14</v>
      </c>
      <c r="DP84" s="17">
        <f>DO84*VLOOKUP('Données projet'!$B$14,Paramètres!$A$1:$I$89,3,0)*VLOOKUP('Données projet'!$B$14,Paramètres!$A$1:$I$89,5,0)</f>
        <v>-5.7195848057745024E-14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107.15837202366862</v>
      </c>
      <c r="DU84" s="59">
        <f t="shared" si="98"/>
        <v>139.67031833740026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1.3782650185687908</v>
      </c>
      <c r="EC84" s="21">
        <f>EXP(-LN(2)/2)*EC83+(1-EXP(-LN(2)/2))/(LN(2)/2)*DW84*DZ84*VLOOKUP('Données projet'!$B$14,Paramètres!$A$1:$I$89,3,0)*0.475*44/12</f>
        <v>1.4223456188925889E-7</v>
      </c>
      <c r="ED84" s="22">
        <f t="shared" si="72"/>
        <v>1.3782651608033527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8.3000000000000007</v>
      </c>
      <c r="EJ84" s="12">
        <f>IF('Données projet'!$A$192&gt;35,EJ83+EI84-ER83,IF(A84&lt;'Données projet'!$A$192,$EG$205^A84,IF(A84='Données projet'!$A$192,'Données projet'!$B$192,EJ83+EI84-ER83)))</f>
        <v>296.49999999999983</v>
      </c>
      <c r="EK84" s="17">
        <f>EJ84*VLOOKUP('Données projet'!$B$15,Paramètres!$A$1:$I$89,3,0)*VLOOKUP('Données projet'!$B$15,Paramètres!$A$1:$I$89,5,0)</f>
        <v>138.76199999999992</v>
      </c>
      <c r="EL84" s="13">
        <f t="shared" si="99"/>
        <v>36.01325063671441</v>
      </c>
      <c r="EM84" s="20">
        <f t="shared" si="73"/>
        <v>304.40022819227744</v>
      </c>
      <c r="EN84" s="59">
        <f t="shared" si="74"/>
        <v>597.73356152561075</v>
      </c>
      <c r="EO84" s="59">
        <f ca="1">AVERAGE(OFFSET($EN$3,0,0,'Données projet'!$E$15+1,1))-AVERAGE(OFFSET($H$3,0,0,'Données projet'!$E$15+1,1))</f>
        <v>123.60520571614535</v>
      </c>
      <c r="EP84" s="59">
        <f t="shared" si="100"/>
        <v>119.00926870519527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0.31588347548349405</v>
      </c>
      <c r="EW84" s="21">
        <f>EXP(-LN(2)/25)*EW83+(1-EXP(-LN(2)/25))/(LN(2)/25)*Calculateur!ER84*Calculateur!ET84*VLOOKUP('Données projet'!$B$15,Paramètres!$A$1:$I$89,3,0)*0.475*44/12</f>
        <v>1.1615343747427875</v>
      </c>
      <c r="EX84" s="21">
        <f>EXP(-LN(2)/2)*EX83+(1-EXP(-LN(2)/2))/(LN(2)/2)*ER84*EU84*VLOOKUP('Données projet'!$B$15,Paramètres!$A$1:$I$89,3,0)*0.475*44/12</f>
        <v>1.288368149535598E-7</v>
      </c>
      <c r="EY84" s="22">
        <f t="shared" si="75"/>
        <v>1.4774179790630966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-2.2737367544323206E-13</v>
      </c>
      <c r="FF84" s="17">
        <f>FE84*VLOOKUP('Données projet'!$B$16,Paramètres!$A$1:$I$89,3,0)*VLOOKUP('Données projet'!$B$16,Paramètres!$A$1:$I$89,5,0)</f>
        <v>-1.0936673788819462E-13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197.66963254934603</v>
      </c>
      <c r="FK84" s="59">
        <f t="shared" si="102"/>
        <v>158.08388141976138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0.97141768707303644</v>
      </c>
      <c r="FR84" s="21">
        <f>EXP(-LN(2)/25)*FR83+(1-EXP(-LN(2)/25))/(LN(2)/25)*Calculateur!FM84*Calculateur!FO84*VLOOKUP('Données projet'!$B$16,Paramètres!$A$1:$I$89,3,0)*0.475*44/12</f>
        <v>1.2920078755616256</v>
      </c>
      <c r="FS84" s="21">
        <f>EXP(-LN(2)/2)*FS83+(1-EXP(-LN(2)/2))/(LN(2)/2)*FM84*FP84*VLOOKUP('Données projet'!$B$16,Paramètres!$A$1:$I$89,3,0)*0.475*44/12</f>
        <v>1.7444531652840031E-7</v>
      </c>
      <c r="FT84" s="22">
        <f t="shared" si="78"/>
        <v>2.2634257370799786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5.6843418860808015E-14</v>
      </c>
      <c r="GA84" s="17">
        <f>FZ84*VLOOKUP('Données projet'!$B$17,Paramètres!$A$1:$I$89,3,0)*VLOOKUP('Données projet'!$B$17,Paramètres!$A$1:$I$89,5,0)</f>
        <v>3.3992364478763198E-14</v>
      </c>
      <c r="GB84" s="13">
        <f t="shared" si="103"/>
        <v>5.790027782444094E-13</v>
      </c>
      <c r="GC84" s="20">
        <f t="shared" si="79"/>
        <v>1.0676332069095257E-12</v>
      </c>
      <c r="GD84" s="59">
        <f t="shared" si="80"/>
        <v>293.33333333333439</v>
      </c>
      <c r="GE84" s="59">
        <f ca="1">AVERAGE(OFFSET($GD$3,0,0,'Données projet'!$E$17+1,1))-AVERAGE(OFFSET($H$3,0,0,'Données projet'!$E$17+1,1))</f>
        <v>165.39579887388538</v>
      </c>
      <c r="GF84" s="59">
        <f t="shared" si="104"/>
        <v>155.89639262545802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1.7724800917967649</v>
      </c>
      <c r="GN84" s="21">
        <f>EXP(-LN(2)/2)*GN83+(1-EXP(-LN(2)/2))/(LN(2)/2)*GH84*GK84*VLOOKUP('Données projet'!$B$17,Paramètres!$A$1:$I$89,3,0)*0.475*44/12</f>
        <v>2.9249988173236401E-7</v>
      </c>
      <c r="GO84" s="21">
        <f t="shared" si="81"/>
        <v>1.7724803842966466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4.3</v>
      </c>
      <c r="GU84" s="12">
        <f>IF('Données projet'!$A$270&gt;35,GU83+GT84-HC83,IF(A84&lt;'Données projet'!$A$270,$GR$205^A84,IF(A84='Données projet'!$A$270,'Données projet'!$B$270,GU83+GT84-HC83)))</f>
        <v>182.29999999999998</v>
      </c>
      <c r="GV84" s="17">
        <f>GU84*VLOOKUP('Données projet'!$B$18,Paramètres!$A$1:$I$89,3,0)*VLOOKUP('Données projet'!$B$18,Paramètres!$A$1:$I$89,5,0)</f>
        <v>196.22771999999998</v>
      </c>
      <c r="GW84" s="13">
        <f t="shared" si="105"/>
        <v>48.91421824753926</v>
      </c>
      <c r="GX84" s="20">
        <f t="shared" si="82"/>
        <v>426.95554244779743</v>
      </c>
      <c r="GY84" s="59">
        <f t="shared" si="83"/>
        <v>720.28887578113074</v>
      </c>
      <c r="GZ84" s="59">
        <f ca="1">AVERAGE(OFFSET($GY$3,0,0,'Données projet'!$E$18+1,1))-AVERAGE(OFFSET($H$3,0,0,'Données projet'!$E$18+1,1))</f>
        <v>186.60545265015247</v>
      </c>
      <c r="HA84" s="59">
        <f t="shared" si="106"/>
        <v>69.239647548491234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0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0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3.4106051316484809E-13</v>
      </c>
      <c r="O85" s="13">
        <f>N85*VLOOKUP('Données projet'!$B$9,Paramètres!$A$1:$I$89,3,0)*VLOOKUP('Données projet'!$B$9,Paramètres!$A$1:$I$89,5,0)</f>
        <v>1.9065282685915009E-13</v>
      </c>
      <c r="P85" s="13">
        <f t="shared" si="87"/>
        <v>2.6568987209435707E-12</v>
      </c>
      <c r="Q85" s="20">
        <f t="shared" si="54"/>
        <v>4.959485612423072E-12</v>
      </c>
      <c r="R85" s="59">
        <f t="shared" si="55"/>
        <v>293.33333333333826</v>
      </c>
      <c r="S85" s="59">
        <f ca="1">AVERAGE(OFFSET($R$3,0,0,'Données projet'!$E$9+1,1))-AVERAGE(OFFSET($H$3,0,0,'Données projet'!$E$9+1,1))</f>
        <v>235.10258076192054</v>
      </c>
      <c r="T85" s="59">
        <f t="shared" si="88"/>
        <v>233.47316052603765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1.2233129547630774</v>
      </c>
      <c r="AA85" s="21">
        <f>EXP(-LN(2)/25)*AA84+(1-EXP(-LN(2)/25))/(LN(2)/25)*Calculateur!V85*Calculateur!X85*VLOOKUP('Données projet'!$B$9,Paramètres!$A$1:$I$89,3,0)*0.475*44/12</f>
        <v>4.3601158971260157</v>
      </c>
      <c r="AB85" s="21">
        <f>EXP(-LN(2)/2)*AB84+(1-EXP(-LN(2)/2))/(LN(2)/2)*V85*Y85*VLOOKUP('Données projet'!$B$9,Paramètres!$A$1:$I$89,3,0)*0.475*44/12</f>
        <v>3.5944702808064063E-7</v>
      </c>
      <c r="AC85" s="22">
        <f t="shared" si="57"/>
        <v>5.5834292113361208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2.2737367544323206E-13</v>
      </c>
      <c r="AJ85" s="13">
        <f>AI85*VLOOKUP('Données projet'!$B$10,Paramètres!$A$1:$I$89,3,0)*VLOOKUP('Données projet'!$B$10,Paramètres!$A$1:$I$89,5,0)</f>
        <v>1.2414602679200471E-13</v>
      </c>
      <c r="AK85" s="13">
        <f t="shared" si="89"/>
        <v>1.8186582995804361E-12</v>
      </c>
      <c r="AL85" s="20">
        <f t="shared" si="58"/>
        <v>3.3837175350986671E-12</v>
      </c>
      <c r="AM85" s="59">
        <f t="shared" si="59"/>
        <v>293.33333333333672</v>
      </c>
      <c r="AN85" s="59">
        <f ca="1">AVERAGE(OFFSET($AM$3,0,0,'Données projet'!$E$10+1,1))-AVERAGE(OFFSET($H$3,0,0,'Données projet'!$E$10+1,1))</f>
        <v>168.72306536277267</v>
      </c>
      <c r="AO85" s="59">
        <f t="shared" si="90"/>
        <v>203.35476578922339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1.0862398329820138</v>
      </c>
      <c r="AV85" s="21">
        <f>EXP(-LN(2)/25)*AV84+(1-EXP(-LN(2)/25))/(LN(2)/25)*Calculateur!AQ85*Calculateur!AS85*VLOOKUP('Données projet'!$B$10,Paramètres!$A$1:$I$89,3,0)*0.475*44/12</f>
        <v>5.4362888485282364</v>
      </c>
      <c r="AW85" s="21">
        <f>EXP(-LN(2)/2)*AW84+(1-EXP(-LN(2)/2))/(LN(2)/2)*AQ85*AT85*VLOOKUP('Données projet'!$B$10,Paramètres!$A$1:$I$89,3,0)*0.475*44/12</f>
        <v>2.9837856623663405E-7</v>
      </c>
      <c r="AX85" s="21">
        <f t="shared" si="60"/>
        <v>6.5225289798888166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5.6843418860808015E-14</v>
      </c>
      <c r="BE85" s="13">
        <f>BD85*VLOOKUP('Données projet'!$B$11,Paramètres!$A$1:$I$89,3,0)*VLOOKUP('Données projet'!$B$11,Paramètres!$A$1:$I$89,5,0)</f>
        <v>3.3992364478763198E-14</v>
      </c>
      <c r="BF85" s="13">
        <f t="shared" si="91"/>
        <v>5.790027782444094E-13</v>
      </c>
      <c r="BG85" s="20">
        <f t="shared" si="61"/>
        <v>1.0676332069095257E-12</v>
      </c>
      <c r="BH85" s="59">
        <f t="shared" si="62"/>
        <v>293.33333333333439</v>
      </c>
      <c r="BI85" s="59">
        <f ca="1">AVERAGE(OFFSET($BH$3,0,0,'Données projet'!$E$11+1,1))-AVERAGE(OFFSET($H$3,0,0,'Données projet'!$E$11+1,1))</f>
        <v>165.39579887388538</v>
      </c>
      <c r="BJ85" s="59">
        <f t="shared" si="92"/>
        <v>155.89639262545802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1.7240115304759054</v>
      </c>
      <c r="BR85" s="21">
        <f>EXP(-LN(2)/2)*BR84+(1-EXP(-LN(2)/2))/(LN(2)/2)*BL85*BO85*VLOOKUP('Données projet'!$B$11,Paramètres!$A$1:$I$89,3,0)*0.475*44/12</f>
        <v>2.0682864986921775E-7</v>
      </c>
      <c r="BS85" s="22">
        <f t="shared" si="63"/>
        <v>1.7240117373045551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4.3</v>
      </c>
      <c r="BY85" s="12">
        <f>IF('Données projet'!$A$114&gt;35,BY84+BX85-CG84,IF(A85&lt;'Données projet'!$A$114,$BV$205^A85,IF(A85='Données projet'!$A$114,'Données projet'!$B$114,BY84+BX85-CG84)))</f>
        <v>186.6</v>
      </c>
      <c r="BZ85" s="13">
        <f>BY85*VLOOKUP('Données projet'!$B$12,Paramètres!$A$1:$I$89,3,0)*VLOOKUP('Données projet'!$B$12,Paramètres!$A$1:$I$89,5,0)</f>
        <v>180.47952000000001</v>
      </c>
      <c r="CA85" s="13">
        <f t="shared" si="93"/>
        <v>45.428854007451079</v>
      </c>
      <c r="CB85" s="20">
        <f t="shared" si="64"/>
        <v>393.45708472964401</v>
      </c>
      <c r="CC85" s="59">
        <f t="shared" si="65"/>
        <v>686.79041806297732</v>
      </c>
      <c r="CD85" s="59">
        <f ca="1">AVERAGE(OFFSET($CC$3,0,0,'Données projet'!$E$12+1,1))-AVERAGE(OFFSET($H$3,0,0,'Données projet'!$E$12+1,1))</f>
        <v>156.26368818265388</v>
      </c>
      <c r="CE85" s="59">
        <f t="shared" si="94"/>
        <v>56.347130462109817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4.3</v>
      </c>
      <c r="CT85" s="12">
        <f>IF('Données projet'!$A$140&gt;35,CT84+CS85-DB84,IF(A85&lt;'Données projet'!$A$140,$CQ$205^A85,IF(A85='Données projet'!$A$140,'Données projet'!$B$140,CT84+CS85-DB84)))</f>
        <v>186.6</v>
      </c>
      <c r="CU85" s="17">
        <f>CT85*VLOOKUP('Données projet'!$B$13,Paramètres!$A$1:$I$89,3,0)*VLOOKUP('Données projet'!$B$13,Paramètres!$A$1:$I$89,5,0)</f>
        <v>151.36992000000001</v>
      </c>
      <c r="CV85" s="13">
        <f t="shared" si="95"/>
        <v>38.889739941120524</v>
      </c>
      <c r="CW85" s="20">
        <f t="shared" si="67"/>
        <v>331.36890773078488</v>
      </c>
      <c r="CX85" s="59">
        <f t="shared" si="68"/>
        <v>624.7022410641182</v>
      </c>
      <c r="CY85" s="59">
        <f ca="1">AVERAGE(OFFSET($CX$3,0,0,'Données projet'!$E$13+1,1))-AVERAGE(OFFSET($H$3,0,0,'Données projet'!$E$13+1,1))</f>
        <v>112.78807760743126</v>
      </c>
      <c r="CZ85" s="59">
        <f t="shared" si="96"/>
        <v>37.867745922003564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-8.5265128291212022E-14</v>
      </c>
      <c r="DP85" s="17">
        <f>DO85*VLOOKUP('Données projet'!$B$14,Paramètres!$A$1:$I$89,3,0)*VLOOKUP('Données projet'!$B$14,Paramètres!$A$1:$I$89,5,0)</f>
        <v>-5.7195848057745024E-14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107.15837202366862</v>
      </c>
      <c r="DU85" s="59">
        <f t="shared" si="98"/>
        <v>139.67031833740026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1.3405762891562198</v>
      </c>
      <c r="EC85" s="21">
        <f>EXP(-LN(2)/2)*EC84+(1-EXP(-LN(2)/2))/(LN(2)/2)*DW85*DZ85*VLOOKUP('Données projet'!$B$14,Paramètres!$A$1:$I$89,3,0)*0.475*44/12</f>
        <v>1.0057502323099264E-7</v>
      </c>
      <c r="ED85" s="22">
        <f t="shared" si="72"/>
        <v>1.340576389731243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8.3000000000000007</v>
      </c>
      <c r="EJ85" s="12">
        <f>IF('Données projet'!$A$192&gt;35,EJ84+EI85-ER84,IF(A85&lt;'Données projet'!$A$192,$EG$205^A85,IF(A85='Données projet'!$A$192,'Données projet'!$B$192,EJ84+EI85-ER84)))</f>
        <v>304.79999999999984</v>
      </c>
      <c r="EK85" s="17">
        <f>EJ85*VLOOKUP('Données projet'!$B$15,Paramètres!$A$1:$I$89,3,0)*VLOOKUP('Données projet'!$B$15,Paramètres!$A$1:$I$89,5,0)</f>
        <v>142.64639999999991</v>
      </c>
      <c r="EL85" s="13">
        <f t="shared" si="99"/>
        <v>36.902596251289559</v>
      </c>
      <c r="EM85" s="20">
        <f t="shared" si="73"/>
        <v>312.71450180432913</v>
      </c>
      <c r="EN85" s="59">
        <f t="shared" si="74"/>
        <v>606.04783513766245</v>
      </c>
      <c r="EO85" s="59">
        <f ca="1">AVERAGE(OFFSET($EN$3,0,0,'Données projet'!$E$15+1,1))-AVERAGE(OFFSET($H$3,0,0,'Données projet'!$E$15+1,1))</f>
        <v>123.60520571614535</v>
      </c>
      <c r="EP85" s="59">
        <f t="shared" si="100"/>
        <v>119.00926870519527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0.30968919319915822</v>
      </c>
      <c r="EW85" s="21">
        <f>EXP(-LN(2)/25)*EW84+(1-EXP(-LN(2)/25))/(LN(2)/25)*Calculateur!ER85*Calculateur!ET85*VLOOKUP('Données projet'!$B$15,Paramètres!$A$1:$I$89,3,0)*0.475*44/12</f>
        <v>1.1297721561830079</v>
      </c>
      <c r="EX85" s="21">
        <f>EXP(-LN(2)/2)*EX84+(1-EXP(-LN(2)/2))/(LN(2)/2)*ER85*EU85*VLOOKUP('Données projet'!$B$15,Paramètres!$A$1:$I$89,3,0)*0.475*44/12</f>
        <v>9.1101385520138524E-8</v>
      </c>
      <c r="EY85" s="22">
        <f t="shared" si="75"/>
        <v>1.4394614404835515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-2.2737367544323206E-13</v>
      </c>
      <c r="FF85" s="17">
        <f>FE85*VLOOKUP('Données projet'!$B$16,Paramètres!$A$1:$I$89,3,0)*VLOOKUP('Données projet'!$B$16,Paramètres!$A$1:$I$89,5,0)</f>
        <v>-1.0936673788819462E-13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197.66963254934603</v>
      </c>
      <c r="FK85" s="59">
        <f t="shared" si="102"/>
        <v>158.08388141976138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0.95236877873581816</v>
      </c>
      <c r="FR85" s="21">
        <f>EXP(-LN(2)/25)*FR84+(1-EXP(-LN(2)/25))/(LN(2)/25)*Calculateur!FM85*Calculateur!FO85*VLOOKUP('Données projet'!$B$16,Paramètres!$A$1:$I$89,3,0)*0.475*44/12</f>
        <v>1.2566778522606517</v>
      </c>
      <c r="FS85" s="21">
        <f>EXP(-LN(2)/2)*FS84+(1-EXP(-LN(2)/2))/(LN(2)/2)*FM85*FP85*VLOOKUP('Données projet'!$B$16,Paramètres!$A$1:$I$89,3,0)*0.475*44/12</f>
        <v>1.2335146626346558E-7</v>
      </c>
      <c r="FT85" s="22">
        <f t="shared" si="78"/>
        <v>2.2090467543479364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5.6843418860808015E-14</v>
      </c>
      <c r="GA85" s="17">
        <f>FZ85*VLOOKUP('Données projet'!$B$17,Paramètres!$A$1:$I$89,3,0)*VLOOKUP('Données projet'!$B$17,Paramètres!$A$1:$I$89,5,0)</f>
        <v>3.3992364478763198E-14</v>
      </c>
      <c r="GB85" s="13">
        <f t="shared" si="103"/>
        <v>5.790027782444094E-13</v>
      </c>
      <c r="GC85" s="20">
        <f t="shared" si="79"/>
        <v>1.0676332069095257E-12</v>
      </c>
      <c r="GD85" s="59">
        <f t="shared" si="80"/>
        <v>293.33333333333439</v>
      </c>
      <c r="GE85" s="59">
        <f ca="1">AVERAGE(OFFSET($GD$3,0,0,'Données projet'!$E$17+1,1))-AVERAGE(OFFSET($H$3,0,0,'Données projet'!$E$17+1,1))</f>
        <v>165.39579887388538</v>
      </c>
      <c r="GF85" s="59">
        <f t="shared" si="104"/>
        <v>155.89639262545802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1.7240115304759054</v>
      </c>
      <c r="GN85" s="21">
        <f>EXP(-LN(2)/2)*GN84+(1-EXP(-LN(2)/2))/(LN(2)/2)*GH85*GK85*VLOOKUP('Données projet'!$B$17,Paramètres!$A$1:$I$89,3,0)*0.475*44/12</f>
        <v>2.0682864986921775E-7</v>
      </c>
      <c r="GO85" s="21">
        <f t="shared" si="81"/>
        <v>1.7240117373045551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4.3</v>
      </c>
      <c r="GU85" s="12">
        <f>IF('Données projet'!$A$270&gt;35,GU84+GT85-HC84,IF(A85&lt;'Données projet'!$A$270,$GR$205^A85,IF(A85='Données projet'!$A$270,'Données projet'!$B$270,GU84+GT85-HC84)))</f>
        <v>186.6</v>
      </c>
      <c r="GV85" s="17">
        <f>GU85*VLOOKUP('Données projet'!$B$18,Paramètres!$A$1:$I$89,3,0)*VLOOKUP('Données projet'!$B$18,Paramètres!$A$1:$I$89,5,0)</f>
        <v>200.85623999999999</v>
      </c>
      <c r="GW85" s="13">
        <f t="shared" si="105"/>
        <v>49.932296549166296</v>
      </c>
      <c r="GX85" s="20">
        <f t="shared" si="82"/>
        <v>436.79003448979796</v>
      </c>
      <c r="GY85" s="59">
        <f t="shared" si="83"/>
        <v>730.12336782313128</v>
      </c>
      <c r="GZ85" s="59">
        <f ca="1">AVERAGE(OFFSET($GY$3,0,0,'Données projet'!$E$18+1,1))-AVERAGE(OFFSET($H$3,0,0,'Données projet'!$E$18+1,1))</f>
        <v>186.60545265015247</v>
      </c>
      <c r="HA85" s="59">
        <f t="shared" si="106"/>
        <v>69.239647548491234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0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0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3.4106051316484809E-13</v>
      </c>
      <c r="O86" s="13">
        <f>N86*VLOOKUP('Données projet'!$B$9,Paramètres!$A$1:$I$89,3,0)*VLOOKUP('Données projet'!$B$9,Paramètres!$A$1:$I$89,5,0)</f>
        <v>1.9065282685915009E-13</v>
      </c>
      <c r="P86" s="13">
        <f t="shared" si="87"/>
        <v>2.6568987209435707E-12</v>
      </c>
      <c r="Q86" s="20">
        <f t="shared" si="54"/>
        <v>4.959485612423072E-12</v>
      </c>
      <c r="R86" s="59">
        <f t="shared" si="55"/>
        <v>293.33333333333826</v>
      </c>
      <c r="S86" s="59">
        <f ca="1">AVERAGE(OFFSET($R$3,0,0,'Données projet'!$E$9+1,1))-AVERAGE(OFFSET($H$3,0,0,'Données projet'!$E$9+1,1))</f>
        <v>235.10258076192054</v>
      </c>
      <c r="T86" s="59">
        <f t="shared" si="88"/>
        <v>233.47316052603765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1.1993245338673999</v>
      </c>
      <c r="AA86" s="21">
        <f>EXP(-LN(2)/25)*AA85+(1-EXP(-LN(2)/25))/(LN(2)/25)*Calculateur!V86*Calculateur!X86*VLOOKUP('Données projet'!$B$9,Paramètres!$A$1:$I$89,3,0)*0.475*44/12</f>
        <v>4.2408882986305745</v>
      </c>
      <c r="AB86" s="21">
        <f>EXP(-LN(2)/2)*AB85+(1-EXP(-LN(2)/2))/(LN(2)/2)*V86*Y86*VLOOKUP('Données projet'!$B$9,Paramètres!$A$1:$I$89,3,0)*0.475*44/12</f>
        <v>2.5416743103317236E-7</v>
      </c>
      <c r="AC86" s="22">
        <f t="shared" si="57"/>
        <v>5.4402130866654055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2.2737367544323206E-13</v>
      </c>
      <c r="AJ86" s="13">
        <f>AI86*VLOOKUP('Données projet'!$B$10,Paramètres!$A$1:$I$89,3,0)*VLOOKUP('Données projet'!$B$10,Paramètres!$A$1:$I$89,5,0)</f>
        <v>1.2414602679200471E-13</v>
      </c>
      <c r="AK86" s="13">
        <f t="shared" si="89"/>
        <v>1.8186582995804361E-12</v>
      </c>
      <c r="AL86" s="20">
        <f t="shared" si="58"/>
        <v>3.3837175350986671E-12</v>
      </c>
      <c r="AM86" s="59">
        <f t="shared" si="59"/>
        <v>293.33333333333672</v>
      </c>
      <c r="AN86" s="59">
        <f ca="1">AVERAGE(OFFSET($AM$3,0,0,'Données projet'!$E$10+1,1))-AVERAGE(OFFSET($H$3,0,0,'Données projet'!$E$10+1,1))</f>
        <v>168.72306536277267</v>
      </c>
      <c r="AO86" s="59">
        <f t="shared" si="90"/>
        <v>203.35476578922339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1.0649393323981142</v>
      </c>
      <c r="AV86" s="21">
        <f>EXP(-LN(2)/25)*AV85+(1-EXP(-LN(2)/25))/(LN(2)/25)*Calculateur!AQ86*Calculateur!AS86*VLOOKUP('Données projet'!$B$10,Paramètres!$A$1:$I$89,3,0)*0.475*44/12</f>
        <v>5.2876332440832261</v>
      </c>
      <c r="AW86" s="21">
        <f>EXP(-LN(2)/2)*AW85+(1-EXP(-LN(2)/2))/(LN(2)/2)*AQ86*AT86*VLOOKUP('Données projet'!$B$10,Paramètres!$A$1:$I$89,3,0)*0.475*44/12</f>
        <v>2.1098550754664337E-7</v>
      </c>
      <c r="AX86" s="21">
        <f t="shared" si="60"/>
        <v>6.3525727874668476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5.6843418860808015E-14</v>
      </c>
      <c r="BE86" s="13">
        <f>BD86*VLOOKUP('Données projet'!$B$11,Paramètres!$A$1:$I$89,3,0)*VLOOKUP('Données projet'!$B$11,Paramètres!$A$1:$I$89,5,0)</f>
        <v>3.3992364478763198E-14</v>
      </c>
      <c r="BF86" s="13">
        <f t="shared" si="91"/>
        <v>5.790027782444094E-13</v>
      </c>
      <c r="BG86" s="20">
        <f t="shared" si="61"/>
        <v>1.0676332069095257E-12</v>
      </c>
      <c r="BH86" s="59">
        <f t="shared" si="62"/>
        <v>293.33333333333439</v>
      </c>
      <c r="BI86" s="59">
        <f ca="1">AVERAGE(OFFSET($BH$3,0,0,'Données projet'!$E$11+1,1))-AVERAGE(OFFSET($H$3,0,0,'Données projet'!$E$11+1,1))</f>
        <v>165.39579887388538</v>
      </c>
      <c r="BJ86" s="59">
        <f t="shared" si="92"/>
        <v>155.89639262545802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1.6768683445132155</v>
      </c>
      <c r="BR86" s="21">
        <f>EXP(-LN(2)/2)*BR85+(1-EXP(-LN(2)/2))/(LN(2)/2)*BL86*BO86*VLOOKUP('Données projet'!$B$11,Paramètres!$A$1:$I$89,3,0)*0.475*44/12</f>
        <v>1.46249940866182E-7</v>
      </c>
      <c r="BS86" s="22">
        <f t="shared" si="63"/>
        <v>1.6768684907631564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4.3</v>
      </c>
      <c r="BY86" s="12">
        <f>IF('Données projet'!$A$114&gt;35,BY85+BX86-CG85,IF(A86&lt;'Données projet'!$A$114,$BV$205^A86,IF(A86='Données projet'!$A$114,'Données projet'!$B$114,BY85+BX86-CG85)))</f>
        <v>190.9</v>
      </c>
      <c r="BZ86" s="13">
        <f>BY86*VLOOKUP('Données projet'!$B$12,Paramètres!$A$1:$I$89,3,0)*VLOOKUP('Données projet'!$B$12,Paramètres!$A$1:$I$89,5,0)</f>
        <v>184.63848000000002</v>
      </c>
      <c r="CA86" s="13">
        <f t="shared" si="93"/>
        <v>46.352629418123904</v>
      </c>
      <c r="CB86" s="20">
        <f t="shared" si="64"/>
        <v>402.30951556989913</v>
      </c>
      <c r="CC86" s="59">
        <f t="shared" si="65"/>
        <v>695.64284890323245</v>
      </c>
      <c r="CD86" s="59">
        <f ca="1">AVERAGE(OFFSET($CC$3,0,0,'Données projet'!$E$12+1,1))-AVERAGE(OFFSET($H$3,0,0,'Données projet'!$E$12+1,1))</f>
        <v>156.26368818265388</v>
      </c>
      <c r="CE86" s="59">
        <f t="shared" si="94"/>
        <v>56.347130462109817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4.3</v>
      </c>
      <c r="CT86" s="12">
        <f>IF('Données projet'!$A$140&gt;35,CT85+CS86-DB85,IF(A86&lt;'Données projet'!$A$140,$CQ$205^A86,IF(A86='Données projet'!$A$140,'Données projet'!$B$140,CT85+CS86-DB85)))</f>
        <v>190.9</v>
      </c>
      <c r="CU86" s="17">
        <f>CT86*VLOOKUP('Données projet'!$B$13,Paramètres!$A$1:$I$89,3,0)*VLOOKUP('Données projet'!$B$13,Paramètres!$A$1:$I$89,5,0)</f>
        <v>154.85808</v>
      </c>
      <c r="CV86" s="13">
        <f t="shared" si="95"/>
        <v>39.680545394394279</v>
      </c>
      <c r="CW86" s="20">
        <f t="shared" si="67"/>
        <v>338.82143922857</v>
      </c>
      <c r="CX86" s="59">
        <f t="shared" si="68"/>
        <v>632.15477256190331</v>
      </c>
      <c r="CY86" s="59">
        <f ca="1">AVERAGE(OFFSET($CX$3,0,0,'Données projet'!$E$13+1,1))-AVERAGE(OFFSET($H$3,0,0,'Données projet'!$E$13+1,1))</f>
        <v>112.78807760743126</v>
      </c>
      <c r="CZ86" s="59">
        <f t="shared" si="96"/>
        <v>37.867745922003564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-8.5265128291212022E-14</v>
      </c>
      <c r="DP86" s="17">
        <f>DO86*VLOOKUP('Données projet'!$B$14,Paramètres!$A$1:$I$89,3,0)*VLOOKUP('Données projet'!$B$14,Paramètres!$A$1:$I$89,5,0)</f>
        <v>-5.7195848057745024E-14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107.15837202366862</v>
      </c>
      <c r="DU86" s="59">
        <f t="shared" si="98"/>
        <v>139.67031833740026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1.3039181600313998</v>
      </c>
      <c r="EC86" s="21">
        <f>EXP(-LN(2)/2)*EC85+(1-EXP(-LN(2)/2))/(LN(2)/2)*DW86*DZ86*VLOOKUP('Données projet'!$B$14,Paramètres!$A$1:$I$89,3,0)*0.475*44/12</f>
        <v>7.1117280944629444E-8</v>
      </c>
      <c r="ED86" s="22">
        <f t="shared" si="72"/>
        <v>1.3039182311486808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8.3000000000000007</v>
      </c>
      <c r="EJ86" s="12">
        <f>IF('Données projet'!$A$192&gt;35,EJ85+EI86-ER85,IF(A86&lt;'Données projet'!$A$192,$EG$205^A86,IF(A86='Données projet'!$A$192,'Données projet'!$B$192,EJ85+EI86-ER85)))</f>
        <v>313.09999999999985</v>
      </c>
      <c r="EK86" s="17">
        <f>EJ86*VLOOKUP('Données projet'!$B$15,Paramètres!$A$1:$I$89,3,0)*VLOOKUP('Données projet'!$B$15,Paramètres!$A$1:$I$89,5,0)</f>
        <v>146.53079999999991</v>
      </c>
      <c r="EL86" s="13">
        <f t="shared" si="99"/>
        <v>37.789127015633198</v>
      </c>
      <c r="EM86" s="20">
        <f t="shared" si="73"/>
        <v>321.02387288556099</v>
      </c>
      <c r="EN86" s="59">
        <f t="shared" si="74"/>
        <v>614.35720621889436</v>
      </c>
      <c r="EO86" s="59">
        <f ca="1">AVERAGE(OFFSET($EN$3,0,0,'Données projet'!$E$15+1,1))-AVERAGE(OFFSET($H$3,0,0,'Données projet'!$E$15+1,1))</f>
        <v>123.60520571614535</v>
      </c>
      <c r="EP86" s="59">
        <f t="shared" si="100"/>
        <v>119.00926870519527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0.30361637701227906</v>
      </c>
      <c r="EW86" s="21">
        <f>EXP(-LN(2)/25)*EW85+(1-EXP(-LN(2)/25))/(LN(2)/25)*Calculateur!ER86*Calculateur!ET86*VLOOKUP('Données projet'!$B$15,Paramètres!$A$1:$I$89,3,0)*0.475*44/12</f>
        <v>1.0988784771600479</v>
      </c>
      <c r="EX86" s="21">
        <f>EXP(-LN(2)/2)*EX85+(1-EXP(-LN(2)/2))/(LN(2)/2)*ER86*EU86*VLOOKUP('Données projet'!$B$15,Paramètres!$A$1:$I$89,3,0)*0.475*44/12</f>
        <v>6.4418407476779899E-8</v>
      </c>
      <c r="EY86" s="22">
        <f t="shared" si="75"/>
        <v>1.4024949185907345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-2.2737367544323206E-13</v>
      </c>
      <c r="FF86" s="17">
        <f>FE86*VLOOKUP('Données projet'!$B$16,Paramètres!$A$1:$I$89,3,0)*VLOOKUP('Données projet'!$B$16,Paramètres!$A$1:$I$89,5,0)</f>
        <v>-1.0936673788819462E-13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197.66963254934603</v>
      </c>
      <c r="FK86" s="59">
        <f t="shared" si="102"/>
        <v>158.08388141976138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0.93369340787240596</v>
      </c>
      <c r="FR86" s="21">
        <f>EXP(-LN(2)/25)*FR85+(1-EXP(-LN(2)/25))/(LN(2)/25)*Calculateur!FM86*Calculateur!FO86*VLOOKUP('Données projet'!$B$16,Paramètres!$A$1:$I$89,3,0)*0.475*44/12</f>
        <v>1.2223139303047681</v>
      </c>
      <c r="FS86" s="21">
        <f>EXP(-LN(2)/2)*FS85+(1-EXP(-LN(2)/2))/(LN(2)/2)*FM86*FP86*VLOOKUP('Données projet'!$B$16,Paramètres!$A$1:$I$89,3,0)*0.475*44/12</f>
        <v>8.7222658264200154E-8</v>
      </c>
      <c r="FT86" s="22">
        <f t="shared" si="78"/>
        <v>2.1560074253998325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5.6843418860808015E-14</v>
      </c>
      <c r="GA86" s="17">
        <f>FZ86*VLOOKUP('Données projet'!$B$17,Paramètres!$A$1:$I$89,3,0)*VLOOKUP('Données projet'!$B$17,Paramètres!$A$1:$I$89,5,0)</f>
        <v>3.3992364478763198E-14</v>
      </c>
      <c r="GB86" s="13">
        <f t="shared" si="103"/>
        <v>5.790027782444094E-13</v>
      </c>
      <c r="GC86" s="20">
        <f t="shared" si="79"/>
        <v>1.0676332069095257E-12</v>
      </c>
      <c r="GD86" s="59">
        <f t="shared" si="80"/>
        <v>293.33333333333439</v>
      </c>
      <c r="GE86" s="59">
        <f ca="1">AVERAGE(OFFSET($GD$3,0,0,'Données projet'!$E$17+1,1))-AVERAGE(OFFSET($H$3,0,0,'Données projet'!$E$17+1,1))</f>
        <v>165.39579887388538</v>
      </c>
      <c r="GF86" s="59">
        <f t="shared" si="104"/>
        <v>155.89639262545802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1.6768683445132155</v>
      </c>
      <c r="GN86" s="21">
        <f>EXP(-LN(2)/2)*GN85+(1-EXP(-LN(2)/2))/(LN(2)/2)*GH86*GK86*VLOOKUP('Données projet'!$B$17,Paramètres!$A$1:$I$89,3,0)*0.475*44/12</f>
        <v>1.46249940866182E-7</v>
      </c>
      <c r="GO86" s="21">
        <f t="shared" si="81"/>
        <v>1.6768684907631564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4.3</v>
      </c>
      <c r="GU86" s="12">
        <f>IF('Données projet'!$A$270&gt;35,GU85+GT86-HC85,IF(A86&lt;'Données projet'!$A$270,$GR$205^A86,IF(A86='Données projet'!$A$270,'Données projet'!$B$270,GU85+GT86-HC85)))</f>
        <v>190.9</v>
      </c>
      <c r="GV86" s="17">
        <f>GU86*VLOOKUP('Données projet'!$B$18,Paramètres!$A$1:$I$89,3,0)*VLOOKUP('Données projet'!$B$18,Paramètres!$A$1:$I$89,5,0)</f>
        <v>205.48476000000002</v>
      </c>
      <c r="GW86" s="13">
        <f t="shared" si="105"/>
        <v>50.94764744802405</v>
      </c>
      <c r="GX86" s="20">
        <f t="shared" si="82"/>
        <v>446.61977630530856</v>
      </c>
      <c r="GY86" s="59">
        <f t="shared" si="83"/>
        <v>739.95310963864188</v>
      </c>
      <c r="GZ86" s="59">
        <f ca="1">AVERAGE(OFFSET($GY$3,0,0,'Données projet'!$E$18+1,1))-AVERAGE(OFFSET($H$3,0,0,'Données projet'!$E$18+1,1))</f>
        <v>186.60545265015247</v>
      </c>
      <c r="HA86" s="59">
        <f t="shared" si="106"/>
        <v>69.239647548491234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0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0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3.4106051316484809E-13</v>
      </c>
      <c r="O87" s="13">
        <f>N87*VLOOKUP('Données projet'!$B$9,Paramètres!$A$1:$I$89,3,0)*VLOOKUP('Données projet'!$B$9,Paramètres!$A$1:$I$89,5,0)</f>
        <v>1.9065282685915009E-13</v>
      </c>
      <c r="P87" s="13">
        <f t="shared" si="87"/>
        <v>2.6568987209435707E-12</v>
      </c>
      <c r="Q87" s="20">
        <f t="shared" si="54"/>
        <v>4.959485612423072E-12</v>
      </c>
      <c r="R87" s="59">
        <f t="shared" si="55"/>
        <v>293.33333333333826</v>
      </c>
      <c r="S87" s="59">
        <f ca="1">AVERAGE(OFFSET($R$3,0,0,'Données projet'!$E$9+1,1))-AVERAGE(OFFSET($H$3,0,0,'Données projet'!$E$9+1,1))</f>
        <v>235.10258076192054</v>
      </c>
      <c r="T87" s="59">
        <f t="shared" si="88"/>
        <v>233.47316052603765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1.1758065112739946</v>
      </c>
      <c r="AA87" s="21">
        <f>EXP(-LN(2)/25)*AA86+(1-EXP(-LN(2)/25))/(LN(2)/25)*Calculateur!V87*Calculateur!X87*VLOOKUP('Données projet'!$B$9,Paramètres!$A$1:$I$89,3,0)*0.475*44/12</f>
        <v>4.1249209850858986</v>
      </c>
      <c r="AB87" s="21">
        <f>EXP(-LN(2)/2)*AB86+(1-EXP(-LN(2)/2))/(LN(2)/2)*V87*Y87*VLOOKUP('Données projet'!$B$9,Paramètres!$A$1:$I$89,3,0)*0.475*44/12</f>
        <v>1.7972351404032032E-7</v>
      </c>
      <c r="AC87" s="22">
        <f t="shared" si="57"/>
        <v>5.3007276760834072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2.2737367544323206E-13</v>
      </c>
      <c r="AJ87" s="13">
        <f>AI87*VLOOKUP('Données projet'!$B$10,Paramètres!$A$1:$I$89,3,0)*VLOOKUP('Données projet'!$B$10,Paramètres!$A$1:$I$89,5,0)</f>
        <v>1.2414602679200471E-13</v>
      </c>
      <c r="AK87" s="13">
        <f t="shared" si="89"/>
        <v>1.8186582995804361E-12</v>
      </c>
      <c r="AL87" s="20">
        <f t="shared" si="58"/>
        <v>3.3837175350986671E-12</v>
      </c>
      <c r="AM87" s="59">
        <f t="shared" si="59"/>
        <v>293.33333333333672</v>
      </c>
      <c r="AN87" s="59">
        <f ca="1">AVERAGE(OFFSET($AM$3,0,0,'Données projet'!$E$10+1,1))-AVERAGE(OFFSET($H$3,0,0,'Données projet'!$E$10+1,1))</f>
        <v>168.72306536277267</v>
      </c>
      <c r="AO87" s="59">
        <f t="shared" si="90"/>
        <v>203.35476578922339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1.0440565216386424</v>
      </c>
      <c r="AV87" s="21">
        <f>EXP(-LN(2)/25)*AV86+(1-EXP(-LN(2)/25))/(LN(2)/25)*Calculateur!AQ87*Calculateur!AS87*VLOOKUP('Données projet'!$B$10,Paramètres!$A$1:$I$89,3,0)*0.475*44/12</f>
        <v>5.1430426349592233</v>
      </c>
      <c r="AW87" s="21">
        <f>EXP(-LN(2)/2)*AW86+(1-EXP(-LN(2)/2))/(LN(2)/2)*AQ87*AT87*VLOOKUP('Données projet'!$B$10,Paramètres!$A$1:$I$89,3,0)*0.475*44/12</f>
        <v>1.4918928311831702E-7</v>
      </c>
      <c r="AX87" s="21">
        <f t="shared" si="60"/>
        <v>6.1870993057871484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5.6843418860808015E-14</v>
      </c>
      <c r="BE87" s="13">
        <f>BD87*VLOOKUP('Données projet'!$B$11,Paramètres!$A$1:$I$89,3,0)*VLOOKUP('Données projet'!$B$11,Paramètres!$A$1:$I$89,5,0)</f>
        <v>3.3992364478763198E-14</v>
      </c>
      <c r="BF87" s="13">
        <f t="shared" si="91"/>
        <v>5.790027782444094E-13</v>
      </c>
      <c r="BG87" s="20">
        <f t="shared" si="61"/>
        <v>1.0676332069095257E-12</v>
      </c>
      <c r="BH87" s="59">
        <f t="shared" si="62"/>
        <v>293.33333333333439</v>
      </c>
      <c r="BI87" s="59">
        <f ca="1">AVERAGE(OFFSET($BH$3,0,0,'Données projet'!$E$11+1,1))-AVERAGE(OFFSET($H$3,0,0,'Données projet'!$E$11+1,1))</f>
        <v>165.39579887388538</v>
      </c>
      <c r="BJ87" s="59">
        <f t="shared" si="92"/>
        <v>155.89639262545802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1.631014291449828</v>
      </c>
      <c r="BR87" s="21">
        <f>EXP(-LN(2)/2)*BR86+(1-EXP(-LN(2)/2))/(LN(2)/2)*BL87*BO87*VLOOKUP('Données projet'!$B$11,Paramètres!$A$1:$I$89,3,0)*0.475*44/12</f>
        <v>1.0341432493460887E-7</v>
      </c>
      <c r="BS87" s="22">
        <f t="shared" si="63"/>
        <v>1.6310143948641529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4.3</v>
      </c>
      <c r="BY87" s="12">
        <f>IF('Données projet'!$A$114&gt;35,BY86+BX87-CG86,IF(A87&lt;'Données projet'!$A$114,$BV$205^A87,IF(A87='Données projet'!$A$114,'Données projet'!$B$114,BY86+BX87-CG86)))</f>
        <v>195.20000000000002</v>
      </c>
      <c r="BZ87" s="13">
        <f>BY87*VLOOKUP('Données projet'!$B$12,Paramètres!$A$1:$I$89,3,0)*VLOOKUP('Données projet'!$B$12,Paramètres!$A$1:$I$89,5,0)</f>
        <v>188.79744000000002</v>
      </c>
      <c r="CA87" s="13">
        <f t="shared" si="93"/>
        <v>47.27398574167259</v>
      </c>
      <c r="CB87" s="20">
        <f t="shared" si="64"/>
        <v>411.15773316674648</v>
      </c>
      <c r="CC87" s="59">
        <f t="shared" si="65"/>
        <v>704.4910665000798</v>
      </c>
      <c r="CD87" s="59">
        <f ca="1">AVERAGE(OFFSET($CC$3,0,0,'Données projet'!$E$12+1,1))-AVERAGE(OFFSET($H$3,0,0,'Données projet'!$E$12+1,1))</f>
        <v>156.26368818265388</v>
      </c>
      <c r="CE87" s="59">
        <f t="shared" si="94"/>
        <v>56.347130462109817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4.3</v>
      </c>
      <c r="CT87" s="12">
        <f>IF('Données projet'!$A$140&gt;35,CT86+CS87-DB86,IF(A87&lt;'Données projet'!$A$140,$CQ$205^A87,IF(A87='Données projet'!$A$140,'Données projet'!$B$140,CT86+CS87-DB86)))</f>
        <v>195.20000000000002</v>
      </c>
      <c r="CU87" s="17">
        <f>CT87*VLOOKUP('Données projet'!$B$13,Paramètres!$A$1:$I$89,3,0)*VLOOKUP('Données projet'!$B$13,Paramètres!$A$1:$I$89,5,0)</f>
        <v>158.34624000000002</v>
      </c>
      <c r="CV87" s="13">
        <f t="shared" si="95"/>
        <v>40.469279968461201</v>
      </c>
      <c r="CW87" s="20">
        <f t="shared" si="67"/>
        <v>346.2703639450699</v>
      </c>
      <c r="CX87" s="59">
        <f t="shared" si="68"/>
        <v>639.60369727840316</v>
      </c>
      <c r="CY87" s="59">
        <f ca="1">AVERAGE(OFFSET($CX$3,0,0,'Données projet'!$E$13+1,1))-AVERAGE(OFFSET($H$3,0,0,'Données projet'!$E$13+1,1))</f>
        <v>112.78807760743126</v>
      </c>
      <c r="CZ87" s="59">
        <f t="shared" si="96"/>
        <v>37.867745922003564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-8.5265128291212022E-14</v>
      </c>
      <c r="DP87" s="17">
        <f>DO87*VLOOKUP('Données projet'!$B$14,Paramètres!$A$1:$I$89,3,0)*VLOOKUP('Données projet'!$B$14,Paramètres!$A$1:$I$89,5,0)</f>
        <v>-5.7195848057745024E-14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107.15837202366862</v>
      </c>
      <c r="DU87" s="59">
        <f t="shared" si="98"/>
        <v>139.67031833740026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1.2682624493752652</v>
      </c>
      <c r="EC87" s="21">
        <f>EXP(-LN(2)/2)*EC86+(1-EXP(-LN(2)/2))/(LN(2)/2)*DW87*DZ87*VLOOKUP('Données projet'!$B$14,Paramètres!$A$1:$I$89,3,0)*0.475*44/12</f>
        <v>5.0287511615496319E-8</v>
      </c>
      <c r="ED87" s="22">
        <f t="shared" si="72"/>
        <v>1.2682624996627769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8.3000000000000007</v>
      </c>
      <c r="EJ87" s="12">
        <f>IF('Données projet'!$A$192&gt;35,EJ86+EI87-ER86,IF(A87&lt;'Données projet'!$A$192,$EG$205^A87,IF(A87='Données projet'!$A$192,'Données projet'!$B$192,EJ86+EI87-ER86)))</f>
        <v>321.39999999999986</v>
      </c>
      <c r="EK87" s="17">
        <f>EJ87*VLOOKUP('Données projet'!$B$15,Paramètres!$A$1:$I$89,3,0)*VLOOKUP('Données projet'!$B$15,Paramètres!$A$1:$I$89,5,0)</f>
        <v>150.41519999999994</v>
      </c>
      <c r="EL87" s="13">
        <f t="shared" si="99"/>
        <v>38.672926125901775</v>
      </c>
      <c r="EM87" s="20">
        <f t="shared" si="73"/>
        <v>329.32848633594546</v>
      </c>
      <c r="EN87" s="59">
        <f t="shared" si="74"/>
        <v>622.66181966927877</v>
      </c>
      <c r="EO87" s="59">
        <f ca="1">AVERAGE(OFFSET($EN$3,0,0,'Données projet'!$E$15+1,1))-AVERAGE(OFFSET($H$3,0,0,'Données projet'!$E$15+1,1))</f>
        <v>123.60520571614535</v>
      </c>
      <c r="EP87" s="59">
        <f t="shared" si="100"/>
        <v>119.00926870519527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0.29766264504677248</v>
      </c>
      <c r="EW87" s="21">
        <f>EXP(-LN(2)/25)*EW86+(1-EXP(-LN(2)/25))/(LN(2)/25)*Calculateur!ER87*Calculateur!ET87*VLOOKUP('Données projet'!$B$15,Paramètres!$A$1:$I$89,3,0)*0.475*44/12</f>
        <v>1.0688295874145988</v>
      </c>
      <c r="EX87" s="21">
        <f>EXP(-LN(2)/2)*EX86+(1-EXP(-LN(2)/2))/(LN(2)/2)*ER87*EU87*VLOOKUP('Données projet'!$B$15,Paramètres!$A$1:$I$89,3,0)*0.475*44/12</f>
        <v>4.5550692760069262E-8</v>
      </c>
      <c r="EY87" s="22">
        <f t="shared" si="75"/>
        <v>1.3664922780120641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-2.2737367544323206E-13</v>
      </c>
      <c r="FF87" s="17">
        <f>FE87*VLOOKUP('Données projet'!$B$16,Paramètres!$A$1:$I$89,3,0)*VLOOKUP('Données projet'!$B$16,Paramètres!$A$1:$I$89,5,0)</f>
        <v>-1.0936673788819462E-13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197.66963254934603</v>
      </c>
      <c r="FK87" s="59">
        <f t="shared" si="102"/>
        <v>158.08388141976138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0.9153842496407737</v>
      </c>
      <c r="FR87" s="21">
        <f>EXP(-LN(2)/25)*FR86+(1-EXP(-LN(2)/25))/(LN(2)/25)*Calculateur!FM87*Calculateur!FO87*VLOOKUP('Données projet'!$B$16,Paramètres!$A$1:$I$89,3,0)*0.475*44/12</f>
        <v>1.1888896916018883</v>
      </c>
      <c r="FS87" s="21">
        <f>EXP(-LN(2)/2)*FS86+(1-EXP(-LN(2)/2))/(LN(2)/2)*FM87*FP87*VLOOKUP('Données projet'!$B$16,Paramètres!$A$1:$I$89,3,0)*0.475*44/12</f>
        <v>6.1675733131732788E-8</v>
      </c>
      <c r="FT87" s="22">
        <f t="shared" si="78"/>
        <v>2.1042740029183951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5.6843418860808015E-14</v>
      </c>
      <c r="GA87" s="17">
        <f>FZ87*VLOOKUP('Données projet'!$B$17,Paramètres!$A$1:$I$89,3,0)*VLOOKUP('Données projet'!$B$17,Paramètres!$A$1:$I$89,5,0)</f>
        <v>3.3992364478763198E-14</v>
      </c>
      <c r="GB87" s="13">
        <f t="shared" si="103"/>
        <v>5.790027782444094E-13</v>
      </c>
      <c r="GC87" s="20">
        <f t="shared" si="79"/>
        <v>1.0676332069095257E-12</v>
      </c>
      <c r="GD87" s="59">
        <f t="shared" si="80"/>
        <v>293.33333333333439</v>
      </c>
      <c r="GE87" s="59">
        <f ca="1">AVERAGE(OFFSET($GD$3,0,0,'Données projet'!$E$17+1,1))-AVERAGE(OFFSET($H$3,0,0,'Données projet'!$E$17+1,1))</f>
        <v>165.39579887388538</v>
      </c>
      <c r="GF87" s="59">
        <f t="shared" si="104"/>
        <v>155.89639262545802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1.631014291449828</v>
      </c>
      <c r="GN87" s="21">
        <f>EXP(-LN(2)/2)*GN86+(1-EXP(-LN(2)/2))/(LN(2)/2)*GH87*GK87*VLOOKUP('Données projet'!$B$17,Paramètres!$A$1:$I$89,3,0)*0.475*44/12</f>
        <v>1.0341432493460887E-7</v>
      </c>
      <c r="GO87" s="21">
        <f t="shared" si="81"/>
        <v>1.6310143948641529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4.3</v>
      </c>
      <c r="GU87" s="12">
        <f>IF('Données projet'!$A$270&gt;35,GU86+GT87-HC86,IF(A87&lt;'Données projet'!$A$270,$GR$205^A87,IF(A87='Données projet'!$A$270,'Données projet'!$B$270,GU86+GT87-HC86)))</f>
        <v>195.20000000000002</v>
      </c>
      <c r="GV87" s="17">
        <f>GU87*VLOOKUP('Données projet'!$B$18,Paramètres!$A$1:$I$89,3,0)*VLOOKUP('Données projet'!$B$18,Paramètres!$A$1:$I$89,5,0)</f>
        <v>210.11327999999997</v>
      </c>
      <c r="GW87" s="13">
        <f t="shared" si="105"/>
        <v>51.960339451378061</v>
      </c>
      <c r="GX87" s="20">
        <f t="shared" si="82"/>
        <v>456.44488721114999</v>
      </c>
      <c r="GY87" s="59">
        <f t="shared" si="83"/>
        <v>749.77822054448325</v>
      </c>
      <c r="GZ87" s="59">
        <f ca="1">AVERAGE(OFFSET($GY$3,0,0,'Données projet'!$E$18+1,1))-AVERAGE(OFFSET($H$3,0,0,'Données projet'!$E$18+1,1))</f>
        <v>186.60545265015247</v>
      </c>
      <c r="HA87" s="59">
        <f t="shared" si="106"/>
        <v>69.239647548491234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0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0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3.4106051316484809E-13</v>
      </c>
      <c r="O88" s="13">
        <f>N88*VLOOKUP('Données projet'!$B$9,Paramètres!$A$1:$I$89,3,0)*VLOOKUP('Données projet'!$B$9,Paramètres!$A$1:$I$89,5,0)</f>
        <v>1.9065282685915009E-13</v>
      </c>
      <c r="P88" s="13">
        <f t="shared" si="87"/>
        <v>2.6568987209435707E-12</v>
      </c>
      <c r="Q88" s="20">
        <f t="shared" si="54"/>
        <v>4.959485612423072E-12</v>
      </c>
      <c r="R88" s="59">
        <f t="shared" si="55"/>
        <v>293.33333333333826</v>
      </c>
      <c r="S88" s="59">
        <f ca="1">AVERAGE(OFFSET($R$3,0,0,'Données projet'!$E$9+1,1))-AVERAGE(OFFSET($H$3,0,0,'Données projet'!$E$9+1,1))</f>
        <v>235.10258076192054</v>
      </c>
      <c r="T88" s="59">
        <f t="shared" si="88"/>
        <v>233.47316052603765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1.1527496627590688</v>
      </c>
      <c r="AA88" s="21">
        <f>EXP(-LN(2)/25)*AA87+(1-EXP(-LN(2)/25))/(LN(2)/25)*Calculateur!V88*Calculateur!X88*VLOOKUP('Données projet'!$B$9,Paramètres!$A$1:$I$89,3,0)*0.475*44/12</f>
        <v>4.0121248038285575</v>
      </c>
      <c r="AB88" s="21">
        <f>EXP(-LN(2)/2)*AB87+(1-EXP(-LN(2)/2))/(LN(2)/2)*V88*Y88*VLOOKUP('Données projet'!$B$9,Paramètres!$A$1:$I$89,3,0)*0.475*44/12</f>
        <v>1.2708371551658618E-7</v>
      </c>
      <c r="AC88" s="22">
        <f t="shared" si="57"/>
        <v>5.1648745936713416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2.2737367544323206E-13</v>
      </c>
      <c r="AJ88" s="13">
        <f>AI88*VLOOKUP('Données projet'!$B$10,Paramètres!$A$1:$I$89,3,0)*VLOOKUP('Données projet'!$B$10,Paramètres!$A$1:$I$89,5,0)</f>
        <v>1.2414602679200471E-13</v>
      </c>
      <c r="AK88" s="13">
        <f t="shared" si="89"/>
        <v>1.8186582995804361E-12</v>
      </c>
      <c r="AL88" s="20">
        <f t="shared" si="58"/>
        <v>3.3837175350986671E-12</v>
      </c>
      <c r="AM88" s="59">
        <f t="shared" si="59"/>
        <v>293.33333333333672</v>
      </c>
      <c r="AN88" s="59">
        <f ca="1">AVERAGE(OFFSET($AM$3,0,0,'Données projet'!$E$10+1,1))-AVERAGE(OFFSET($H$3,0,0,'Données projet'!$E$10+1,1))</f>
        <v>168.72306536277267</v>
      </c>
      <c r="AO88" s="59">
        <f t="shared" si="90"/>
        <v>203.35476578922339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1.0235832100609068</v>
      </c>
      <c r="AV88" s="21">
        <f>EXP(-LN(2)/25)*AV87+(1-EXP(-LN(2)/25))/(LN(2)/25)*Calculateur!AQ88*Calculateur!AS88*VLOOKUP('Données projet'!$B$10,Paramètres!$A$1:$I$89,3,0)*0.475*44/12</f>
        <v>5.0024058636454054</v>
      </c>
      <c r="AW88" s="21">
        <f>EXP(-LN(2)/2)*AW87+(1-EXP(-LN(2)/2))/(LN(2)/2)*AQ88*AT88*VLOOKUP('Données projet'!$B$10,Paramètres!$A$1:$I$89,3,0)*0.475*44/12</f>
        <v>1.0549275377332169E-7</v>
      </c>
      <c r="AX88" s="21">
        <f t="shared" si="60"/>
        <v>6.0259891791990663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5.6843418860808015E-14</v>
      </c>
      <c r="BE88" s="13">
        <f>BD88*VLOOKUP('Données projet'!$B$11,Paramètres!$A$1:$I$89,3,0)*VLOOKUP('Données projet'!$B$11,Paramètres!$A$1:$I$89,5,0)</f>
        <v>3.3992364478763198E-14</v>
      </c>
      <c r="BF88" s="13">
        <f t="shared" si="91"/>
        <v>5.790027782444094E-13</v>
      </c>
      <c r="BG88" s="20">
        <f t="shared" si="61"/>
        <v>1.0676332069095257E-12</v>
      </c>
      <c r="BH88" s="59">
        <f t="shared" si="62"/>
        <v>293.33333333333439</v>
      </c>
      <c r="BI88" s="59">
        <f ca="1">AVERAGE(OFFSET($BH$3,0,0,'Données projet'!$E$11+1,1))-AVERAGE(OFFSET($H$3,0,0,'Données projet'!$E$11+1,1))</f>
        <v>165.39579887388538</v>
      </c>
      <c r="BJ88" s="59">
        <f t="shared" si="92"/>
        <v>155.89639262545802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1.5864141198788186</v>
      </c>
      <c r="BR88" s="21">
        <f>EXP(-LN(2)/2)*BR87+(1-EXP(-LN(2)/2))/(LN(2)/2)*BL88*BO88*VLOOKUP('Données projet'!$B$11,Paramètres!$A$1:$I$89,3,0)*0.475*44/12</f>
        <v>7.3124970433091002E-8</v>
      </c>
      <c r="BS88" s="22">
        <f t="shared" si="63"/>
        <v>1.5864141930037892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4.3</v>
      </c>
      <c r="BY88" s="12">
        <f>IF('Données projet'!$A$114&gt;35,BY87+BX88-CG87,IF(A88&lt;'Données projet'!$A$114,$BV$205^A88,IF(A88='Données projet'!$A$114,'Données projet'!$B$114,BY87+BX88-CG87)))</f>
        <v>199.50000000000003</v>
      </c>
      <c r="BZ88" s="13">
        <f>BY88*VLOOKUP('Données projet'!$B$12,Paramètres!$A$1:$I$89,3,0)*VLOOKUP('Données projet'!$B$12,Paramètres!$A$1:$I$89,5,0)</f>
        <v>192.95640000000003</v>
      </c>
      <c r="CA88" s="13">
        <f t="shared" si="93"/>
        <v>48.192982403791724</v>
      </c>
      <c r="CB88" s="20">
        <f t="shared" si="64"/>
        <v>420.00184101993727</v>
      </c>
      <c r="CC88" s="59">
        <f t="shared" si="65"/>
        <v>713.33517435327053</v>
      </c>
      <c r="CD88" s="59">
        <f ca="1">AVERAGE(OFFSET($CC$3,0,0,'Données projet'!$E$12+1,1))-AVERAGE(OFFSET($H$3,0,0,'Données projet'!$E$12+1,1))</f>
        <v>156.26368818265388</v>
      </c>
      <c r="CE88" s="59">
        <f t="shared" si="94"/>
        <v>56.347130462109817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4.3</v>
      </c>
      <c r="CT88" s="12">
        <f>IF('Données projet'!$A$140&gt;35,CT87+CS88-DB87,IF(A88&lt;'Données projet'!$A$140,$CQ$205^A88,IF(A88='Données projet'!$A$140,'Données projet'!$B$140,CT87+CS88-DB87)))</f>
        <v>199.50000000000003</v>
      </c>
      <c r="CU88" s="17">
        <f>CT88*VLOOKUP('Données projet'!$B$13,Paramètres!$A$1:$I$89,3,0)*VLOOKUP('Données projet'!$B$13,Paramètres!$A$1:$I$89,5,0)</f>
        <v>161.83440000000004</v>
      </c>
      <c r="CV88" s="13">
        <f t="shared" si="95"/>
        <v>41.25599453517048</v>
      </c>
      <c r="CW88" s="20">
        <f t="shared" si="67"/>
        <v>353.71577048208866</v>
      </c>
      <c r="CX88" s="59">
        <f t="shared" si="68"/>
        <v>647.04910381542197</v>
      </c>
      <c r="CY88" s="59">
        <f ca="1">AVERAGE(OFFSET($CX$3,0,0,'Données projet'!$E$13+1,1))-AVERAGE(OFFSET($H$3,0,0,'Données projet'!$E$13+1,1))</f>
        <v>112.78807760743126</v>
      </c>
      <c r="CZ88" s="59">
        <f t="shared" si="96"/>
        <v>37.867745922003564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-8.5265128291212022E-14</v>
      </c>
      <c r="DP88" s="17">
        <f>DO88*VLOOKUP('Données projet'!$B$14,Paramètres!$A$1:$I$89,3,0)*VLOOKUP('Données projet'!$B$14,Paramètres!$A$1:$I$89,5,0)</f>
        <v>-5.7195848057745024E-14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107.15837202366862</v>
      </c>
      <c r="DU88" s="59">
        <f t="shared" si="98"/>
        <v>139.67031833740026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1.233581746002075</v>
      </c>
      <c r="EC88" s="21">
        <f>EXP(-LN(2)/2)*EC87+(1-EXP(-LN(2)/2))/(LN(2)/2)*DW88*DZ88*VLOOKUP('Données projet'!$B$14,Paramètres!$A$1:$I$89,3,0)*0.475*44/12</f>
        <v>3.5558640472314722E-8</v>
      </c>
      <c r="ED88" s="22">
        <f t="shared" si="72"/>
        <v>1.2335817815607155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8.3000000000000007</v>
      </c>
      <c r="EJ88" s="12">
        <f>IF('Données projet'!$A$192&gt;35,EJ87+EI88-ER87,IF(A88&lt;'Données projet'!$A$192,$EG$205^A88,IF(A88='Données projet'!$A$192,'Données projet'!$B$192,EJ87+EI88-ER87)))</f>
        <v>329.69999999999987</v>
      </c>
      <c r="EK88" s="17">
        <f>EJ88*VLOOKUP('Données projet'!$B$15,Paramètres!$A$1:$I$89,3,0)*VLOOKUP('Données projet'!$B$15,Paramètres!$A$1:$I$89,5,0)</f>
        <v>154.29959999999994</v>
      </c>
      <c r="EL88" s="13">
        <f t="shared" si="99"/>
        <v>39.55407223646921</v>
      </c>
      <c r="EM88" s="20">
        <f t="shared" si="73"/>
        <v>337.62847914518375</v>
      </c>
      <c r="EN88" s="59">
        <f t="shared" si="74"/>
        <v>630.961812478517</v>
      </c>
      <c r="EO88" s="59">
        <f ca="1">AVERAGE(OFFSET($EN$3,0,0,'Données projet'!$E$15+1,1))-AVERAGE(OFFSET($H$3,0,0,'Données projet'!$E$15+1,1))</f>
        <v>123.60520571614535</v>
      </c>
      <c r="EP88" s="59">
        <f t="shared" si="100"/>
        <v>119.00926870519527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0.29182566213369154</v>
      </c>
      <c r="EW88" s="21">
        <f>EXP(-LN(2)/25)*EW87+(1-EXP(-LN(2)/25))/(LN(2)/25)*Calculateur!ER88*Calculateur!ET88*VLOOKUP('Données projet'!$B$15,Paramètres!$A$1:$I$89,3,0)*0.475*44/12</f>
        <v>1.0396023861394414</v>
      </c>
      <c r="EX88" s="21">
        <f>EXP(-LN(2)/2)*EX87+(1-EXP(-LN(2)/2))/(LN(2)/2)*ER88*EU88*VLOOKUP('Données projet'!$B$15,Paramètres!$A$1:$I$89,3,0)*0.475*44/12</f>
        <v>3.220920373838995E-8</v>
      </c>
      <c r="EY88" s="22">
        <f t="shared" si="75"/>
        <v>1.3314280804823366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-2.2737367544323206E-13</v>
      </c>
      <c r="FF88" s="17">
        <f>FE88*VLOOKUP('Données projet'!$B$16,Paramètres!$A$1:$I$89,3,0)*VLOOKUP('Données projet'!$B$16,Paramètres!$A$1:$I$89,5,0)</f>
        <v>-1.0936673788819462E-13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197.66963254934603</v>
      </c>
      <c r="FK88" s="59">
        <f t="shared" si="102"/>
        <v>158.08388141976138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0.89743412283458002</v>
      </c>
      <c r="FR88" s="21">
        <f>EXP(-LN(2)/25)*FR87+(1-EXP(-LN(2)/25))/(LN(2)/25)*Calculateur!FM88*Calculateur!FO88*VLOOKUP('Données projet'!$B$16,Paramètres!$A$1:$I$89,3,0)*0.475*44/12</f>
        <v>1.1563794404640431</v>
      </c>
      <c r="FS88" s="21">
        <f>EXP(-LN(2)/2)*FS87+(1-EXP(-LN(2)/2))/(LN(2)/2)*FM88*FP88*VLOOKUP('Données projet'!$B$16,Paramètres!$A$1:$I$89,3,0)*0.475*44/12</f>
        <v>4.3611329132100077E-8</v>
      </c>
      <c r="FT88" s="22">
        <f t="shared" si="78"/>
        <v>2.0538136069099524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5.6843418860808015E-14</v>
      </c>
      <c r="GA88" s="17">
        <f>FZ88*VLOOKUP('Données projet'!$B$17,Paramètres!$A$1:$I$89,3,0)*VLOOKUP('Données projet'!$B$17,Paramètres!$A$1:$I$89,5,0)</f>
        <v>3.3992364478763198E-14</v>
      </c>
      <c r="GB88" s="13">
        <f t="shared" si="103"/>
        <v>5.790027782444094E-13</v>
      </c>
      <c r="GC88" s="20">
        <f t="shared" si="79"/>
        <v>1.0676332069095257E-12</v>
      </c>
      <c r="GD88" s="59">
        <f t="shared" si="80"/>
        <v>293.33333333333439</v>
      </c>
      <c r="GE88" s="59">
        <f ca="1">AVERAGE(OFFSET($GD$3,0,0,'Données projet'!$E$17+1,1))-AVERAGE(OFFSET($H$3,0,0,'Données projet'!$E$17+1,1))</f>
        <v>165.39579887388538</v>
      </c>
      <c r="GF88" s="59">
        <f t="shared" si="104"/>
        <v>155.89639262545802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1.5864141198788186</v>
      </c>
      <c r="GN88" s="21">
        <f>EXP(-LN(2)/2)*GN87+(1-EXP(-LN(2)/2))/(LN(2)/2)*GH88*GK88*VLOOKUP('Données projet'!$B$17,Paramètres!$A$1:$I$89,3,0)*0.475*44/12</f>
        <v>7.3124970433091002E-8</v>
      </c>
      <c r="GO88" s="21">
        <f t="shared" si="81"/>
        <v>1.5864141930037892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4.3</v>
      </c>
      <c r="GU88" s="12">
        <f>IF('Données projet'!$A$270&gt;35,GU87+GT88-HC87,IF(A88&lt;'Données projet'!$A$270,$GR$205^A88,IF(A88='Données projet'!$A$270,'Données projet'!$B$270,GU87+GT88-HC87)))</f>
        <v>199.50000000000003</v>
      </c>
      <c r="GV88" s="17">
        <f>GU88*VLOOKUP('Données projet'!$B$18,Paramètres!$A$1:$I$89,3,0)*VLOOKUP('Données projet'!$B$18,Paramètres!$A$1:$I$89,5,0)</f>
        <v>214.74180000000001</v>
      </c>
      <c r="GW88" s="13">
        <f t="shared" si="105"/>
        <v>52.970437875896991</v>
      </c>
      <c r="GX88" s="20">
        <f t="shared" si="82"/>
        <v>466.26548096718722</v>
      </c>
      <c r="GY88" s="59">
        <f t="shared" si="83"/>
        <v>759.59881430052053</v>
      </c>
      <c r="GZ88" s="59">
        <f ca="1">AVERAGE(OFFSET($GY$3,0,0,'Données projet'!$E$18+1,1))-AVERAGE(OFFSET($H$3,0,0,'Données projet'!$E$18+1,1))</f>
        <v>186.60545265015247</v>
      </c>
      <c r="HA88" s="59">
        <f t="shared" si="106"/>
        <v>69.239647548491234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0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0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3.4106051316484809E-13</v>
      </c>
      <c r="O89" s="13">
        <f>N89*VLOOKUP('Données projet'!$B$9,Paramètres!$A$1:$I$89,3,0)*VLOOKUP('Données projet'!$B$9,Paramètres!$A$1:$I$89,5,0)</f>
        <v>1.9065282685915009E-13</v>
      </c>
      <c r="P89" s="13">
        <f t="shared" si="87"/>
        <v>2.6568987209435707E-12</v>
      </c>
      <c r="Q89" s="20">
        <f t="shared" si="54"/>
        <v>4.959485612423072E-12</v>
      </c>
      <c r="R89" s="59">
        <f t="shared" si="55"/>
        <v>293.33333333333826</v>
      </c>
      <c r="S89" s="59">
        <f ca="1">AVERAGE(OFFSET($R$3,0,0,'Données projet'!$E$9+1,1))-AVERAGE(OFFSET($H$3,0,0,'Données projet'!$E$9+1,1))</f>
        <v>235.10258076192054</v>
      </c>
      <c r="T89" s="59">
        <f t="shared" si="88"/>
        <v>233.47316052603765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1.1301449449802317</v>
      </c>
      <c r="AA89" s="21">
        <f>EXP(-LN(2)/25)*AA88+(1-EXP(-LN(2)/25))/(LN(2)/25)*Calculateur!V89*Calculateur!X89*VLOOKUP('Données projet'!$B$9,Paramètres!$A$1:$I$89,3,0)*0.475*44/12</f>
        <v>3.9024130400793919</v>
      </c>
      <c r="AB89" s="21">
        <f>EXP(-LN(2)/2)*AB88+(1-EXP(-LN(2)/2))/(LN(2)/2)*V89*Y89*VLOOKUP('Données projet'!$B$9,Paramètres!$A$1:$I$89,3,0)*0.475*44/12</f>
        <v>8.9861757020160158E-8</v>
      </c>
      <c r="AC89" s="22">
        <f t="shared" si="57"/>
        <v>5.032558074921381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2.2737367544323206E-13</v>
      </c>
      <c r="AJ89" s="13">
        <f>AI89*VLOOKUP('Données projet'!$B$10,Paramètres!$A$1:$I$89,3,0)*VLOOKUP('Données projet'!$B$10,Paramètres!$A$1:$I$89,5,0)</f>
        <v>1.2414602679200471E-13</v>
      </c>
      <c r="AK89" s="13">
        <f t="shared" si="89"/>
        <v>1.8186582995804361E-12</v>
      </c>
      <c r="AL89" s="20">
        <f t="shared" si="58"/>
        <v>3.3837175350986671E-12</v>
      </c>
      <c r="AM89" s="59">
        <f t="shared" si="59"/>
        <v>293.33333333333672</v>
      </c>
      <c r="AN89" s="59">
        <f ca="1">AVERAGE(OFFSET($AM$3,0,0,'Données projet'!$E$10+1,1))-AVERAGE(OFFSET($H$3,0,0,'Données projet'!$E$10+1,1))</f>
        <v>168.72306536277267</v>
      </c>
      <c r="AO89" s="59">
        <f t="shared" si="90"/>
        <v>203.35476578922339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1.0035113676357237</v>
      </c>
      <c r="AV89" s="21">
        <f>EXP(-LN(2)/25)*AV88+(1-EXP(-LN(2)/25))/(LN(2)/25)*Calculateur!AQ89*Calculateur!AS89*VLOOKUP('Données projet'!$B$10,Paramètres!$A$1:$I$89,3,0)*0.475*44/12</f>
        <v>4.8656148122389302</v>
      </c>
      <c r="AW89" s="21">
        <f>EXP(-LN(2)/2)*AW88+(1-EXP(-LN(2)/2))/(LN(2)/2)*AQ89*AT89*VLOOKUP('Données projet'!$B$10,Paramètres!$A$1:$I$89,3,0)*0.475*44/12</f>
        <v>7.4594641559158512E-8</v>
      </c>
      <c r="AX89" s="21">
        <f t="shared" si="60"/>
        <v>5.869126254469295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5.6843418860808015E-14</v>
      </c>
      <c r="BE89" s="13">
        <f>BD89*VLOOKUP('Données projet'!$B$11,Paramètres!$A$1:$I$89,3,0)*VLOOKUP('Données projet'!$B$11,Paramètres!$A$1:$I$89,5,0)</f>
        <v>3.3992364478763198E-14</v>
      </c>
      <c r="BF89" s="13">
        <f t="shared" si="91"/>
        <v>5.790027782444094E-13</v>
      </c>
      <c r="BG89" s="20">
        <f t="shared" si="61"/>
        <v>1.0676332069095257E-12</v>
      </c>
      <c r="BH89" s="59">
        <f t="shared" si="62"/>
        <v>293.33333333333439</v>
      </c>
      <c r="BI89" s="59">
        <f ca="1">AVERAGE(OFFSET($BH$3,0,0,'Données projet'!$E$11+1,1))-AVERAGE(OFFSET($H$3,0,0,'Données projet'!$E$11+1,1))</f>
        <v>165.39579887388538</v>
      </c>
      <c r="BJ89" s="59">
        <f t="shared" si="92"/>
        <v>155.89639262545802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1.5430335423448396</v>
      </c>
      <c r="BR89" s="21">
        <f>EXP(-LN(2)/2)*BR88+(1-EXP(-LN(2)/2))/(LN(2)/2)*BL89*BO89*VLOOKUP('Données projet'!$B$11,Paramètres!$A$1:$I$89,3,0)*0.475*44/12</f>
        <v>5.1707162467304437E-8</v>
      </c>
      <c r="BS89" s="22">
        <f t="shared" si="63"/>
        <v>1.5430335940520021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4.3</v>
      </c>
      <c r="BY89" s="12">
        <f>IF('Données projet'!$A$114&gt;35,BY88+BX89-CG88,IF(A89&lt;'Données projet'!$A$114,$BV$205^A89,IF(A89='Données projet'!$A$114,'Données projet'!$B$114,BY88+BX89-CG88)))</f>
        <v>203.80000000000004</v>
      </c>
      <c r="BZ89" s="13">
        <f>BY89*VLOOKUP('Données projet'!$B$12,Paramètres!$A$1:$I$89,3,0)*VLOOKUP('Données projet'!$B$12,Paramètres!$A$1:$I$89,5,0)</f>
        <v>197.11536000000004</v>
      </c>
      <c r="CA89" s="13">
        <f t="shared" si="93"/>
        <v>49.109676122143078</v>
      </c>
      <c r="CB89" s="20">
        <f t="shared" si="64"/>
        <v>428.84193791273259</v>
      </c>
      <c r="CC89" s="59">
        <f t="shared" si="65"/>
        <v>722.1752712460659</v>
      </c>
      <c r="CD89" s="59">
        <f ca="1">AVERAGE(OFFSET($CC$3,0,0,'Données projet'!$E$12+1,1))-AVERAGE(OFFSET($H$3,0,0,'Données projet'!$E$12+1,1))</f>
        <v>156.26368818265388</v>
      </c>
      <c r="CE89" s="59">
        <f t="shared" si="94"/>
        <v>56.347130462109817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4.3</v>
      </c>
      <c r="CT89" s="12">
        <f>IF('Données projet'!$A$140&gt;35,CT88+CS89-DB88,IF(A89&lt;'Données projet'!$A$140,$CQ$205^A89,IF(A89='Données projet'!$A$140,'Données projet'!$B$140,CT88+CS89-DB88)))</f>
        <v>203.80000000000004</v>
      </c>
      <c r="CU89" s="17">
        <f>CT89*VLOOKUP('Données projet'!$B$13,Paramètres!$A$1:$I$89,3,0)*VLOOKUP('Données projet'!$B$13,Paramètres!$A$1:$I$89,5,0)</f>
        <v>165.32256000000004</v>
      </c>
      <c r="CV89" s="13">
        <f t="shared" si="95"/>
        <v>42.040737648137757</v>
      </c>
      <c r="CW89" s="20">
        <f t="shared" si="67"/>
        <v>361.15774340384002</v>
      </c>
      <c r="CX89" s="59">
        <f t="shared" si="68"/>
        <v>654.49107673717333</v>
      </c>
      <c r="CY89" s="59">
        <f ca="1">AVERAGE(OFFSET($CX$3,0,0,'Données projet'!$E$13+1,1))-AVERAGE(OFFSET($H$3,0,0,'Données projet'!$E$13+1,1))</f>
        <v>112.78807760743126</v>
      </c>
      <c r="CZ89" s="59">
        <f t="shared" si="96"/>
        <v>37.867745922003564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-8.5265128291212022E-14</v>
      </c>
      <c r="DP89" s="17">
        <f>DO89*VLOOKUP('Données projet'!$B$14,Paramètres!$A$1:$I$89,3,0)*VLOOKUP('Données projet'!$B$14,Paramètres!$A$1:$I$89,5,0)</f>
        <v>-5.7195848057745024E-14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107.15837202366862</v>
      </c>
      <c r="DU89" s="59">
        <f t="shared" si="98"/>
        <v>139.67031833740026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1.1998493882864036</v>
      </c>
      <c r="EC89" s="21">
        <f>EXP(-LN(2)/2)*EC88+(1-EXP(-LN(2)/2))/(LN(2)/2)*DW89*DZ89*VLOOKUP('Données projet'!$B$14,Paramètres!$A$1:$I$89,3,0)*0.475*44/12</f>
        <v>2.5143755807748159E-8</v>
      </c>
      <c r="ED89" s="22">
        <f t="shared" si="72"/>
        <v>1.1998494134301594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8.3000000000000007</v>
      </c>
      <c r="EJ89" s="12">
        <f>IF('Données projet'!$A$192&gt;35,EJ88+EI89-ER88,IF(A89&lt;'Données projet'!$A$192,$EG$205^A89,IF(A89='Données projet'!$A$192,'Données projet'!$B$192,EJ88+EI89-ER88)))</f>
        <v>337.99999999999989</v>
      </c>
      <c r="EK89" s="17">
        <f>EJ89*VLOOKUP('Données projet'!$B$15,Paramètres!$A$1:$I$89,3,0)*VLOOKUP('Données projet'!$B$15,Paramètres!$A$1:$I$89,5,0)</f>
        <v>158.18399999999994</v>
      </c>
      <c r="EL89" s="13">
        <f t="shared" si="99"/>
        <v>40.432639815875881</v>
      </c>
      <c r="EM89" s="20">
        <f t="shared" si="73"/>
        <v>345.92398101265036</v>
      </c>
      <c r="EN89" s="59">
        <f t="shared" si="74"/>
        <v>639.25731434598367</v>
      </c>
      <c r="EO89" s="59">
        <f ca="1">AVERAGE(OFFSET($EN$3,0,0,'Données projet'!$E$15+1,1))-AVERAGE(OFFSET($H$3,0,0,'Données projet'!$E$15+1,1))</f>
        <v>123.60520571614535</v>
      </c>
      <c r="EP89" s="59">
        <f t="shared" si="100"/>
        <v>119.00926870519527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0.28610313889532812</v>
      </c>
      <c r="EW89" s="21">
        <f>EXP(-LN(2)/25)*EW88+(1-EXP(-LN(2)/25))/(LN(2)/25)*Calculateur!ER89*Calculateur!ET89*VLOOKUP('Données projet'!$B$15,Paramètres!$A$1:$I$89,3,0)*0.475*44/12</f>
        <v>1.0111744042201449</v>
      </c>
      <c r="EX89" s="21">
        <f>EXP(-LN(2)/2)*EX88+(1-EXP(-LN(2)/2))/(LN(2)/2)*ER89*EU89*VLOOKUP('Données projet'!$B$15,Paramètres!$A$1:$I$89,3,0)*0.475*44/12</f>
        <v>2.2775346380034631E-8</v>
      </c>
      <c r="EY89" s="22">
        <f t="shared" si="75"/>
        <v>1.2972775658908193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-2.2737367544323206E-13</v>
      </c>
      <c r="FF89" s="17">
        <f>FE89*VLOOKUP('Données projet'!$B$16,Paramètres!$A$1:$I$89,3,0)*VLOOKUP('Données projet'!$B$16,Paramètres!$A$1:$I$89,5,0)</f>
        <v>-1.0936673788819462E-13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197.66963254934603</v>
      </c>
      <c r="FK89" s="59">
        <f t="shared" si="102"/>
        <v>158.08388141976138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0.87983598706655952</v>
      </c>
      <c r="FR89" s="21">
        <f>EXP(-LN(2)/25)*FR88+(1-EXP(-LN(2)/25))/(LN(2)/25)*Calculateur!FM89*Calculateur!FO89*VLOOKUP('Données projet'!$B$16,Paramètres!$A$1:$I$89,3,0)*0.475*44/12</f>
        <v>1.1247581838532019</v>
      </c>
      <c r="FS89" s="21">
        <f>EXP(-LN(2)/2)*FS88+(1-EXP(-LN(2)/2))/(LN(2)/2)*FM89*FP89*VLOOKUP('Données projet'!$B$16,Paramètres!$A$1:$I$89,3,0)*0.475*44/12</f>
        <v>3.0837866565866394E-8</v>
      </c>
      <c r="FT89" s="22">
        <f t="shared" si="78"/>
        <v>2.0045942017576279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5.6843418860808015E-14</v>
      </c>
      <c r="GA89" s="17">
        <f>FZ89*VLOOKUP('Données projet'!$B$17,Paramètres!$A$1:$I$89,3,0)*VLOOKUP('Données projet'!$B$17,Paramètres!$A$1:$I$89,5,0)</f>
        <v>3.3992364478763198E-14</v>
      </c>
      <c r="GB89" s="13">
        <f t="shared" si="103"/>
        <v>5.790027782444094E-13</v>
      </c>
      <c r="GC89" s="20">
        <f t="shared" si="79"/>
        <v>1.0676332069095257E-12</v>
      </c>
      <c r="GD89" s="59">
        <f t="shared" si="80"/>
        <v>293.33333333333439</v>
      </c>
      <c r="GE89" s="59">
        <f ca="1">AVERAGE(OFFSET($GD$3,0,0,'Données projet'!$E$17+1,1))-AVERAGE(OFFSET($H$3,0,0,'Données projet'!$E$17+1,1))</f>
        <v>165.39579887388538</v>
      </c>
      <c r="GF89" s="59">
        <f t="shared" si="104"/>
        <v>155.89639262545802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1.5430335423448396</v>
      </c>
      <c r="GN89" s="21">
        <f>EXP(-LN(2)/2)*GN88+(1-EXP(-LN(2)/2))/(LN(2)/2)*GH89*GK89*VLOOKUP('Données projet'!$B$17,Paramètres!$A$1:$I$89,3,0)*0.475*44/12</f>
        <v>5.1707162467304437E-8</v>
      </c>
      <c r="GO89" s="21">
        <f t="shared" si="81"/>
        <v>1.5430335940520021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4.3</v>
      </c>
      <c r="GU89" s="12">
        <f>IF('Données projet'!$A$270&gt;35,GU88+GT89-HC88,IF(A89&lt;'Données projet'!$A$270,$GR$205^A89,IF(A89='Données projet'!$A$270,'Données projet'!$B$270,GU88+GT89-HC88)))</f>
        <v>203.80000000000004</v>
      </c>
      <c r="GV89" s="17">
        <f>GU89*VLOOKUP('Données projet'!$B$18,Paramètres!$A$1:$I$89,3,0)*VLOOKUP('Données projet'!$B$18,Paramètres!$A$1:$I$89,5,0)</f>
        <v>219.37032000000002</v>
      </c>
      <c r="GW89" s="13">
        <f t="shared" si="105"/>
        <v>53.978005061764598</v>
      </c>
      <c r="GX89" s="20">
        <f t="shared" si="82"/>
        <v>476.08166614924011</v>
      </c>
      <c r="GY89" s="59">
        <f t="shared" si="83"/>
        <v>769.41499948257342</v>
      </c>
      <c r="GZ89" s="59">
        <f ca="1">AVERAGE(OFFSET($GY$3,0,0,'Données projet'!$E$18+1,1))-AVERAGE(OFFSET($H$3,0,0,'Données projet'!$E$18+1,1))</f>
        <v>186.60545265015247</v>
      </c>
      <c r="HA89" s="59">
        <f t="shared" si="106"/>
        <v>69.239647548491234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0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0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3.4106051316484809E-13</v>
      </c>
      <c r="O90" s="13">
        <f>N90*VLOOKUP('Données projet'!$B$9,Paramètres!$A$1:$I$89,3,0)*VLOOKUP('Données projet'!$B$9,Paramètres!$A$1:$I$89,5,0)</f>
        <v>1.9065282685915009E-13</v>
      </c>
      <c r="P90" s="13">
        <f t="shared" si="87"/>
        <v>2.6568987209435707E-12</v>
      </c>
      <c r="Q90" s="20">
        <f t="shared" si="54"/>
        <v>4.959485612423072E-12</v>
      </c>
      <c r="R90" s="59">
        <f t="shared" si="55"/>
        <v>293.33333333333826</v>
      </c>
      <c r="S90" s="59">
        <f ca="1">AVERAGE(OFFSET($R$3,0,0,'Données projet'!$E$9+1,1))-AVERAGE(OFFSET($H$3,0,0,'Données projet'!$E$9+1,1))</f>
        <v>235.10258076192054</v>
      </c>
      <c r="T90" s="59">
        <f t="shared" si="88"/>
        <v>233.47316052603765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1.1079834919295211</v>
      </c>
      <c r="AA90" s="21">
        <f>EXP(-LN(2)/25)*AA89+(1-EXP(-LN(2)/25))/(LN(2)/25)*Calculateur!V90*Calculateur!X90*VLOOKUP('Données projet'!$B$9,Paramètres!$A$1:$I$89,3,0)*0.475*44/12</f>
        <v>3.7957013502794381</v>
      </c>
      <c r="AB90" s="21">
        <f>EXP(-LN(2)/2)*AB89+(1-EXP(-LN(2)/2))/(LN(2)/2)*V90*Y90*VLOOKUP('Données projet'!$B$9,Paramètres!$A$1:$I$89,3,0)*0.475*44/12</f>
        <v>6.3541857758293089E-8</v>
      </c>
      <c r="AC90" s="22">
        <f t="shared" si="57"/>
        <v>4.9036849057508167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2.2737367544323206E-13</v>
      </c>
      <c r="AJ90" s="13">
        <f>AI90*VLOOKUP('Données projet'!$B$10,Paramètres!$A$1:$I$89,3,0)*VLOOKUP('Données projet'!$B$10,Paramètres!$A$1:$I$89,5,0)</f>
        <v>1.2414602679200471E-13</v>
      </c>
      <c r="AK90" s="13">
        <f t="shared" si="89"/>
        <v>1.8186582995804361E-12</v>
      </c>
      <c r="AL90" s="20">
        <f t="shared" si="58"/>
        <v>3.3837175350986671E-12</v>
      </c>
      <c r="AM90" s="59">
        <f t="shared" si="59"/>
        <v>293.33333333333672</v>
      </c>
      <c r="AN90" s="59">
        <f ca="1">AVERAGE(OFFSET($AM$3,0,0,'Données projet'!$E$10+1,1))-AVERAGE(OFFSET($H$3,0,0,'Données projet'!$E$10+1,1))</f>
        <v>168.72306536277267</v>
      </c>
      <c r="AO90" s="59">
        <f t="shared" si="90"/>
        <v>203.35476578922339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0.9838331217978834</v>
      </c>
      <c r="AV90" s="21">
        <f>EXP(-LN(2)/25)*AV89+(1-EXP(-LN(2)/25))/(LN(2)/25)*Calculateur!AQ90*Calculateur!AS90*VLOOKUP('Données projet'!$B$10,Paramètres!$A$1:$I$89,3,0)*0.475*44/12</f>
        <v>4.732564319326694</v>
      </c>
      <c r="AW90" s="21">
        <f>EXP(-LN(2)/2)*AW89+(1-EXP(-LN(2)/2))/(LN(2)/2)*AQ90*AT90*VLOOKUP('Données projet'!$B$10,Paramètres!$A$1:$I$89,3,0)*0.475*44/12</f>
        <v>5.2746376886660843E-8</v>
      </c>
      <c r="AX90" s="21">
        <f t="shared" si="60"/>
        <v>5.7163974938709545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5.6843418860808015E-14</v>
      </c>
      <c r="BE90" s="13">
        <f>BD90*VLOOKUP('Données projet'!$B$11,Paramètres!$A$1:$I$89,3,0)*VLOOKUP('Données projet'!$B$11,Paramètres!$A$1:$I$89,5,0)</f>
        <v>3.3992364478763198E-14</v>
      </c>
      <c r="BF90" s="13">
        <f t="shared" si="91"/>
        <v>5.790027782444094E-13</v>
      </c>
      <c r="BG90" s="20">
        <f t="shared" si="61"/>
        <v>1.0676332069095257E-12</v>
      </c>
      <c r="BH90" s="59">
        <f t="shared" si="62"/>
        <v>293.33333333333439</v>
      </c>
      <c r="BI90" s="59">
        <f ca="1">AVERAGE(OFFSET($BH$3,0,0,'Données projet'!$E$11+1,1))-AVERAGE(OFFSET($H$3,0,0,'Données projet'!$E$11+1,1))</f>
        <v>165.39579887388538</v>
      </c>
      <c r="BJ90" s="59">
        <f t="shared" si="92"/>
        <v>155.89639262545802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1.5008392089848126</v>
      </c>
      <c r="BR90" s="21">
        <f>EXP(-LN(2)/2)*BR89+(1-EXP(-LN(2)/2))/(LN(2)/2)*BL90*BO90*VLOOKUP('Données projet'!$B$11,Paramètres!$A$1:$I$89,3,0)*0.475*44/12</f>
        <v>3.6562485216545501E-8</v>
      </c>
      <c r="BS90" s="22">
        <f t="shared" si="63"/>
        <v>1.5008392455472979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4.3</v>
      </c>
      <c r="BY90" s="12">
        <f>IF('Données projet'!$A$114&gt;35,BY89+BX90-CG89,IF(A90&lt;'Données projet'!$A$114,$BV$205^A90,IF(A90='Données projet'!$A$114,'Données projet'!$B$114,BY89+BX90-CG89)))</f>
        <v>208.10000000000005</v>
      </c>
      <c r="BZ90" s="13">
        <f>BY90*VLOOKUP('Données projet'!$B$12,Paramètres!$A$1:$I$89,3,0)*VLOOKUP('Données projet'!$B$12,Paramètres!$A$1:$I$89,5,0)</f>
        <v>201.27432000000005</v>
      </c>
      <c r="CA90" s="13">
        <f t="shared" si="93"/>
        <v>50.024121084251973</v>
      </c>
      <c r="CB90" s="20">
        <f t="shared" si="64"/>
        <v>437.67811822173894</v>
      </c>
      <c r="CC90" s="59">
        <f t="shared" si="65"/>
        <v>731.0114515550722</v>
      </c>
      <c r="CD90" s="59">
        <f ca="1">AVERAGE(OFFSET($CC$3,0,0,'Données projet'!$E$12+1,1))-AVERAGE(OFFSET($H$3,0,0,'Données projet'!$E$12+1,1))</f>
        <v>156.26368818265388</v>
      </c>
      <c r="CE90" s="59">
        <f t="shared" si="94"/>
        <v>56.347130462109817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4.3</v>
      </c>
      <c r="CT90" s="12">
        <f>IF('Données projet'!$A$140&gt;35,CT89+CS90-DB89,IF(A90&lt;'Données projet'!$A$140,$CQ$205^A90,IF(A90='Données projet'!$A$140,'Données projet'!$B$140,CT89+CS90-DB89)))</f>
        <v>208.10000000000005</v>
      </c>
      <c r="CU90" s="17">
        <f>CT90*VLOOKUP('Données projet'!$B$13,Paramètres!$A$1:$I$89,3,0)*VLOOKUP('Données projet'!$B$13,Paramètres!$A$1:$I$89,5,0)</f>
        <v>168.81072000000006</v>
      </c>
      <c r="CV90" s="13">
        <f t="shared" si="95"/>
        <v>42.823555695034777</v>
      </c>
      <c r="CW90" s="20">
        <f t="shared" si="67"/>
        <v>368.59636350218562</v>
      </c>
      <c r="CX90" s="59">
        <f t="shared" si="68"/>
        <v>661.92969683551894</v>
      </c>
      <c r="CY90" s="59">
        <f ca="1">AVERAGE(OFFSET($CX$3,0,0,'Données projet'!$E$13+1,1))-AVERAGE(OFFSET($H$3,0,0,'Données projet'!$E$13+1,1))</f>
        <v>112.78807760743126</v>
      </c>
      <c r="CZ90" s="59">
        <f t="shared" si="96"/>
        <v>37.867745922003564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-8.5265128291212022E-14</v>
      </c>
      <c r="DP90" s="17">
        <f>DO90*VLOOKUP('Données projet'!$B$14,Paramètres!$A$1:$I$89,3,0)*VLOOKUP('Données projet'!$B$14,Paramètres!$A$1:$I$89,5,0)</f>
        <v>-5.7195848057745024E-14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107.15837202366862</v>
      </c>
      <c r="DU90" s="59">
        <f t="shared" si="98"/>
        <v>139.67031833740026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1.1670394436663749</v>
      </c>
      <c r="EC90" s="21">
        <f>EXP(-LN(2)/2)*EC89+(1-EXP(-LN(2)/2))/(LN(2)/2)*DW90*DZ90*VLOOKUP('Données projet'!$B$14,Paramètres!$A$1:$I$89,3,0)*0.475*44/12</f>
        <v>1.7779320236157361E-8</v>
      </c>
      <c r="ED90" s="22">
        <f t="shared" si="72"/>
        <v>1.1670394614456951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8.3000000000000007</v>
      </c>
      <c r="EJ90" s="12">
        <f>IF('Données projet'!$A$192&gt;35,EJ89+EI90-ER89,IF(A90&lt;'Données projet'!$A$192,$EG$205^A90,IF(A90='Données projet'!$A$192,'Données projet'!$B$192,EJ89+EI90-ER89)))</f>
        <v>346.2999999999999</v>
      </c>
      <c r="EK90" s="17">
        <f>EJ90*VLOOKUP('Données projet'!$B$15,Paramètres!$A$1:$I$89,3,0)*VLOOKUP('Données projet'!$B$15,Paramètres!$A$1:$I$89,5,0)</f>
        <v>162.06839999999997</v>
      </c>
      <c r="EL90" s="13">
        <f t="shared" si="99"/>
        <v>41.308699466829864</v>
      </c>
      <c r="EM90" s="20">
        <f t="shared" si="73"/>
        <v>354.21511490472858</v>
      </c>
      <c r="EN90" s="59">
        <f t="shared" si="74"/>
        <v>647.54844823806184</v>
      </c>
      <c r="EO90" s="59">
        <f ca="1">AVERAGE(OFFSET($EN$3,0,0,'Données projet'!$E$15+1,1))-AVERAGE(OFFSET($H$3,0,0,'Données projet'!$E$15+1,1))</f>
        <v>123.60520571614535</v>
      </c>
      <c r="EP90" s="59">
        <f t="shared" si="100"/>
        <v>119.00926870519527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0.28049283084727444</v>
      </c>
      <c r="EW90" s="21">
        <f>EXP(-LN(2)/25)*EW89+(1-EXP(-LN(2)/25))/(LN(2)/25)*Calculateur!ER90*Calculateur!ET90*VLOOKUP('Données projet'!$B$15,Paramètres!$A$1:$I$89,3,0)*0.475*44/12</f>
        <v>0.9835237869613942</v>
      </c>
      <c r="EX90" s="21">
        <f>EXP(-LN(2)/2)*EX89+(1-EXP(-LN(2)/2))/(LN(2)/2)*ER90*EU90*VLOOKUP('Données projet'!$B$15,Paramètres!$A$1:$I$89,3,0)*0.475*44/12</f>
        <v>1.6104601869194975E-8</v>
      </c>
      <c r="EY90" s="22">
        <f t="shared" si="75"/>
        <v>1.2640166339132706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-2.2737367544323206E-13</v>
      </c>
      <c r="FF90" s="17">
        <f>FE90*VLOOKUP('Données projet'!$B$16,Paramètres!$A$1:$I$89,3,0)*VLOOKUP('Données projet'!$B$16,Paramètres!$A$1:$I$89,5,0)</f>
        <v>-1.0936673788819462E-13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197.66963254934603</v>
      </c>
      <c r="FK90" s="59">
        <f t="shared" si="102"/>
        <v>158.08388141976138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0.86258294000714686</v>
      </c>
      <c r="FR90" s="21">
        <f>EXP(-LN(2)/25)*FR89+(1-EXP(-LN(2)/25))/(LN(2)/25)*Calculateur!FM90*Calculateur!FO90*VLOOKUP('Données projet'!$B$16,Paramètres!$A$1:$I$89,3,0)*0.475*44/12</f>
        <v>1.094001612167274</v>
      </c>
      <c r="FS90" s="21">
        <f>EXP(-LN(2)/2)*FS89+(1-EXP(-LN(2)/2))/(LN(2)/2)*FM90*FP90*VLOOKUP('Données projet'!$B$16,Paramètres!$A$1:$I$89,3,0)*0.475*44/12</f>
        <v>2.1805664566050038E-8</v>
      </c>
      <c r="FT90" s="22">
        <f t="shared" si="78"/>
        <v>1.9565845739800853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5.6843418860808015E-14</v>
      </c>
      <c r="GA90" s="17">
        <f>FZ90*VLOOKUP('Données projet'!$B$17,Paramètres!$A$1:$I$89,3,0)*VLOOKUP('Données projet'!$B$17,Paramètres!$A$1:$I$89,5,0)</f>
        <v>3.3992364478763198E-14</v>
      </c>
      <c r="GB90" s="13">
        <f t="shared" si="103"/>
        <v>5.790027782444094E-13</v>
      </c>
      <c r="GC90" s="20">
        <f t="shared" si="79"/>
        <v>1.0676332069095257E-12</v>
      </c>
      <c r="GD90" s="59">
        <f t="shared" si="80"/>
        <v>293.33333333333439</v>
      </c>
      <c r="GE90" s="59">
        <f ca="1">AVERAGE(OFFSET($GD$3,0,0,'Données projet'!$E$17+1,1))-AVERAGE(OFFSET($H$3,0,0,'Données projet'!$E$17+1,1))</f>
        <v>165.39579887388538</v>
      </c>
      <c r="GF90" s="59">
        <f t="shared" si="104"/>
        <v>155.89639262545802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1.5008392089848126</v>
      </c>
      <c r="GN90" s="21">
        <f>EXP(-LN(2)/2)*GN89+(1-EXP(-LN(2)/2))/(LN(2)/2)*GH90*GK90*VLOOKUP('Données projet'!$B$17,Paramètres!$A$1:$I$89,3,0)*0.475*44/12</f>
        <v>3.6562485216545501E-8</v>
      </c>
      <c r="GO90" s="21">
        <f t="shared" si="81"/>
        <v>1.5008392455472979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4.3</v>
      </c>
      <c r="GU90" s="12">
        <f>IF('Données projet'!$A$270&gt;35,GU89+GT90-HC89,IF(A90&lt;'Données projet'!$A$270,$GR$205^A90,IF(A90='Données projet'!$A$270,'Données projet'!$B$270,GU89+GT90-HC89)))</f>
        <v>208.10000000000005</v>
      </c>
      <c r="GV90" s="17">
        <f>GU90*VLOOKUP('Données projet'!$B$18,Paramètres!$A$1:$I$89,3,0)*VLOOKUP('Données projet'!$B$18,Paramètres!$A$1:$I$89,5,0)</f>
        <v>223.99884000000006</v>
      </c>
      <c r="GW90" s="13">
        <f t="shared" si="105"/>
        <v>54.983100568211349</v>
      </c>
      <c r="GX90" s="20">
        <f t="shared" si="82"/>
        <v>485.8935464896349</v>
      </c>
      <c r="GY90" s="59">
        <f t="shared" si="83"/>
        <v>779.22687982296816</v>
      </c>
      <c r="GZ90" s="59">
        <f ca="1">AVERAGE(OFFSET($GY$3,0,0,'Données projet'!$E$18+1,1))-AVERAGE(OFFSET($H$3,0,0,'Données projet'!$E$18+1,1))</f>
        <v>186.60545265015247</v>
      </c>
      <c r="HA90" s="59">
        <f t="shared" si="106"/>
        <v>69.239647548491234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0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0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3.4106051316484809E-13</v>
      </c>
      <c r="O91" s="13">
        <f>N91*VLOOKUP('Données projet'!$B$9,Paramètres!$A$1:$I$89,3,0)*VLOOKUP('Données projet'!$B$9,Paramètres!$A$1:$I$89,5,0)</f>
        <v>1.9065282685915009E-13</v>
      </c>
      <c r="P91" s="13">
        <f t="shared" si="87"/>
        <v>2.6568987209435707E-12</v>
      </c>
      <c r="Q91" s="20">
        <f t="shared" si="54"/>
        <v>4.959485612423072E-12</v>
      </c>
      <c r="R91" s="59">
        <f t="shared" si="55"/>
        <v>293.33333333333826</v>
      </c>
      <c r="S91" s="59">
        <f ca="1">AVERAGE(OFFSET($R$3,0,0,'Données projet'!$E$9+1,1))-AVERAGE(OFFSET($H$3,0,0,'Données projet'!$E$9+1,1))</f>
        <v>235.10258076192054</v>
      </c>
      <c r="T91" s="59">
        <f t="shared" si="88"/>
        <v>233.47316052603765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1.0862566114559833</v>
      </c>
      <c r="AA91" s="21">
        <f>EXP(-LN(2)/25)*AA90+(1-EXP(-LN(2)/25))/(LN(2)/25)*Calculateur!V91*Calculateur!X91*VLOOKUP('Données projet'!$B$9,Paramètres!$A$1:$I$89,3,0)*0.475*44/12</f>
        <v>3.6919076972487881</v>
      </c>
      <c r="AB91" s="21">
        <f>EXP(-LN(2)/2)*AB90+(1-EXP(-LN(2)/2))/(LN(2)/2)*V91*Y91*VLOOKUP('Données projet'!$B$9,Paramètres!$A$1:$I$89,3,0)*0.475*44/12</f>
        <v>4.4930878510080079E-8</v>
      </c>
      <c r="AC91" s="22">
        <f t="shared" si="57"/>
        <v>4.77816435363565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2.2737367544323206E-13</v>
      </c>
      <c r="AJ91" s="13">
        <f>AI91*VLOOKUP('Données projet'!$B$10,Paramètres!$A$1:$I$89,3,0)*VLOOKUP('Données projet'!$B$10,Paramètres!$A$1:$I$89,5,0)</f>
        <v>1.2414602679200471E-13</v>
      </c>
      <c r="AK91" s="13">
        <f t="shared" si="89"/>
        <v>1.8186582995804361E-12</v>
      </c>
      <c r="AL91" s="20">
        <f t="shared" si="58"/>
        <v>3.3837175350986671E-12</v>
      </c>
      <c r="AM91" s="59">
        <f t="shared" si="59"/>
        <v>293.33333333333672</v>
      </c>
      <c r="AN91" s="59">
        <f ca="1">AVERAGE(OFFSET($AM$3,0,0,'Données projet'!$E$10+1,1))-AVERAGE(OFFSET($H$3,0,0,'Données projet'!$E$10+1,1))</f>
        <v>168.72306536277267</v>
      </c>
      <c r="AO91" s="59">
        <f t="shared" si="90"/>
        <v>203.35476578922339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0.96454075435837838</v>
      </c>
      <c r="AV91" s="21">
        <f>EXP(-LN(2)/25)*AV90+(1-EXP(-LN(2)/25))/(LN(2)/25)*Calculateur!AQ91*Calculateur!AS91*VLOOKUP('Données projet'!$B$10,Paramètres!$A$1:$I$89,3,0)*0.475*44/12</f>
        <v>4.6031520991399644</v>
      </c>
      <c r="AW91" s="21">
        <f>EXP(-LN(2)/2)*AW90+(1-EXP(-LN(2)/2))/(LN(2)/2)*AQ91*AT91*VLOOKUP('Données projet'!$B$10,Paramètres!$A$1:$I$89,3,0)*0.475*44/12</f>
        <v>3.7297320779579256E-8</v>
      </c>
      <c r="AX91" s="21">
        <f t="shared" si="60"/>
        <v>5.567692890795664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5.6843418860808015E-14</v>
      </c>
      <c r="BE91" s="13">
        <f>BD91*VLOOKUP('Données projet'!$B$11,Paramètres!$A$1:$I$89,3,0)*VLOOKUP('Données projet'!$B$11,Paramètres!$A$1:$I$89,5,0)</f>
        <v>3.3992364478763198E-14</v>
      </c>
      <c r="BF91" s="13">
        <f t="shared" si="91"/>
        <v>5.790027782444094E-13</v>
      </c>
      <c r="BG91" s="20">
        <f t="shared" si="61"/>
        <v>1.0676332069095257E-12</v>
      </c>
      <c r="BH91" s="59">
        <f t="shared" si="62"/>
        <v>293.33333333333439</v>
      </c>
      <c r="BI91" s="59">
        <f ca="1">AVERAGE(OFFSET($BH$3,0,0,'Données projet'!$E$11+1,1))-AVERAGE(OFFSET($H$3,0,0,'Données projet'!$E$11+1,1))</f>
        <v>165.39579887388538</v>
      </c>
      <c r="BJ91" s="59">
        <f t="shared" si="92"/>
        <v>155.89639262545802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1.4597986818894191</v>
      </c>
      <c r="BR91" s="21">
        <f>EXP(-LN(2)/2)*BR90+(1-EXP(-LN(2)/2))/(LN(2)/2)*BL91*BO91*VLOOKUP('Données projet'!$B$11,Paramètres!$A$1:$I$89,3,0)*0.475*44/12</f>
        <v>2.5853581233652219E-8</v>
      </c>
      <c r="BS91" s="22">
        <f t="shared" si="63"/>
        <v>1.4597987077430004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4.3</v>
      </c>
      <c r="BY91" s="12">
        <f>IF('Données projet'!$A$114&gt;35,BY90+BX91-CG90,IF(A91&lt;'Données projet'!$A$114,$BV$205^A91,IF(A91='Données projet'!$A$114,'Données projet'!$B$114,BY90+BX91-CG90)))</f>
        <v>212.40000000000006</v>
      </c>
      <c r="BZ91" s="13">
        <f>BY91*VLOOKUP('Données projet'!$B$12,Paramètres!$A$1:$I$89,3,0)*VLOOKUP('Données projet'!$B$12,Paramètres!$A$1:$I$89,5,0)</f>
        <v>205.43328000000008</v>
      </c>
      <c r="CA91" s="13">
        <f t="shared" si="93"/>
        <v>50.93636911028532</v>
      </c>
      <c r="CB91" s="20">
        <f t="shared" si="64"/>
        <v>446.51047220041374</v>
      </c>
      <c r="CC91" s="59">
        <f t="shared" si="65"/>
        <v>739.84380553374706</v>
      </c>
      <c r="CD91" s="59">
        <f ca="1">AVERAGE(OFFSET($CC$3,0,0,'Données projet'!$E$12+1,1))-AVERAGE(OFFSET($H$3,0,0,'Données projet'!$E$12+1,1))</f>
        <v>156.26368818265388</v>
      </c>
      <c r="CE91" s="59">
        <f t="shared" si="94"/>
        <v>56.347130462109817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4.3</v>
      </c>
      <c r="CT91" s="12">
        <f>IF('Données projet'!$A$140&gt;35,CT90+CS91-DB90,IF(A91&lt;'Données projet'!$A$140,$CQ$205^A91,IF(A91='Données projet'!$A$140,'Données projet'!$B$140,CT90+CS91-DB90)))</f>
        <v>212.40000000000006</v>
      </c>
      <c r="CU91" s="17">
        <f>CT91*VLOOKUP('Données projet'!$B$13,Paramètres!$A$1:$I$89,3,0)*VLOOKUP('Données projet'!$B$13,Paramètres!$A$1:$I$89,5,0)</f>
        <v>172.29888000000005</v>
      </c>
      <c r="CV91" s="13">
        <f t="shared" si="95"/>
        <v>43.604493036936873</v>
      </c>
      <c r="CW91" s="20">
        <f t="shared" si="67"/>
        <v>376.03170803933176</v>
      </c>
      <c r="CX91" s="59">
        <f t="shared" si="68"/>
        <v>669.36504137266502</v>
      </c>
      <c r="CY91" s="59">
        <f ca="1">AVERAGE(OFFSET($CX$3,0,0,'Données projet'!$E$13+1,1))-AVERAGE(OFFSET($H$3,0,0,'Données projet'!$E$13+1,1))</f>
        <v>112.78807760743126</v>
      </c>
      <c r="CZ91" s="59">
        <f t="shared" si="96"/>
        <v>37.867745922003564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-8.5265128291212022E-14</v>
      </c>
      <c r="DP91" s="17">
        <f>DO91*VLOOKUP('Données projet'!$B$14,Paramètres!$A$1:$I$89,3,0)*VLOOKUP('Données projet'!$B$14,Paramètres!$A$1:$I$89,5,0)</f>
        <v>-5.7195848057745024E-14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107.15837202366862</v>
      </c>
      <c r="DU91" s="59">
        <f t="shared" si="98"/>
        <v>139.67031833740026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1.1351266887073808</v>
      </c>
      <c r="EC91" s="21">
        <f>EXP(-LN(2)/2)*EC90+(1-EXP(-LN(2)/2))/(LN(2)/2)*DW91*DZ91*VLOOKUP('Données projet'!$B$14,Paramètres!$A$1:$I$89,3,0)*0.475*44/12</f>
        <v>1.257187790387408E-8</v>
      </c>
      <c r="ED91" s="22">
        <f t="shared" si="72"/>
        <v>1.1351267012792587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8.3000000000000007</v>
      </c>
      <c r="EJ91" s="12">
        <f>IF('Données projet'!$A$192&gt;35,EJ90+EI91-ER90,IF(A91&lt;'Données projet'!$A$192,$EG$205^A91,IF(A91='Données projet'!$A$192,'Données projet'!$B$192,EJ90+EI91-ER90)))</f>
        <v>354.59999999999991</v>
      </c>
      <c r="EK91" s="17">
        <f>EJ91*VLOOKUP('Données projet'!$B$15,Paramètres!$A$1:$I$89,3,0)*VLOOKUP('Données projet'!$B$15,Paramètres!$A$1:$I$89,5,0)</f>
        <v>165.95279999999997</v>
      </c>
      <c r="EL91" s="13">
        <f t="shared" si="99"/>
        <v>42.182318214665827</v>
      </c>
      <c r="EM91" s="20">
        <f t="shared" si="73"/>
        <v>362.50199755720956</v>
      </c>
      <c r="EN91" s="59">
        <f t="shared" si="74"/>
        <v>655.83533089054288</v>
      </c>
      <c r="EO91" s="59">
        <f ca="1">AVERAGE(OFFSET($EN$3,0,0,'Données projet'!$E$15+1,1))-AVERAGE(OFFSET($H$3,0,0,'Données projet'!$E$15+1,1))</f>
        <v>123.60520571614535</v>
      </c>
      <c r="EP91" s="59">
        <f t="shared" si="100"/>
        <v>119.00926870519527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0.27499253751809311</v>
      </c>
      <c r="EW91" s="21">
        <f>EXP(-LN(2)/25)*EW90+(1-EXP(-LN(2)/25))/(LN(2)/25)*Calculateur!ER91*Calculateur!ET91*VLOOKUP('Données projet'!$B$15,Paramètres!$A$1:$I$89,3,0)*0.475*44/12</f>
        <v>0.95662927728566682</v>
      </c>
      <c r="EX91" s="21">
        <f>EXP(-LN(2)/2)*EX90+(1-EXP(-LN(2)/2))/(LN(2)/2)*ER91*EU91*VLOOKUP('Données projet'!$B$15,Paramètres!$A$1:$I$89,3,0)*0.475*44/12</f>
        <v>1.1387673190017316E-8</v>
      </c>
      <c r="EY91" s="22">
        <f t="shared" si="75"/>
        <v>1.2316218261914331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-2.2737367544323206E-13</v>
      </c>
      <c r="FF91" s="17">
        <f>FE91*VLOOKUP('Données projet'!$B$16,Paramètres!$A$1:$I$89,3,0)*VLOOKUP('Données projet'!$B$16,Paramètres!$A$1:$I$89,5,0)</f>
        <v>-1.0936673788819462E-13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197.66963254934603</v>
      </c>
      <c r="FK91" s="59">
        <f t="shared" si="102"/>
        <v>158.08388141976138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0.84566821467724973</v>
      </c>
      <c r="FR91" s="21">
        <f>EXP(-LN(2)/25)*FR90+(1-EXP(-LN(2)/25))/(LN(2)/25)*Calculateur!FM91*Calculateur!FO91*VLOOKUP('Données projet'!$B$16,Paramètres!$A$1:$I$89,3,0)*0.475*44/12</f>
        <v>1.0640860805515155</v>
      </c>
      <c r="FS91" s="21">
        <f>EXP(-LN(2)/2)*FS90+(1-EXP(-LN(2)/2))/(LN(2)/2)*FM91*FP91*VLOOKUP('Données projet'!$B$16,Paramètres!$A$1:$I$89,3,0)*0.475*44/12</f>
        <v>1.5418933282933197E-8</v>
      </c>
      <c r="FT91" s="22">
        <f t="shared" si="78"/>
        <v>1.9097543106476986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5.6843418860808015E-14</v>
      </c>
      <c r="GA91" s="17">
        <f>FZ91*VLOOKUP('Données projet'!$B$17,Paramètres!$A$1:$I$89,3,0)*VLOOKUP('Données projet'!$B$17,Paramètres!$A$1:$I$89,5,0)</f>
        <v>3.3992364478763198E-14</v>
      </c>
      <c r="GB91" s="13">
        <f t="shared" si="103"/>
        <v>5.790027782444094E-13</v>
      </c>
      <c r="GC91" s="20">
        <f t="shared" si="79"/>
        <v>1.0676332069095257E-12</v>
      </c>
      <c r="GD91" s="59">
        <f t="shared" si="80"/>
        <v>293.33333333333439</v>
      </c>
      <c r="GE91" s="59">
        <f ca="1">AVERAGE(OFFSET($GD$3,0,0,'Données projet'!$E$17+1,1))-AVERAGE(OFFSET($H$3,0,0,'Données projet'!$E$17+1,1))</f>
        <v>165.39579887388538</v>
      </c>
      <c r="GF91" s="59">
        <f t="shared" si="104"/>
        <v>155.89639262545802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1.4597986818894191</v>
      </c>
      <c r="GN91" s="21">
        <f>EXP(-LN(2)/2)*GN90+(1-EXP(-LN(2)/2))/(LN(2)/2)*GH91*GK91*VLOOKUP('Données projet'!$B$17,Paramètres!$A$1:$I$89,3,0)*0.475*44/12</f>
        <v>2.5853581233652219E-8</v>
      </c>
      <c r="GO91" s="21">
        <f t="shared" si="81"/>
        <v>1.4597987077430004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4.3</v>
      </c>
      <c r="GU91" s="12">
        <f>IF('Données projet'!$A$270&gt;35,GU90+GT91-HC90,IF(A91&lt;'Données projet'!$A$270,$GR$205^A91,IF(A91='Données projet'!$A$270,'Données projet'!$B$270,GU90+GT91-HC90)))</f>
        <v>212.40000000000006</v>
      </c>
      <c r="GV91" s="17">
        <f>GU91*VLOOKUP('Données projet'!$B$18,Paramètres!$A$1:$I$89,3,0)*VLOOKUP('Données projet'!$B$18,Paramètres!$A$1:$I$89,5,0)</f>
        <v>228.62736000000007</v>
      </c>
      <c r="GW91" s="13">
        <f t="shared" si="105"/>
        <v>55.985781352428695</v>
      </c>
      <c r="GX91" s="20">
        <f t="shared" si="82"/>
        <v>495.70122118881346</v>
      </c>
      <c r="GY91" s="59">
        <f t="shared" si="83"/>
        <v>789.03455452214678</v>
      </c>
      <c r="GZ91" s="59">
        <f ca="1">AVERAGE(OFFSET($GY$3,0,0,'Données projet'!$E$18+1,1))-AVERAGE(OFFSET($H$3,0,0,'Données projet'!$E$18+1,1))</f>
        <v>186.60545265015247</v>
      </c>
      <c r="HA91" s="59">
        <f t="shared" si="106"/>
        <v>69.239647548491234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0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0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3.4106051316484809E-13</v>
      </c>
      <c r="O92" s="13">
        <f>N92*VLOOKUP('Données projet'!$B$9,Paramètres!$A$1:$I$89,3,0)*VLOOKUP('Données projet'!$B$9,Paramètres!$A$1:$I$89,5,0)</f>
        <v>1.9065282685915009E-13</v>
      </c>
      <c r="P92" s="13">
        <f t="shared" si="87"/>
        <v>2.6568987209435707E-12</v>
      </c>
      <c r="Q92" s="20">
        <f t="shared" si="54"/>
        <v>4.959485612423072E-12</v>
      </c>
      <c r="R92" s="59">
        <f t="shared" si="55"/>
        <v>293.33333333333826</v>
      </c>
      <c r="S92" s="59">
        <f ca="1">AVERAGE(OFFSET($R$3,0,0,'Données projet'!$E$9+1,1))-AVERAGE(OFFSET($H$3,0,0,'Données projet'!$E$9+1,1))</f>
        <v>235.10258076192054</v>
      </c>
      <c r="T92" s="59">
        <f t="shared" si="88"/>
        <v>233.47316052603765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1.064955781856443</v>
      </c>
      <c r="AA92" s="21">
        <f>EXP(-LN(2)/25)*AA91+(1-EXP(-LN(2)/25))/(LN(2)/25)*Calculateur!V92*Calculateur!X92*VLOOKUP('Données projet'!$B$9,Paramètres!$A$1:$I$89,3,0)*0.475*44/12</f>
        <v>3.5909522871185322</v>
      </c>
      <c r="AB92" s="21">
        <f>EXP(-LN(2)/2)*AB91+(1-EXP(-LN(2)/2))/(LN(2)/2)*V92*Y92*VLOOKUP('Données projet'!$B$9,Paramètres!$A$1:$I$89,3,0)*0.475*44/12</f>
        <v>3.1770928879146544E-8</v>
      </c>
      <c r="AC92" s="22">
        <f t="shared" si="57"/>
        <v>4.6559081007459042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2.2737367544323206E-13</v>
      </c>
      <c r="AJ92" s="13">
        <f>AI92*VLOOKUP('Données projet'!$B$10,Paramètres!$A$1:$I$89,3,0)*VLOOKUP('Données projet'!$B$10,Paramètres!$A$1:$I$89,5,0)</f>
        <v>1.2414602679200471E-13</v>
      </c>
      <c r="AK92" s="13">
        <f t="shared" si="89"/>
        <v>1.8186582995804361E-12</v>
      </c>
      <c r="AL92" s="20">
        <f t="shared" si="58"/>
        <v>3.3837175350986671E-12</v>
      </c>
      <c r="AM92" s="59">
        <f t="shared" si="59"/>
        <v>293.33333333333672</v>
      </c>
      <c r="AN92" s="59">
        <f ca="1">AVERAGE(OFFSET($AM$3,0,0,'Données projet'!$E$10+1,1))-AVERAGE(OFFSET($H$3,0,0,'Données projet'!$E$10+1,1))</f>
        <v>168.72306536277267</v>
      </c>
      <c r="AO92" s="59">
        <f t="shared" si="90"/>
        <v>203.35476578922339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0.94562669847717973</v>
      </c>
      <c r="AV92" s="21">
        <f>EXP(-LN(2)/25)*AV91+(1-EXP(-LN(2)/25))/(LN(2)/25)*Calculateur!AQ92*Calculateur!AS92*VLOOKUP('Données projet'!$B$10,Paramètres!$A$1:$I$89,3,0)*0.475*44/12</f>
        <v>4.4772786629197334</v>
      </c>
      <c r="AW92" s="21">
        <f>EXP(-LN(2)/2)*AW91+(1-EXP(-LN(2)/2))/(LN(2)/2)*AQ92*AT92*VLOOKUP('Données projet'!$B$10,Paramètres!$A$1:$I$89,3,0)*0.475*44/12</f>
        <v>2.6373188443330422E-8</v>
      </c>
      <c r="AX92" s="21">
        <f t="shared" si="60"/>
        <v>5.4229053877701014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5.6843418860808015E-14</v>
      </c>
      <c r="BE92" s="13">
        <f>BD92*VLOOKUP('Données projet'!$B$11,Paramètres!$A$1:$I$89,3,0)*VLOOKUP('Données projet'!$B$11,Paramètres!$A$1:$I$89,5,0)</f>
        <v>3.3992364478763198E-14</v>
      </c>
      <c r="BF92" s="13">
        <f t="shared" si="91"/>
        <v>5.790027782444094E-13</v>
      </c>
      <c r="BG92" s="20">
        <f t="shared" si="61"/>
        <v>1.0676332069095257E-12</v>
      </c>
      <c r="BH92" s="59">
        <f t="shared" si="62"/>
        <v>293.33333333333439</v>
      </c>
      <c r="BI92" s="59">
        <f ca="1">AVERAGE(OFFSET($BH$3,0,0,'Données projet'!$E$11+1,1))-AVERAGE(OFFSET($H$3,0,0,'Données projet'!$E$11+1,1))</f>
        <v>165.39579887388538</v>
      </c>
      <c r="BJ92" s="59">
        <f t="shared" si="92"/>
        <v>155.89639262545802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1.4198804101656766</v>
      </c>
      <c r="BR92" s="21">
        <f>EXP(-LN(2)/2)*BR91+(1-EXP(-LN(2)/2))/(LN(2)/2)*BL92*BO92*VLOOKUP('Données projet'!$B$11,Paramètres!$A$1:$I$89,3,0)*0.475*44/12</f>
        <v>1.828124260827275E-8</v>
      </c>
      <c r="BS92" s="22">
        <f t="shared" si="63"/>
        <v>1.4198804284469191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4.3</v>
      </c>
      <c r="BY92" s="12">
        <f>IF('Données projet'!$A$114&gt;35,BY91+BX92-CG91,IF(A92&lt;'Données projet'!$A$114,$BV$205^A92,IF(A92='Données projet'!$A$114,'Données projet'!$B$114,BY91+BX92-CG91)))</f>
        <v>216.70000000000007</v>
      </c>
      <c r="BZ92" s="13">
        <f>BY92*VLOOKUP('Données projet'!$B$12,Paramètres!$A$1:$I$89,3,0)*VLOOKUP('Données projet'!$B$12,Paramètres!$A$1:$I$89,5,0)</f>
        <v>209.59224000000006</v>
      </c>
      <c r="CA92" s="13">
        <f t="shared" si="93"/>
        <v>51.846469802275223</v>
      </c>
      <c r="CB92" s="20">
        <f t="shared" si="64"/>
        <v>455.33908623896281</v>
      </c>
      <c r="CC92" s="59">
        <f t="shared" si="65"/>
        <v>748.67241957229612</v>
      </c>
      <c r="CD92" s="59">
        <f ca="1">AVERAGE(OFFSET($CC$3,0,0,'Données projet'!$E$12+1,1))-AVERAGE(OFFSET($H$3,0,0,'Données projet'!$E$12+1,1))</f>
        <v>156.26368818265388</v>
      </c>
      <c r="CE92" s="59">
        <f t="shared" si="94"/>
        <v>56.347130462109817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4.3</v>
      </c>
      <c r="CT92" s="12">
        <f>IF('Données projet'!$A$140&gt;35,CT91+CS92-DB91,IF(A92&lt;'Données projet'!$A$140,$CQ$205^A92,IF(A92='Données projet'!$A$140,'Données projet'!$B$140,CT91+CS92-DB91)))</f>
        <v>216.70000000000007</v>
      </c>
      <c r="CU92" s="17">
        <f>CT92*VLOOKUP('Données projet'!$B$13,Paramètres!$A$1:$I$89,3,0)*VLOOKUP('Données projet'!$B$13,Paramètres!$A$1:$I$89,5,0)</f>
        <v>175.78704000000008</v>
      </c>
      <c r="CV92" s="13">
        <f t="shared" si="95"/>
        <v>44.383592136067087</v>
      </c>
      <c r="CW92" s="20">
        <f t="shared" si="67"/>
        <v>383.46385097031697</v>
      </c>
      <c r="CX92" s="59">
        <f t="shared" si="68"/>
        <v>676.79718430365028</v>
      </c>
      <c r="CY92" s="59">
        <f ca="1">AVERAGE(OFFSET($CX$3,0,0,'Données projet'!$E$13+1,1))-AVERAGE(OFFSET($H$3,0,0,'Données projet'!$E$13+1,1))</f>
        <v>112.78807760743126</v>
      </c>
      <c r="CZ92" s="59">
        <f t="shared" si="96"/>
        <v>37.867745922003564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-8.5265128291212022E-14</v>
      </c>
      <c r="DP92" s="17">
        <f>DO92*VLOOKUP('Données projet'!$B$14,Paramètres!$A$1:$I$89,3,0)*VLOOKUP('Données projet'!$B$14,Paramètres!$A$1:$I$89,5,0)</f>
        <v>-5.7195848057745024E-14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107.15837202366862</v>
      </c>
      <c r="DU92" s="59">
        <f t="shared" si="98"/>
        <v>139.67031833740026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1.1040865897109593</v>
      </c>
      <c r="EC92" s="21">
        <f>EXP(-LN(2)/2)*EC91+(1-EXP(-LN(2)/2))/(LN(2)/2)*DW92*DZ92*VLOOKUP('Données projet'!$B$14,Paramètres!$A$1:$I$89,3,0)*0.475*44/12</f>
        <v>8.8896601180786805E-9</v>
      </c>
      <c r="ED92" s="22">
        <f t="shared" si="72"/>
        <v>1.1040865986006194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8.3000000000000007</v>
      </c>
      <c r="EJ92" s="12">
        <f>IF('Données projet'!$A$192&gt;35,EJ91+EI92-ER91,IF(A92&lt;'Données projet'!$A$192,$EG$205^A92,IF(A92='Données projet'!$A$192,'Données projet'!$B$192,EJ91+EI92-ER91)))</f>
        <v>362.89999999999992</v>
      </c>
      <c r="EK92" s="17">
        <f>EJ92*VLOOKUP('Données projet'!$B$15,Paramètres!$A$1:$I$89,3,0)*VLOOKUP('Données projet'!$B$15,Paramètres!$A$1:$I$89,5,0)</f>
        <v>169.83719999999997</v>
      </c>
      <c r="EL92" s="13">
        <f t="shared" si="99"/>
        <v>43.053559768035221</v>
      </c>
      <c r="EM92" s="20">
        <f t="shared" si="73"/>
        <v>370.78473992932794</v>
      </c>
      <c r="EN92" s="59">
        <f t="shared" si="74"/>
        <v>664.11807326266126</v>
      </c>
      <c r="EO92" s="59">
        <f ca="1">AVERAGE(OFFSET($EN$3,0,0,'Données projet'!$E$15+1,1))-AVERAGE(OFFSET($H$3,0,0,'Données projet'!$E$15+1,1))</f>
        <v>123.60520571614535</v>
      </c>
      <c r="EP92" s="59">
        <f t="shared" si="100"/>
        <v>119.00926870519527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0.26960010158624931</v>
      </c>
      <c r="EW92" s="21">
        <f>EXP(-LN(2)/25)*EW91+(1-EXP(-LN(2)/25))/(LN(2)/25)*Calculateur!ER92*Calculateur!ET92*VLOOKUP('Données projet'!$B$15,Paramètres!$A$1:$I$89,3,0)*0.475*44/12</f>
        <v>0.93047019939134301</v>
      </c>
      <c r="EX92" s="21">
        <f>EXP(-LN(2)/2)*EX91+(1-EXP(-LN(2)/2))/(LN(2)/2)*ER92*EU92*VLOOKUP('Données projet'!$B$15,Paramètres!$A$1:$I$89,3,0)*0.475*44/12</f>
        <v>8.0523009345974874E-9</v>
      </c>
      <c r="EY92" s="22">
        <f t="shared" si="75"/>
        <v>1.2000703090298932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-2.2737367544323206E-13</v>
      </c>
      <c r="FF92" s="17">
        <f>FE92*VLOOKUP('Données projet'!$B$16,Paramètres!$A$1:$I$89,3,0)*VLOOKUP('Données projet'!$B$16,Paramètres!$A$1:$I$89,5,0)</f>
        <v>-1.0936673788819462E-13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197.66963254934603</v>
      </c>
      <c r="FK92" s="59">
        <f t="shared" si="102"/>
        <v>158.08388141976138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0.82908517679410809</v>
      </c>
      <c r="FR92" s="21">
        <f>EXP(-LN(2)/25)*FR91+(1-EXP(-LN(2)/25))/(LN(2)/25)*Calculateur!FM92*Calculateur!FO92*VLOOKUP('Données projet'!$B$16,Paramètres!$A$1:$I$89,3,0)*0.475*44/12</f>
        <v>1.0349885907209795</v>
      </c>
      <c r="FS92" s="21">
        <f>EXP(-LN(2)/2)*FS91+(1-EXP(-LN(2)/2))/(LN(2)/2)*FM92*FP92*VLOOKUP('Données projet'!$B$16,Paramètres!$A$1:$I$89,3,0)*0.475*44/12</f>
        <v>1.0902832283025019E-8</v>
      </c>
      <c r="FT92" s="22">
        <f t="shared" si="78"/>
        <v>1.8640737784179198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5.6843418860808015E-14</v>
      </c>
      <c r="GA92" s="17">
        <f>FZ92*VLOOKUP('Données projet'!$B$17,Paramètres!$A$1:$I$89,3,0)*VLOOKUP('Données projet'!$B$17,Paramètres!$A$1:$I$89,5,0)</f>
        <v>3.3992364478763198E-14</v>
      </c>
      <c r="GB92" s="13">
        <f t="shared" si="103"/>
        <v>5.790027782444094E-13</v>
      </c>
      <c r="GC92" s="20">
        <f t="shared" si="79"/>
        <v>1.0676332069095257E-12</v>
      </c>
      <c r="GD92" s="59">
        <f t="shared" si="80"/>
        <v>293.33333333333439</v>
      </c>
      <c r="GE92" s="59">
        <f ca="1">AVERAGE(OFFSET($GD$3,0,0,'Données projet'!$E$17+1,1))-AVERAGE(OFFSET($H$3,0,0,'Données projet'!$E$17+1,1))</f>
        <v>165.39579887388538</v>
      </c>
      <c r="GF92" s="59">
        <f t="shared" si="104"/>
        <v>155.89639262545802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1.4198804101656766</v>
      </c>
      <c r="GN92" s="21">
        <f>EXP(-LN(2)/2)*GN91+(1-EXP(-LN(2)/2))/(LN(2)/2)*GH92*GK92*VLOOKUP('Données projet'!$B$17,Paramètres!$A$1:$I$89,3,0)*0.475*44/12</f>
        <v>1.828124260827275E-8</v>
      </c>
      <c r="GO92" s="21">
        <f t="shared" si="81"/>
        <v>1.4198804284469191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4.3</v>
      </c>
      <c r="GU92" s="12">
        <f>IF('Données projet'!$A$270&gt;35,GU91+GT92-HC91,IF(A92&lt;'Données projet'!$A$270,$GR$205^A92,IF(A92='Données projet'!$A$270,'Données projet'!$B$270,GU91+GT92-HC91)))</f>
        <v>216.70000000000007</v>
      </c>
      <c r="GV92" s="17">
        <f>GU92*VLOOKUP('Données projet'!$B$18,Paramètres!$A$1:$I$89,3,0)*VLOOKUP('Données projet'!$B$18,Paramètres!$A$1:$I$89,5,0)</f>
        <v>233.2558800000001</v>
      </c>
      <c r="GW92" s="13">
        <f t="shared" si="105"/>
        <v>56.986101933585942</v>
      </c>
      <c r="GX92" s="20">
        <f t="shared" si="82"/>
        <v>505.50478520099563</v>
      </c>
      <c r="GY92" s="59">
        <f t="shared" si="83"/>
        <v>798.83811853432894</v>
      </c>
      <c r="GZ92" s="59">
        <f ca="1">AVERAGE(OFFSET($GY$3,0,0,'Données projet'!$E$18+1,1))-AVERAGE(OFFSET($H$3,0,0,'Données projet'!$E$18+1,1))</f>
        <v>186.60545265015247</v>
      </c>
      <c r="HA92" s="59">
        <f t="shared" si="106"/>
        <v>69.239647548491234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0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0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3.4106051316484809E-13</v>
      </c>
      <c r="O93" s="13">
        <f>N93*VLOOKUP('Données projet'!$B$9,Paramètres!$A$1:$I$89,3,0)*VLOOKUP('Données projet'!$B$9,Paramètres!$A$1:$I$89,5,0)</f>
        <v>1.9065282685915009E-13</v>
      </c>
      <c r="P93" s="13">
        <f t="shared" si="87"/>
        <v>2.6568987209435707E-12</v>
      </c>
      <c r="Q93" s="20">
        <f t="shared" si="54"/>
        <v>4.959485612423072E-12</v>
      </c>
      <c r="R93" s="59">
        <f t="shared" si="55"/>
        <v>293.33333333333826</v>
      </c>
      <c r="S93" s="59">
        <f ca="1">AVERAGE(OFFSET($R$3,0,0,'Données projet'!$E$9+1,1))-AVERAGE(OFFSET($H$3,0,0,'Données projet'!$E$9+1,1))</f>
        <v>235.10258076192054</v>
      </c>
      <c r="T93" s="59">
        <f t="shared" si="88"/>
        <v>233.47316052603765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1.0440726485331264</v>
      </c>
      <c r="AA93" s="21">
        <f>EXP(-LN(2)/25)*AA92+(1-EXP(-LN(2)/25))/(LN(2)/25)*Calculateur!V93*Calculateur!X93*VLOOKUP('Données projet'!$B$9,Paramètres!$A$1:$I$89,3,0)*0.475*44/12</f>
        <v>3.4927575079873026</v>
      </c>
      <c r="AB93" s="21">
        <f>EXP(-LN(2)/2)*AB92+(1-EXP(-LN(2)/2))/(LN(2)/2)*V93*Y93*VLOOKUP('Données projet'!$B$9,Paramètres!$A$1:$I$89,3,0)*0.475*44/12</f>
        <v>2.2465439255040039E-8</v>
      </c>
      <c r="AC93" s="22">
        <f t="shared" si="57"/>
        <v>4.536830178985868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2.2737367544323206E-13</v>
      </c>
      <c r="AJ93" s="13">
        <f>AI93*VLOOKUP('Données projet'!$B$10,Paramètres!$A$1:$I$89,3,0)*VLOOKUP('Données projet'!$B$10,Paramètres!$A$1:$I$89,5,0)</f>
        <v>1.2414602679200471E-13</v>
      </c>
      <c r="AK93" s="13">
        <f t="shared" si="89"/>
        <v>1.8186582995804361E-12</v>
      </c>
      <c r="AL93" s="20">
        <f t="shared" si="58"/>
        <v>3.3837175350986671E-12</v>
      </c>
      <c r="AM93" s="59">
        <f t="shared" si="59"/>
        <v>293.33333333333672</v>
      </c>
      <c r="AN93" s="59">
        <f ca="1">AVERAGE(OFFSET($AM$3,0,0,'Données projet'!$E$10+1,1))-AVERAGE(OFFSET($H$3,0,0,'Données projet'!$E$10+1,1))</f>
        <v>168.72306536277267</v>
      </c>
      <c r="AO93" s="59">
        <f t="shared" si="90"/>
        <v>203.35476578922339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0.92708353569537649</v>
      </c>
      <c r="AV93" s="21">
        <f>EXP(-LN(2)/25)*AV92+(1-EXP(-LN(2)/25))/(LN(2)/25)*Calculateur!AQ93*Calculateur!AS93*VLOOKUP('Données projet'!$B$10,Paramètres!$A$1:$I$89,3,0)*0.475*44/12</f>
        <v>4.3548472424323412</v>
      </c>
      <c r="AW93" s="21">
        <f>EXP(-LN(2)/2)*AW92+(1-EXP(-LN(2)/2))/(LN(2)/2)*AQ93*AT93*VLOOKUP('Données projet'!$B$10,Paramètres!$A$1:$I$89,3,0)*0.475*44/12</f>
        <v>1.8648660389789628E-8</v>
      </c>
      <c r="AX93" s="21">
        <f t="shared" si="60"/>
        <v>5.2819307967763782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5.6843418860808015E-14</v>
      </c>
      <c r="BE93" s="13">
        <f>BD93*VLOOKUP('Données projet'!$B$11,Paramètres!$A$1:$I$89,3,0)*VLOOKUP('Données projet'!$B$11,Paramètres!$A$1:$I$89,5,0)</f>
        <v>3.3992364478763198E-14</v>
      </c>
      <c r="BF93" s="13">
        <f t="shared" si="91"/>
        <v>5.790027782444094E-13</v>
      </c>
      <c r="BG93" s="20">
        <f t="shared" si="61"/>
        <v>1.0676332069095257E-12</v>
      </c>
      <c r="BH93" s="59">
        <f t="shared" si="62"/>
        <v>293.33333333333439</v>
      </c>
      <c r="BI93" s="59">
        <f ca="1">AVERAGE(OFFSET($BH$3,0,0,'Données projet'!$E$11+1,1))-AVERAGE(OFFSET($H$3,0,0,'Données projet'!$E$11+1,1))</f>
        <v>165.39579887388538</v>
      </c>
      <c r="BJ93" s="59">
        <f t="shared" si="92"/>
        <v>155.89639262545802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1.3810537056814305</v>
      </c>
      <c r="BR93" s="21">
        <f>EXP(-LN(2)/2)*BR92+(1-EXP(-LN(2)/2))/(LN(2)/2)*BL93*BO93*VLOOKUP('Données projet'!$B$11,Paramètres!$A$1:$I$89,3,0)*0.475*44/12</f>
        <v>1.2926790616826109E-8</v>
      </c>
      <c r="BS93" s="22">
        <f t="shared" si="63"/>
        <v>1.381053718608221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221</v>
      </c>
      <c r="BW93" s="12">
        <f>VLOOKUP(A93,'Données projet'!$A$113:$I$133,9,0)</f>
        <v>4.3</v>
      </c>
      <c r="BX93" s="12">
        <f t="array" ref="BX93">INDEX(BW:BW,MIN(IF(ISNUMBER(BW93:BW289),ROW(BW93:BW289),"")))</f>
        <v>4.3</v>
      </c>
      <c r="BY93" s="12">
        <f>IF('Données projet'!$A$114&gt;35,BY92+BX93-CG92,IF(A93&lt;'Données projet'!$A$114,$BV$205^A93,IF(A93='Données projet'!$A$114,'Données projet'!$B$114,BY92+BX93-CG92)))</f>
        <v>221.00000000000009</v>
      </c>
      <c r="BZ93" s="13">
        <f>BY93*VLOOKUP('Données projet'!$B$12,Paramètres!$A$1:$I$89,3,0)*VLOOKUP('Données projet'!$B$12,Paramètres!$A$1:$I$89,5,0)</f>
        <v>213.75120000000007</v>
      </c>
      <c r="CA93" s="13">
        <f t="shared" si="93"/>
        <v>52.75447068116425</v>
      </c>
      <c r="CB93" s="20">
        <f t="shared" si="64"/>
        <v>464.16404310302778</v>
      </c>
      <c r="CC93" s="59">
        <f t="shared" si="65"/>
        <v>757.49737643636104</v>
      </c>
      <c r="CD93" s="59">
        <f ca="1">AVERAGE(OFFSET($CC$3,0,0,'Données projet'!$E$12+1,1))-AVERAGE(OFFSET($H$3,0,0,'Données projet'!$E$12+1,1))</f>
        <v>156.26368818265388</v>
      </c>
      <c r="CE93" s="59">
        <f t="shared" si="94"/>
        <v>56.347130462109817</v>
      </c>
      <c r="CF93" s="15">
        <f>IF(ISNA(VLOOKUP(A93,'Données projet'!$A$113:$I$133,3,0)),0,VLOOKUP(A93,'Données projet'!$A$113:$I$133,3,0))</f>
        <v>6</v>
      </c>
      <c r="CG93" s="15">
        <f>IF(ISNA(VLOOKUP(A93,'Données projet'!$A$113:$I$133,4,0)),0,VLOOKUP(A93,'Données projet'!$A$113:$I$133,4,0))</f>
        <v>28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221</v>
      </c>
      <c r="CR93" s="12">
        <f>VLOOKUP(A93,'Données projet'!$A$139:$I$159,9,0)</f>
        <v>4.3</v>
      </c>
      <c r="CS93" s="12">
        <f t="array" ref="CS93">INDEX(CR:CR,MIN(IF(ISNUMBER(CR93:CR289),ROW(CR93:CR289),"")))</f>
        <v>4.3</v>
      </c>
      <c r="CT93" s="12">
        <f>IF('Données projet'!$A$140&gt;35,CT92+CS93-DB92,IF(A93&lt;'Données projet'!$A$140,$CQ$205^A93,IF(A93='Données projet'!$A$140,'Données projet'!$B$140,CT92+CS93-DB92)))</f>
        <v>221.00000000000009</v>
      </c>
      <c r="CU93" s="17">
        <f>CT93*VLOOKUP('Données projet'!$B$13,Paramètres!$A$1:$I$89,3,0)*VLOOKUP('Données projet'!$B$13,Paramètres!$A$1:$I$89,5,0)</f>
        <v>179.27520000000007</v>
      </c>
      <c r="CV93" s="13">
        <f t="shared" si="95"/>
        <v>45.16089367311465</v>
      </c>
      <c r="CW93" s="20">
        <f t="shared" si="67"/>
        <v>390.89286314734153</v>
      </c>
      <c r="CX93" s="59">
        <f t="shared" si="68"/>
        <v>684.22619648067484</v>
      </c>
      <c r="CY93" s="59">
        <f ca="1">AVERAGE(OFFSET($CX$3,0,0,'Données projet'!$E$13+1,1))-AVERAGE(OFFSET($H$3,0,0,'Données projet'!$E$13+1,1))</f>
        <v>112.78807760743126</v>
      </c>
      <c r="CZ93" s="59">
        <f t="shared" si="96"/>
        <v>37.867745922003564</v>
      </c>
      <c r="DA93" s="15">
        <f>IF(ISNA(VLOOKUP(A93,'Données projet'!$A$139:$I$159,3,0)),0,VLOOKUP(A93,'Données projet'!$A$139:$I$159,3,0))</f>
        <v>6</v>
      </c>
      <c r="DB93" s="15">
        <f>IF(ISNA(VLOOKUP(A93,'Données projet'!$A$139:$I$159,4,0)),0,VLOOKUP(A93,'Données projet'!$A$139:$I$159,4,0))</f>
        <v>28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-8.5265128291212022E-14</v>
      </c>
      <c r="DP93" s="17">
        <f>DO93*VLOOKUP('Données projet'!$B$14,Paramètres!$A$1:$I$89,3,0)*VLOOKUP('Données projet'!$B$14,Paramètres!$A$1:$I$89,5,0)</f>
        <v>-5.7195848057745024E-14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107.15837202366862</v>
      </c>
      <c r="DU93" s="59">
        <f t="shared" si="98"/>
        <v>139.67031833740026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1.0738952838539229</v>
      </c>
      <c r="EC93" s="21">
        <f>EXP(-LN(2)/2)*EC92+(1-EXP(-LN(2)/2))/(LN(2)/2)*DW93*DZ93*VLOOKUP('Données projet'!$B$14,Paramètres!$A$1:$I$89,3,0)*0.475*44/12</f>
        <v>6.2859389519370398E-9</v>
      </c>
      <c r="ED93" s="22">
        <f t="shared" si="72"/>
        <v>1.0738952901398617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371.2</v>
      </c>
      <c r="EH93" s="12">
        <f>VLOOKUP(A93,'Données projet'!$A$191:$I$211,9,0)</f>
        <v>8.3000000000000007</v>
      </c>
      <c r="EI93" s="12">
        <f t="array" ref="EI93">INDEX(EH:EH,MIN(IF(ISNUMBER(EH93:EH289),ROW(EH93:EH289),"")))</f>
        <v>8.3000000000000007</v>
      </c>
      <c r="EJ93" s="12">
        <f>IF('Données projet'!$A$192&gt;35,EJ92+EI93-ER92,IF(A93&lt;'Données projet'!$A$192,$EG$205^A93,IF(A93='Données projet'!$A$192,'Données projet'!$B$192,EJ92+EI93-ER92)))</f>
        <v>371.19999999999993</v>
      </c>
      <c r="EK93" s="17">
        <f>EJ93*VLOOKUP('Données projet'!$B$15,Paramètres!$A$1:$I$89,3,0)*VLOOKUP('Données projet'!$B$15,Paramètres!$A$1:$I$89,5,0)</f>
        <v>173.72159999999997</v>
      </c>
      <c r="EL93" s="13">
        <f t="shared" si="99"/>
        <v>43.922484755075111</v>
      </c>
      <c r="EM93" s="20">
        <f t="shared" si="73"/>
        <v>379.06344761508905</v>
      </c>
      <c r="EN93" s="59">
        <f t="shared" si="74"/>
        <v>672.39678094842236</v>
      </c>
      <c r="EO93" s="59">
        <f ca="1">AVERAGE(OFFSET($EN$3,0,0,'Données projet'!$E$15+1,1))-AVERAGE(OFFSET($H$3,0,0,'Données projet'!$E$15+1,1))</f>
        <v>123.60520571614535</v>
      </c>
      <c r="EP93" s="59">
        <f t="shared" si="100"/>
        <v>119.00926870519527</v>
      </c>
      <c r="EQ93" s="15">
        <f>IF(ISNA(VLOOKUP(A93,'Données projet'!$A$191:$I$211,3,0)),0,VLOOKUP(A93,'Données projet'!$A$191:$I$211,3,0))</f>
        <v>8</v>
      </c>
      <c r="ER93" s="15">
        <f>IF(ISNA(VLOOKUP(A93,'Données projet'!$A$191:$I$211,4,0)),0,VLOOKUP(A93,'Données projet'!$A$191:$I$211,4,0))</f>
        <v>46.3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0.26431340803396786</v>
      </c>
      <c r="EW93" s="21">
        <f>EXP(-LN(2)/25)*EW92+(1-EXP(-LN(2)/25))/(LN(2)/25)*Calculateur!ER93*Calculateur!ET93*VLOOKUP('Données projet'!$B$15,Paramètres!$A$1:$I$89,3,0)*0.475*44/12</f>
        <v>0.90502644285768552</v>
      </c>
      <c r="EX93" s="21">
        <f>EXP(-LN(2)/2)*EX92+(1-EXP(-LN(2)/2))/(LN(2)/2)*ER93*EU93*VLOOKUP('Données projet'!$B$15,Paramètres!$A$1:$I$89,3,0)*0.475*44/12</f>
        <v>5.6938365950086578E-9</v>
      </c>
      <c r="EY93" s="22">
        <f t="shared" si="75"/>
        <v>1.16933985658549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-2.2737367544323206E-13</v>
      </c>
      <c r="FF93" s="17">
        <f>FE93*VLOOKUP('Données projet'!$B$16,Paramètres!$A$1:$I$89,3,0)*VLOOKUP('Données projet'!$B$16,Paramètres!$A$1:$I$89,5,0)</f>
        <v>-1.0936673788819462E-13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197.66963254934603</v>
      </c>
      <c r="FK93" s="59">
        <f t="shared" si="102"/>
        <v>158.08388141976138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0.81282732216920051</v>
      </c>
      <c r="FR93" s="21">
        <f>EXP(-LN(2)/25)*FR92+(1-EXP(-LN(2)/25))/(LN(2)/25)*Calculateur!FM93*Calculateur!FO93*VLOOKUP('Données projet'!$B$16,Paramètres!$A$1:$I$89,3,0)*0.475*44/12</f>
        <v>1.0066867732800298</v>
      </c>
      <c r="FS93" s="21">
        <f>EXP(-LN(2)/2)*FS92+(1-EXP(-LN(2)/2))/(LN(2)/2)*FM93*FP93*VLOOKUP('Données projet'!$B$16,Paramètres!$A$1:$I$89,3,0)*0.475*44/12</f>
        <v>7.7094666414665984E-9</v>
      </c>
      <c r="FT93" s="22">
        <f t="shared" si="78"/>
        <v>1.8195141031586968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5.6843418860808015E-14</v>
      </c>
      <c r="GA93" s="17">
        <f>FZ93*VLOOKUP('Données projet'!$B$17,Paramètres!$A$1:$I$89,3,0)*VLOOKUP('Données projet'!$B$17,Paramètres!$A$1:$I$89,5,0)</f>
        <v>3.3992364478763198E-14</v>
      </c>
      <c r="GB93" s="13">
        <f t="shared" si="103"/>
        <v>5.790027782444094E-13</v>
      </c>
      <c r="GC93" s="20">
        <f t="shared" si="79"/>
        <v>1.0676332069095257E-12</v>
      </c>
      <c r="GD93" s="59">
        <f t="shared" si="80"/>
        <v>293.33333333333439</v>
      </c>
      <c r="GE93" s="59">
        <f ca="1">AVERAGE(OFFSET($GD$3,0,0,'Données projet'!$E$17+1,1))-AVERAGE(OFFSET($H$3,0,0,'Données projet'!$E$17+1,1))</f>
        <v>165.39579887388538</v>
      </c>
      <c r="GF93" s="59">
        <f t="shared" si="104"/>
        <v>155.89639262545802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1.3810537056814305</v>
      </c>
      <c r="GN93" s="21">
        <f>EXP(-LN(2)/2)*GN92+(1-EXP(-LN(2)/2))/(LN(2)/2)*GH93*GK93*VLOOKUP('Données projet'!$B$17,Paramètres!$A$1:$I$89,3,0)*0.475*44/12</f>
        <v>1.2926790616826109E-8</v>
      </c>
      <c r="GO93" s="21">
        <f t="shared" si="81"/>
        <v>1.381053718608221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>
        <f>VLOOKUP(A93,'Données projet'!$A$269:$I$289,2,0)</f>
        <v>221</v>
      </c>
      <c r="GS93" s="12">
        <f>VLOOKUP(A93,'Données projet'!$A$269:$I$289,9,0)</f>
        <v>4.3</v>
      </c>
      <c r="GT93" s="12">
        <f t="array" ref="GT93">INDEX(GS:GS,MIN(IF(ISNUMBER(GS93:GS289),ROW(GS93:GS289),"")))</f>
        <v>4.3</v>
      </c>
      <c r="GU93" s="12">
        <f>IF('Données projet'!$A$270&gt;35,GU92+GT93-HC92,IF(A93&lt;'Données projet'!$A$270,$GR$205^A93,IF(A93='Données projet'!$A$270,'Données projet'!$B$270,GU92+GT93-HC92)))</f>
        <v>221.00000000000009</v>
      </c>
      <c r="GV93" s="17">
        <f>GU93*VLOOKUP('Données projet'!$B$18,Paramètres!$A$1:$I$89,3,0)*VLOOKUP('Données projet'!$B$18,Paramètres!$A$1:$I$89,5,0)</f>
        <v>237.88440000000006</v>
      </c>
      <c r="GW93" s="13">
        <f t="shared" si="105"/>
        <v>57.984114543460535</v>
      </c>
      <c r="GX93" s="20">
        <f t="shared" si="82"/>
        <v>515.3043294965272</v>
      </c>
      <c r="GY93" s="59">
        <f t="shared" si="83"/>
        <v>808.63766282986057</v>
      </c>
      <c r="GZ93" s="59">
        <f ca="1">AVERAGE(OFFSET($GY$3,0,0,'Données projet'!$E$18+1,1))-AVERAGE(OFFSET($H$3,0,0,'Données projet'!$E$18+1,1))</f>
        <v>186.60545265015247</v>
      </c>
      <c r="HA93" s="59">
        <f t="shared" si="106"/>
        <v>69.239647548491234</v>
      </c>
      <c r="HB93" s="15">
        <f>IF(ISNA(VLOOKUP(A93,'Données projet'!$A$269:$I$289,3,0)),0,VLOOKUP(A93,'Données projet'!$A$269:$I$289,3,0))</f>
        <v>6</v>
      </c>
      <c r="HC93" s="15">
        <f>IF(ISNA(VLOOKUP(A93,'Données projet'!$A$269:$I$289,4,0)),0,VLOOKUP(A93,'Données projet'!$A$269:$I$289,4,0))</f>
        <v>28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0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0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3.4106051316484809E-13</v>
      </c>
      <c r="O94" s="13">
        <f>N94*VLOOKUP('Données projet'!$B$9,Paramètres!$A$1:$I$89,3,0)*VLOOKUP('Données projet'!$B$9,Paramètres!$A$1:$I$89,5,0)</f>
        <v>1.9065282685915009E-13</v>
      </c>
      <c r="P94" s="13">
        <f t="shared" si="87"/>
        <v>2.6568987209435707E-12</v>
      </c>
      <c r="Q94" s="20">
        <f t="shared" si="54"/>
        <v>4.959485612423072E-12</v>
      </c>
      <c r="R94" s="59">
        <f t="shared" si="55"/>
        <v>293.33333333333826</v>
      </c>
      <c r="S94" s="59">
        <f ca="1">AVERAGE(OFFSET($R$3,0,0,'Données projet'!$E$9+1,1))-AVERAGE(OFFSET($H$3,0,0,'Données projet'!$E$9+1,1))</f>
        <v>235.10258076192054</v>
      </c>
      <c r="T94" s="59">
        <f t="shared" si="88"/>
        <v>233.47316052603765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1.0235990207168266</v>
      </c>
      <c r="AA94" s="21">
        <f>EXP(-LN(2)/25)*AA93+(1-EXP(-LN(2)/25))/(LN(2)/25)*Calculateur!V94*Calculateur!X94*VLOOKUP('Données projet'!$B$9,Paramètres!$A$1:$I$89,3,0)*0.475*44/12</f>
        <v>3.3972478702552551</v>
      </c>
      <c r="AB94" s="21">
        <f>EXP(-LN(2)/2)*AB93+(1-EXP(-LN(2)/2))/(LN(2)/2)*V94*Y94*VLOOKUP('Données projet'!$B$9,Paramètres!$A$1:$I$89,3,0)*0.475*44/12</f>
        <v>1.5885464439573272E-8</v>
      </c>
      <c r="AC94" s="22">
        <f t="shared" si="57"/>
        <v>4.4208469068575464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2.2737367544323206E-13</v>
      </c>
      <c r="AJ94" s="13">
        <f>AI94*VLOOKUP('Données projet'!$B$10,Paramètres!$A$1:$I$89,3,0)*VLOOKUP('Données projet'!$B$10,Paramètres!$A$1:$I$89,5,0)</f>
        <v>1.2414602679200471E-13</v>
      </c>
      <c r="AK94" s="13">
        <f t="shared" si="89"/>
        <v>1.8186582995804361E-12</v>
      </c>
      <c r="AL94" s="20">
        <f t="shared" si="58"/>
        <v>3.3837175350986671E-12</v>
      </c>
      <c r="AM94" s="59">
        <f t="shared" si="59"/>
        <v>293.33333333333672</v>
      </c>
      <c r="AN94" s="59">
        <f ca="1">AVERAGE(OFFSET($AM$3,0,0,'Données projet'!$E$10+1,1))-AVERAGE(OFFSET($H$3,0,0,'Données projet'!$E$10+1,1))</f>
        <v>168.72306536277267</v>
      </c>
      <c r="AO94" s="59">
        <f t="shared" si="90"/>
        <v>203.35476578922339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0.90890399302551184</v>
      </c>
      <c r="AV94" s="21">
        <f>EXP(-LN(2)/25)*AV93+(1-EXP(-LN(2)/25))/(LN(2)/25)*Calculateur!AQ94*Calculateur!AS94*VLOOKUP('Données projet'!$B$10,Paramètres!$A$1:$I$89,3,0)*0.475*44/12</f>
        <v>4.2357637155765655</v>
      </c>
      <c r="AW94" s="21">
        <f>EXP(-LN(2)/2)*AW93+(1-EXP(-LN(2)/2))/(LN(2)/2)*AQ94*AT94*VLOOKUP('Données projet'!$B$10,Paramètres!$A$1:$I$89,3,0)*0.475*44/12</f>
        <v>1.3186594221665211E-8</v>
      </c>
      <c r="AX94" s="21">
        <f t="shared" si="60"/>
        <v>5.1446677217886716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5.6843418860808015E-14</v>
      </c>
      <c r="BE94" s="13">
        <f>BD94*VLOOKUP('Données projet'!$B$11,Paramètres!$A$1:$I$89,3,0)*VLOOKUP('Données projet'!$B$11,Paramètres!$A$1:$I$89,5,0)</f>
        <v>3.3992364478763198E-14</v>
      </c>
      <c r="BF94" s="13">
        <f t="shared" si="91"/>
        <v>5.790027782444094E-13</v>
      </c>
      <c r="BG94" s="20">
        <f t="shared" si="61"/>
        <v>1.0676332069095257E-12</v>
      </c>
      <c r="BH94" s="59">
        <f t="shared" si="62"/>
        <v>293.33333333333439</v>
      </c>
      <c r="BI94" s="59">
        <f ca="1">AVERAGE(OFFSET($BH$3,0,0,'Données projet'!$E$11+1,1))-AVERAGE(OFFSET($H$3,0,0,'Données projet'!$E$11+1,1))</f>
        <v>165.39579887388538</v>
      </c>
      <c r="BJ94" s="59">
        <f t="shared" si="92"/>
        <v>155.89639262545802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1.3432887194731138</v>
      </c>
      <c r="BR94" s="21">
        <f>EXP(-LN(2)/2)*BR93+(1-EXP(-LN(2)/2))/(LN(2)/2)*BL94*BO94*VLOOKUP('Données projet'!$B$11,Paramètres!$A$1:$I$89,3,0)*0.475*44/12</f>
        <v>9.1406213041363752E-9</v>
      </c>
      <c r="BS94" s="22">
        <f t="shared" si="63"/>
        <v>1.3432887286137352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3.7</v>
      </c>
      <c r="BY94" s="12">
        <f>IF('Données projet'!$A$114&gt;35,BY93+BX94-CG93,IF(A94&lt;'Données projet'!$A$114,$BV$205^A94,IF(A94='Données projet'!$A$114,'Données projet'!$B$114,BY93+BX94-CG93)))</f>
        <v>196.70000000000007</v>
      </c>
      <c r="BZ94" s="13">
        <f>BY94*VLOOKUP('Données projet'!$B$12,Paramètres!$A$1:$I$89,3,0)*VLOOKUP('Données projet'!$B$12,Paramètres!$A$1:$I$89,5,0)</f>
        <v>190.2482400000001</v>
      </c>
      <c r="CA94" s="13">
        <f t="shared" si="93"/>
        <v>47.59483101944722</v>
      </c>
      <c r="CB94" s="20">
        <f t="shared" si="64"/>
        <v>414.24334869220405</v>
      </c>
      <c r="CC94" s="59">
        <f t="shared" si="65"/>
        <v>707.57668202553737</v>
      </c>
      <c r="CD94" s="59">
        <f ca="1">AVERAGE(OFFSET($CC$3,0,0,'Données projet'!$E$12+1,1))-AVERAGE(OFFSET($H$3,0,0,'Données projet'!$E$12+1,1))</f>
        <v>156.26368818265388</v>
      </c>
      <c r="CE94" s="59">
        <f t="shared" si="94"/>
        <v>56.347130462109817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3.7</v>
      </c>
      <c r="CT94" s="12">
        <f>IF('Données projet'!$A$140&gt;35,CT93+CS94-DB93,IF(A94&lt;'Données projet'!$A$140,$CQ$205^A94,IF(A94='Données projet'!$A$140,'Données projet'!$B$140,CT93+CS94-DB93)))</f>
        <v>196.70000000000007</v>
      </c>
      <c r="CU94" s="17">
        <f>CT94*VLOOKUP('Données projet'!$B$13,Paramètres!$A$1:$I$89,3,0)*VLOOKUP('Données projet'!$B$13,Paramètres!$A$1:$I$89,5,0)</f>
        <v>159.56304000000009</v>
      </c>
      <c r="CV94" s="13">
        <f t="shared" si="95"/>
        <v>40.74394217790072</v>
      </c>
      <c r="CW94" s="20">
        <f t="shared" si="67"/>
        <v>348.86799395984394</v>
      </c>
      <c r="CX94" s="59">
        <f t="shared" si="68"/>
        <v>642.2013272931772</v>
      </c>
      <c r="CY94" s="59">
        <f ca="1">AVERAGE(OFFSET($CX$3,0,0,'Données projet'!$E$13+1,1))-AVERAGE(OFFSET($H$3,0,0,'Données projet'!$E$13+1,1))</f>
        <v>112.78807760743126</v>
      </c>
      <c r="CZ94" s="59">
        <f t="shared" si="96"/>
        <v>37.867745922003564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-8.5265128291212022E-14</v>
      </c>
      <c r="DP94" s="17">
        <f>DO94*VLOOKUP('Données projet'!$B$14,Paramètres!$A$1:$I$89,3,0)*VLOOKUP('Données projet'!$B$14,Paramètres!$A$1:$I$89,5,0)</f>
        <v>-5.7195848057745024E-14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107.15837202366862</v>
      </c>
      <c r="DU94" s="59">
        <f t="shared" si="98"/>
        <v>139.67031833740026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1.0445295608432388</v>
      </c>
      <c r="EC94" s="21">
        <f>EXP(-LN(2)/2)*EC93+(1-EXP(-LN(2)/2))/(LN(2)/2)*DW94*DZ94*VLOOKUP('Données projet'!$B$14,Paramètres!$A$1:$I$89,3,0)*0.475*44/12</f>
        <v>4.4448300590393403E-9</v>
      </c>
      <c r="ED94" s="22">
        <f t="shared" si="72"/>
        <v>1.0445295652880688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8.3000000000000007</v>
      </c>
      <c r="EJ94" s="12">
        <f>IF('Données projet'!$A$192&gt;35,EJ93+EI94-ER93,IF(A94&lt;'Données projet'!$A$192,$EG$205^A94,IF(A94='Données projet'!$A$192,'Données projet'!$B$192,EJ93+EI94-ER93)))</f>
        <v>333.19999999999993</v>
      </c>
      <c r="EK94" s="17">
        <f>EJ94*VLOOKUP('Données projet'!$B$15,Paramètres!$A$1:$I$89,3,0)*VLOOKUP('Données projet'!$B$15,Paramètres!$A$1:$I$89,5,0)</f>
        <v>155.93759999999997</v>
      </c>
      <c r="EL94" s="13">
        <f t="shared" si="99"/>
        <v>39.924862785906342</v>
      </c>
      <c r="EM94" s="20">
        <f t="shared" si="73"/>
        <v>341.12712268545346</v>
      </c>
      <c r="EN94" s="59">
        <f t="shared" si="74"/>
        <v>634.46045601878677</v>
      </c>
      <c r="EO94" s="59">
        <f ca="1">AVERAGE(OFFSET($EN$3,0,0,'Données projet'!$E$15+1,1))-AVERAGE(OFFSET($H$3,0,0,'Données projet'!$E$15+1,1))</f>
        <v>123.60520571614535</v>
      </c>
      <c r="EP94" s="59">
        <f t="shared" si="100"/>
        <v>119.00926870519527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0.25913038331768196</v>
      </c>
      <c r="EW94" s="21">
        <f>EXP(-LN(2)/25)*EW93+(1-EXP(-LN(2)/25))/(LN(2)/25)*Calculateur!ER94*Calculateur!ET94*VLOOKUP('Données projet'!$B$15,Paramètres!$A$1:$I$89,3,0)*0.475*44/12</f>
        <v>0.8802784471844699</v>
      </c>
      <c r="EX94" s="21">
        <f>EXP(-LN(2)/2)*EX93+(1-EXP(-LN(2)/2))/(LN(2)/2)*ER94*EU94*VLOOKUP('Données projet'!$B$15,Paramètres!$A$1:$I$89,3,0)*0.475*44/12</f>
        <v>4.0261504672987437E-9</v>
      </c>
      <c r="EY94" s="22">
        <f t="shared" si="75"/>
        <v>1.1394088345283024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-2.2737367544323206E-13</v>
      </c>
      <c r="FF94" s="17">
        <f>FE94*VLOOKUP('Données projet'!$B$16,Paramètres!$A$1:$I$89,3,0)*VLOOKUP('Données projet'!$B$16,Paramètres!$A$1:$I$89,5,0)</f>
        <v>-1.0936673788819462E-13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197.66963254934603</v>
      </c>
      <c r="FK94" s="59">
        <f t="shared" si="102"/>
        <v>158.08388141976138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0.79688827415717522</v>
      </c>
      <c r="FR94" s="21">
        <f>EXP(-LN(2)/25)*FR93+(1-EXP(-LN(2)/25))/(LN(2)/25)*Calculateur!FM94*Calculateur!FO94*VLOOKUP('Données projet'!$B$16,Paramètres!$A$1:$I$89,3,0)*0.475*44/12</f>
        <v>0.97915887052533079</v>
      </c>
      <c r="FS94" s="21">
        <f>EXP(-LN(2)/2)*FS93+(1-EXP(-LN(2)/2))/(LN(2)/2)*FM94*FP94*VLOOKUP('Données projet'!$B$16,Paramètres!$A$1:$I$89,3,0)*0.475*44/12</f>
        <v>5.4514161415125096E-9</v>
      </c>
      <c r="FT94" s="22">
        <f t="shared" si="78"/>
        <v>1.7760471501339223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5.6843418860808015E-14</v>
      </c>
      <c r="GA94" s="17">
        <f>FZ94*VLOOKUP('Données projet'!$B$17,Paramètres!$A$1:$I$89,3,0)*VLOOKUP('Données projet'!$B$17,Paramètres!$A$1:$I$89,5,0)</f>
        <v>3.3992364478763198E-14</v>
      </c>
      <c r="GB94" s="13">
        <f t="shared" si="103"/>
        <v>5.790027782444094E-13</v>
      </c>
      <c r="GC94" s="20">
        <f t="shared" si="79"/>
        <v>1.0676332069095257E-12</v>
      </c>
      <c r="GD94" s="59">
        <f t="shared" si="80"/>
        <v>293.33333333333439</v>
      </c>
      <c r="GE94" s="59">
        <f ca="1">AVERAGE(OFFSET($GD$3,0,0,'Données projet'!$E$17+1,1))-AVERAGE(OFFSET($H$3,0,0,'Données projet'!$E$17+1,1))</f>
        <v>165.39579887388538</v>
      </c>
      <c r="GF94" s="59">
        <f t="shared" si="104"/>
        <v>155.89639262545802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1.3432887194731138</v>
      </c>
      <c r="GN94" s="21">
        <f>EXP(-LN(2)/2)*GN93+(1-EXP(-LN(2)/2))/(LN(2)/2)*GH94*GK94*VLOOKUP('Données projet'!$B$17,Paramètres!$A$1:$I$89,3,0)*0.475*44/12</f>
        <v>9.1406213041363752E-9</v>
      </c>
      <c r="GO94" s="21">
        <f t="shared" si="81"/>
        <v>1.3432887286137352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3.7</v>
      </c>
      <c r="GU94" s="12">
        <f>IF('Données projet'!$A$270&gt;35,GU93+GT94-HC93,IF(A94&lt;'Données projet'!$A$270,$GR$205^A94,IF(A94='Données projet'!$A$270,'Données projet'!$B$270,GU93+GT94-HC93)))</f>
        <v>196.70000000000007</v>
      </c>
      <c r="GV94" s="17">
        <f>GU94*VLOOKUP('Données projet'!$B$18,Paramètres!$A$1:$I$89,3,0)*VLOOKUP('Données projet'!$B$18,Paramètres!$A$1:$I$89,5,0)</f>
        <v>211.72788000000008</v>
      </c>
      <c r="GW94" s="13">
        <f t="shared" si="105"/>
        <v>52.312990688268499</v>
      </c>
      <c r="GX94" s="20">
        <f t="shared" si="82"/>
        <v>459.87118311540104</v>
      </c>
      <c r="GY94" s="59">
        <f t="shared" si="83"/>
        <v>753.20451644873435</v>
      </c>
      <c r="GZ94" s="59">
        <f ca="1">AVERAGE(OFFSET($GY$3,0,0,'Données projet'!$E$18+1,1))-AVERAGE(OFFSET($H$3,0,0,'Données projet'!$E$18+1,1))</f>
        <v>186.60545265015247</v>
      </c>
      <c r="HA94" s="59">
        <f t="shared" si="106"/>
        <v>69.239647548491234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0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0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3.4106051316484809E-13</v>
      </c>
      <c r="O95" s="13">
        <f>N95*VLOOKUP('Données projet'!$B$9,Paramètres!$A$1:$I$89,3,0)*VLOOKUP('Données projet'!$B$9,Paramètres!$A$1:$I$89,5,0)</f>
        <v>1.9065282685915009E-13</v>
      </c>
      <c r="P95" s="13">
        <f t="shared" si="87"/>
        <v>2.6568987209435707E-12</v>
      </c>
      <c r="Q95" s="20">
        <f t="shared" si="54"/>
        <v>4.959485612423072E-12</v>
      </c>
      <c r="R95" s="59">
        <f t="shared" si="55"/>
        <v>293.33333333333826</v>
      </c>
      <c r="S95" s="59">
        <f ca="1">AVERAGE(OFFSET($R$3,0,0,'Données projet'!$E$9+1,1))-AVERAGE(OFFSET($H$3,0,0,'Données projet'!$E$9+1,1))</f>
        <v>235.10258076192054</v>
      </c>
      <c r="T95" s="59">
        <f t="shared" si="88"/>
        <v>233.47316052603765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1.0035268682543244</v>
      </c>
      <c r="AA95" s="21">
        <f>EXP(-LN(2)/25)*AA94+(1-EXP(-LN(2)/25))/(LN(2)/25)*Calculateur!V95*Calculateur!X95*VLOOKUP('Données projet'!$B$9,Paramètres!$A$1:$I$89,3,0)*0.475*44/12</f>
        <v>3.3043499485896244</v>
      </c>
      <c r="AB95" s="21">
        <f>EXP(-LN(2)/2)*AB94+(1-EXP(-LN(2)/2))/(LN(2)/2)*V95*Y95*VLOOKUP('Données projet'!$B$9,Paramètres!$A$1:$I$89,3,0)*0.475*44/12</f>
        <v>1.123271962752002E-8</v>
      </c>
      <c r="AC95" s="22">
        <f t="shared" si="57"/>
        <v>4.3078768280766688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2.2737367544323206E-13</v>
      </c>
      <c r="AJ95" s="13">
        <f>AI95*VLOOKUP('Données projet'!$B$10,Paramètres!$A$1:$I$89,3,0)*VLOOKUP('Données projet'!$B$10,Paramètres!$A$1:$I$89,5,0)</f>
        <v>1.2414602679200471E-13</v>
      </c>
      <c r="AK95" s="13">
        <f t="shared" si="89"/>
        <v>1.8186582995804361E-12</v>
      </c>
      <c r="AL95" s="20">
        <f t="shared" si="58"/>
        <v>3.3837175350986671E-12</v>
      </c>
      <c r="AM95" s="59">
        <f t="shared" si="59"/>
        <v>293.33333333333672</v>
      </c>
      <c r="AN95" s="59">
        <f ca="1">AVERAGE(OFFSET($AM$3,0,0,'Données projet'!$E$10+1,1))-AVERAGE(OFFSET($H$3,0,0,'Données projet'!$E$10+1,1))</f>
        <v>168.72306536277267</v>
      </c>
      <c r="AO95" s="59">
        <f t="shared" si="90"/>
        <v>203.35476578922339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0.89108094009897709</v>
      </c>
      <c r="AV95" s="21">
        <f>EXP(-LN(2)/25)*AV94+(1-EXP(-LN(2)/25))/(LN(2)/25)*Calculateur!AQ95*Calculateur!AS95*VLOOKUP('Données projet'!$B$10,Paramètres!$A$1:$I$89,3,0)*0.475*44/12</f>
        <v>4.1199365340249914</v>
      </c>
      <c r="AW95" s="21">
        <f>EXP(-LN(2)/2)*AW94+(1-EXP(-LN(2)/2))/(LN(2)/2)*AQ95*AT95*VLOOKUP('Données projet'!$B$10,Paramètres!$A$1:$I$89,3,0)*0.475*44/12</f>
        <v>9.324330194894814E-9</v>
      </c>
      <c r="AX95" s="21">
        <f t="shared" si="60"/>
        <v>5.0110174834482981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5.6843418860808015E-14</v>
      </c>
      <c r="BE95" s="13">
        <f>BD95*VLOOKUP('Données projet'!$B$11,Paramètres!$A$1:$I$89,3,0)*VLOOKUP('Données projet'!$B$11,Paramètres!$A$1:$I$89,5,0)</f>
        <v>3.3992364478763198E-14</v>
      </c>
      <c r="BF95" s="13">
        <f t="shared" si="91"/>
        <v>5.790027782444094E-13</v>
      </c>
      <c r="BG95" s="20">
        <f t="shared" si="61"/>
        <v>1.0676332069095257E-12</v>
      </c>
      <c r="BH95" s="59">
        <f t="shared" si="62"/>
        <v>293.33333333333439</v>
      </c>
      <c r="BI95" s="59">
        <f ca="1">AVERAGE(OFFSET($BH$3,0,0,'Données projet'!$E$11+1,1))-AVERAGE(OFFSET($H$3,0,0,'Données projet'!$E$11+1,1))</f>
        <v>165.39579887388538</v>
      </c>
      <c r="BJ95" s="59">
        <f t="shared" si="92"/>
        <v>155.89639262545802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1.3065564187986378</v>
      </c>
      <c r="BR95" s="21">
        <f>EXP(-LN(2)/2)*BR94+(1-EXP(-LN(2)/2))/(LN(2)/2)*BL95*BO95*VLOOKUP('Données projet'!$B$11,Paramètres!$A$1:$I$89,3,0)*0.475*44/12</f>
        <v>6.4633953084130546E-9</v>
      </c>
      <c r="BS95" s="22">
        <f t="shared" si="63"/>
        <v>1.3065564252620332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3.7</v>
      </c>
      <c r="BY95" s="12">
        <f>IF('Données projet'!$A$114&gt;35,BY94+BX95-CG94,IF(A95&lt;'Données projet'!$A$114,$BV$205^A95,IF(A95='Données projet'!$A$114,'Données projet'!$B$114,BY94+BX95-CG94)))</f>
        <v>200.40000000000006</v>
      </c>
      <c r="BZ95" s="13">
        <f>BY95*VLOOKUP('Données projet'!$B$12,Paramètres!$A$1:$I$89,3,0)*VLOOKUP('Données projet'!$B$12,Paramètres!$A$1:$I$89,5,0)</f>
        <v>193.82688000000005</v>
      </c>
      <c r="CA95" s="13">
        <f t="shared" si="93"/>
        <v>48.385037249451216</v>
      </c>
      <c r="CB95" s="20">
        <f t="shared" si="64"/>
        <v>421.85242254279427</v>
      </c>
      <c r="CC95" s="59">
        <f t="shared" si="65"/>
        <v>715.18575587612759</v>
      </c>
      <c r="CD95" s="59">
        <f ca="1">AVERAGE(OFFSET($CC$3,0,0,'Données projet'!$E$12+1,1))-AVERAGE(OFFSET($H$3,0,0,'Données projet'!$E$12+1,1))</f>
        <v>156.26368818265388</v>
      </c>
      <c r="CE95" s="59">
        <f t="shared" si="94"/>
        <v>56.347130462109817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3.7</v>
      </c>
      <c r="CT95" s="12">
        <f>IF('Données projet'!$A$140&gt;35,CT94+CS95-DB94,IF(A95&lt;'Données projet'!$A$140,$CQ$205^A95,IF(A95='Données projet'!$A$140,'Données projet'!$B$140,CT94+CS95-DB94)))</f>
        <v>200.40000000000006</v>
      </c>
      <c r="CU95" s="17">
        <f>CT95*VLOOKUP('Données projet'!$B$13,Paramètres!$A$1:$I$89,3,0)*VLOOKUP('Données projet'!$B$13,Paramètres!$A$1:$I$89,5,0)</f>
        <v>162.56448000000006</v>
      </c>
      <c r="CV95" s="13">
        <f t="shared" si="95"/>
        <v>41.420404647758971</v>
      </c>
      <c r="CW95" s="20">
        <f t="shared" si="67"/>
        <v>355.27367409484697</v>
      </c>
      <c r="CX95" s="59">
        <f t="shared" si="68"/>
        <v>648.60700742818028</v>
      </c>
      <c r="CY95" s="59">
        <f ca="1">AVERAGE(OFFSET($CX$3,0,0,'Données projet'!$E$13+1,1))-AVERAGE(OFFSET($H$3,0,0,'Données projet'!$E$13+1,1))</f>
        <v>112.78807760743126</v>
      </c>
      <c r="CZ95" s="59">
        <f t="shared" si="96"/>
        <v>37.867745922003564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-8.5265128291212022E-14</v>
      </c>
      <c r="DP95" s="17">
        <f>DO95*VLOOKUP('Données projet'!$B$14,Paramètres!$A$1:$I$89,3,0)*VLOOKUP('Données projet'!$B$14,Paramètres!$A$1:$I$89,5,0)</f>
        <v>-5.7195848057745024E-14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107.15837202366862</v>
      </c>
      <c r="DU95" s="59">
        <f t="shared" si="98"/>
        <v>139.67031833740026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1.0159668450725581</v>
      </c>
      <c r="EC95" s="21">
        <f>EXP(-LN(2)/2)*EC94+(1-EXP(-LN(2)/2))/(LN(2)/2)*DW95*DZ95*VLOOKUP('Données projet'!$B$14,Paramètres!$A$1:$I$89,3,0)*0.475*44/12</f>
        <v>3.1429694759685199E-9</v>
      </c>
      <c r="ED95" s="22">
        <f t="shared" si="72"/>
        <v>1.0159668482155275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8.3000000000000007</v>
      </c>
      <c r="EJ95" s="12">
        <f>IF('Données projet'!$A$192&gt;35,EJ94+EI95-ER94,IF(A95&lt;'Données projet'!$A$192,$EG$205^A95,IF(A95='Données projet'!$A$192,'Données projet'!$B$192,EJ94+EI95-ER94)))</f>
        <v>341.49999999999994</v>
      </c>
      <c r="EK95" s="17">
        <f>EJ95*VLOOKUP('Données projet'!$B$15,Paramètres!$A$1:$I$89,3,0)*VLOOKUP('Données projet'!$B$15,Paramètres!$A$1:$I$89,5,0)</f>
        <v>159.82199999999997</v>
      </c>
      <c r="EL95" s="13">
        <f t="shared" si="99"/>
        <v>40.8023644092533</v>
      </c>
      <c r="EM95" s="20">
        <f t="shared" si="73"/>
        <v>349.42076801278273</v>
      </c>
      <c r="EN95" s="59">
        <f t="shared" si="74"/>
        <v>642.75410134611604</v>
      </c>
      <c r="EO95" s="59">
        <f ca="1">AVERAGE(OFFSET($EN$3,0,0,'Données projet'!$E$15+1,1))-AVERAGE(OFFSET($H$3,0,0,'Données projet'!$E$15+1,1))</f>
        <v>123.60520571614535</v>
      </c>
      <c r="EP95" s="59">
        <f t="shared" si="100"/>
        <v>119.00926870519527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0.2540489945547495</v>
      </c>
      <c r="EW95" s="21">
        <f>EXP(-LN(2)/25)*EW94+(1-EXP(-LN(2)/25))/(LN(2)/25)*Calculateur!ER95*Calculateur!ET95*VLOOKUP('Données projet'!$B$15,Paramètres!$A$1:$I$89,3,0)*0.475*44/12</f>
        <v>0.8562071867543789</v>
      </c>
      <c r="EX95" s="21">
        <f>EXP(-LN(2)/2)*EX94+(1-EXP(-LN(2)/2))/(LN(2)/2)*ER95*EU95*VLOOKUP('Données projet'!$B$15,Paramètres!$A$1:$I$89,3,0)*0.475*44/12</f>
        <v>2.8469182975043289E-9</v>
      </c>
      <c r="EY95" s="22">
        <f t="shared" si="75"/>
        <v>1.1102561841560465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-2.2737367544323206E-13</v>
      </c>
      <c r="FF95" s="17">
        <f>FE95*VLOOKUP('Données projet'!$B$16,Paramètres!$A$1:$I$89,3,0)*VLOOKUP('Données projet'!$B$16,Paramètres!$A$1:$I$89,5,0)</f>
        <v>-1.0936673788819462E-13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197.66963254934603</v>
      </c>
      <c r="FK95" s="59">
        <f t="shared" si="102"/>
        <v>158.08388141976138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0.78126178115480638</v>
      </c>
      <c r="FR95" s="21">
        <f>EXP(-LN(2)/25)*FR94+(1-EXP(-LN(2)/25))/(LN(2)/25)*Calculateur!FM95*Calculateur!FO95*VLOOKUP('Données projet'!$B$16,Paramètres!$A$1:$I$89,3,0)*0.475*44/12</f>
        <v>0.95238371971908853</v>
      </c>
      <c r="FS95" s="21">
        <f>EXP(-LN(2)/2)*FS94+(1-EXP(-LN(2)/2))/(LN(2)/2)*FM95*FP95*VLOOKUP('Données projet'!$B$16,Paramètres!$A$1:$I$89,3,0)*0.475*44/12</f>
        <v>3.8547333207332992E-9</v>
      </c>
      <c r="FT95" s="22">
        <f t="shared" si="78"/>
        <v>1.7336455047286283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5.6843418860808015E-14</v>
      </c>
      <c r="GA95" s="17">
        <f>FZ95*VLOOKUP('Données projet'!$B$17,Paramètres!$A$1:$I$89,3,0)*VLOOKUP('Données projet'!$B$17,Paramètres!$A$1:$I$89,5,0)</f>
        <v>3.3992364478763198E-14</v>
      </c>
      <c r="GB95" s="13">
        <f t="shared" si="103"/>
        <v>5.790027782444094E-13</v>
      </c>
      <c r="GC95" s="20">
        <f t="shared" si="79"/>
        <v>1.0676332069095257E-12</v>
      </c>
      <c r="GD95" s="59">
        <f t="shared" si="80"/>
        <v>293.33333333333439</v>
      </c>
      <c r="GE95" s="59">
        <f ca="1">AVERAGE(OFFSET($GD$3,0,0,'Données projet'!$E$17+1,1))-AVERAGE(OFFSET($H$3,0,0,'Données projet'!$E$17+1,1))</f>
        <v>165.39579887388538</v>
      </c>
      <c r="GF95" s="59">
        <f t="shared" si="104"/>
        <v>155.89639262545802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1.3065564187986378</v>
      </c>
      <c r="GN95" s="21">
        <f>EXP(-LN(2)/2)*GN94+(1-EXP(-LN(2)/2))/(LN(2)/2)*GH95*GK95*VLOOKUP('Données projet'!$B$17,Paramètres!$A$1:$I$89,3,0)*0.475*44/12</f>
        <v>6.4633953084130546E-9</v>
      </c>
      <c r="GO95" s="21">
        <f t="shared" si="81"/>
        <v>1.3065564252620332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3.7</v>
      </c>
      <c r="GU95" s="12">
        <f>IF('Données projet'!$A$270&gt;35,GU94+GT95-HC94,IF(A95&lt;'Données projet'!$A$270,$GR$205^A95,IF(A95='Données projet'!$A$270,'Données projet'!$B$270,GU94+GT95-HC94)))</f>
        <v>200.40000000000006</v>
      </c>
      <c r="GV95" s="17">
        <f>GU95*VLOOKUP('Données projet'!$B$18,Paramètres!$A$1:$I$89,3,0)*VLOOKUP('Données projet'!$B$18,Paramètres!$A$1:$I$89,5,0)</f>
        <v>215.71056000000007</v>
      </c>
      <c r="GW95" s="13">
        <f t="shared" si="105"/>
        <v>53.181531457645789</v>
      </c>
      <c r="GX95" s="20">
        <f t="shared" si="82"/>
        <v>468.32039262206649</v>
      </c>
      <c r="GY95" s="59">
        <f t="shared" si="83"/>
        <v>761.65372595539975</v>
      </c>
      <c r="GZ95" s="59">
        <f ca="1">AVERAGE(OFFSET($GY$3,0,0,'Données projet'!$E$18+1,1))-AVERAGE(OFFSET($H$3,0,0,'Données projet'!$E$18+1,1))</f>
        <v>186.60545265015247</v>
      </c>
      <c r="HA95" s="59">
        <f t="shared" si="106"/>
        <v>69.239647548491234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0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0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3.4106051316484809E-13</v>
      </c>
      <c r="O96" s="13">
        <f>N96*VLOOKUP('Données projet'!$B$9,Paramètres!$A$1:$I$89,3,0)*VLOOKUP('Données projet'!$B$9,Paramètres!$A$1:$I$89,5,0)</f>
        <v>1.9065282685915009E-13</v>
      </c>
      <c r="P96" s="13">
        <f t="shared" si="87"/>
        <v>2.6568987209435707E-12</v>
      </c>
      <c r="Q96" s="20">
        <f t="shared" si="54"/>
        <v>4.959485612423072E-12</v>
      </c>
      <c r="R96" s="59">
        <f t="shared" si="55"/>
        <v>293.33333333333826</v>
      </c>
      <c r="S96" s="59">
        <f ca="1">AVERAGE(OFFSET($R$3,0,0,'Données projet'!$E$9+1,1))-AVERAGE(OFFSET($H$3,0,0,'Données projet'!$E$9+1,1))</f>
        <v>235.10258076192054</v>
      </c>
      <c r="T96" s="59">
        <f t="shared" si="88"/>
        <v>233.47316052603765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0.98384831845880771</v>
      </c>
      <c r="AA96" s="21">
        <f>EXP(-LN(2)/25)*AA95+(1-EXP(-LN(2)/25))/(LN(2)/25)*Calculateur!V96*Calculateur!X96*VLOOKUP('Données projet'!$B$9,Paramètres!$A$1:$I$89,3,0)*0.475*44/12</f>
        <v>3.2139923254772294</v>
      </c>
      <c r="AB96" s="21">
        <f>EXP(-LN(2)/2)*AB95+(1-EXP(-LN(2)/2))/(LN(2)/2)*V96*Y96*VLOOKUP('Données projet'!$B$9,Paramètres!$A$1:$I$89,3,0)*0.475*44/12</f>
        <v>7.9427322197866361E-9</v>
      </c>
      <c r="AC96" s="22">
        <f t="shared" si="57"/>
        <v>4.197840651878769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2.2737367544323206E-13</v>
      </c>
      <c r="AJ96" s="13">
        <f>AI96*VLOOKUP('Données projet'!$B$10,Paramètres!$A$1:$I$89,3,0)*VLOOKUP('Données projet'!$B$10,Paramètres!$A$1:$I$89,5,0)</f>
        <v>1.2414602679200471E-13</v>
      </c>
      <c r="AK96" s="13">
        <f t="shared" si="89"/>
        <v>1.8186582995804361E-12</v>
      </c>
      <c r="AL96" s="20">
        <f t="shared" si="58"/>
        <v>3.3837175350986671E-12</v>
      </c>
      <c r="AM96" s="59">
        <f t="shared" si="59"/>
        <v>293.33333333333672</v>
      </c>
      <c r="AN96" s="59">
        <f ca="1">AVERAGE(OFFSET($AM$3,0,0,'Données projet'!$E$10+1,1))-AVERAGE(OFFSET($H$3,0,0,'Données projet'!$E$10+1,1))</f>
        <v>168.72306536277267</v>
      </c>
      <c r="AO96" s="59">
        <f t="shared" si="90"/>
        <v>203.35476578922339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0.87360738636934288</v>
      </c>
      <c r="AV96" s="21">
        <f>EXP(-LN(2)/25)*AV95+(1-EXP(-LN(2)/25))/(LN(2)/25)*Calculateur!AQ96*Calculateur!AS96*VLOOKUP('Données projet'!$B$10,Paramètres!$A$1:$I$89,3,0)*0.475*44/12</f>
        <v>4.0072766528440322</v>
      </c>
      <c r="AW96" s="21">
        <f>EXP(-LN(2)/2)*AW95+(1-EXP(-LN(2)/2))/(LN(2)/2)*AQ96*AT96*VLOOKUP('Données projet'!$B$10,Paramètres!$A$1:$I$89,3,0)*0.475*44/12</f>
        <v>6.5932971108326054E-9</v>
      </c>
      <c r="AX96" s="21">
        <f t="shared" si="60"/>
        <v>4.8808840458066722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5.6843418860808015E-14</v>
      </c>
      <c r="BE96" s="13">
        <f>BD96*VLOOKUP('Données projet'!$B$11,Paramètres!$A$1:$I$89,3,0)*VLOOKUP('Données projet'!$B$11,Paramètres!$A$1:$I$89,5,0)</f>
        <v>3.3992364478763198E-14</v>
      </c>
      <c r="BF96" s="13">
        <f t="shared" si="91"/>
        <v>5.790027782444094E-13</v>
      </c>
      <c r="BG96" s="20">
        <f t="shared" si="61"/>
        <v>1.0676332069095257E-12</v>
      </c>
      <c r="BH96" s="59">
        <f t="shared" si="62"/>
        <v>293.33333333333439</v>
      </c>
      <c r="BI96" s="59">
        <f ca="1">AVERAGE(OFFSET($BH$3,0,0,'Données projet'!$E$11+1,1))-AVERAGE(OFFSET($H$3,0,0,'Données projet'!$E$11+1,1))</f>
        <v>165.39579887388538</v>
      </c>
      <c r="BJ96" s="59">
        <f t="shared" si="92"/>
        <v>155.89639262545802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1.2708285648177733</v>
      </c>
      <c r="BR96" s="21">
        <f>EXP(-LN(2)/2)*BR95+(1-EXP(-LN(2)/2))/(LN(2)/2)*BL96*BO96*VLOOKUP('Données projet'!$B$11,Paramètres!$A$1:$I$89,3,0)*0.475*44/12</f>
        <v>4.5703106520681876E-9</v>
      </c>
      <c r="BS96" s="22">
        <f t="shared" si="63"/>
        <v>1.2708285693880839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3.7</v>
      </c>
      <c r="BY96" s="12">
        <f>IF('Données projet'!$A$114&gt;35,BY95+BX96-CG95,IF(A96&lt;'Données projet'!$A$114,$BV$205^A96,IF(A96='Données projet'!$A$114,'Données projet'!$B$114,BY95+BX96-CG95)))</f>
        <v>204.10000000000005</v>
      </c>
      <c r="BZ96" s="13">
        <f>BY96*VLOOKUP('Données projet'!$B$12,Paramètres!$A$1:$I$89,3,0)*VLOOKUP('Données projet'!$B$12,Paramètres!$A$1:$I$89,5,0)</f>
        <v>197.40552000000005</v>
      </c>
      <c r="CA96" s="13">
        <f t="shared" si="93"/>
        <v>49.173546967464283</v>
      </c>
      <c r="CB96" s="20">
        <f t="shared" si="64"/>
        <v>429.45854163500036</v>
      </c>
      <c r="CC96" s="59">
        <f t="shared" si="65"/>
        <v>722.79187496833367</v>
      </c>
      <c r="CD96" s="59">
        <f ca="1">AVERAGE(OFFSET($CC$3,0,0,'Données projet'!$E$12+1,1))-AVERAGE(OFFSET($H$3,0,0,'Données projet'!$E$12+1,1))</f>
        <v>156.26368818265388</v>
      </c>
      <c r="CE96" s="59">
        <f t="shared" si="94"/>
        <v>56.347130462109817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3.7</v>
      </c>
      <c r="CT96" s="12">
        <f>IF('Données projet'!$A$140&gt;35,CT95+CS96-DB95,IF(A96&lt;'Données projet'!$A$140,$CQ$205^A96,IF(A96='Données projet'!$A$140,'Données projet'!$B$140,CT95+CS96-DB95)))</f>
        <v>204.10000000000005</v>
      </c>
      <c r="CU96" s="17">
        <f>CT96*VLOOKUP('Données projet'!$B$13,Paramètres!$A$1:$I$89,3,0)*VLOOKUP('Données projet'!$B$13,Paramètres!$A$1:$I$89,5,0)</f>
        <v>165.56592000000006</v>
      </c>
      <c r="CV96" s="13">
        <f t="shared" si="95"/>
        <v>42.095414804729806</v>
      </c>
      <c r="CW96" s="20">
        <f t="shared" si="67"/>
        <v>361.67682478490451</v>
      </c>
      <c r="CX96" s="59">
        <f t="shared" si="68"/>
        <v>655.01015811823777</v>
      </c>
      <c r="CY96" s="59">
        <f ca="1">AVERAGE(OFFSET($CX$3,0,0,'Données projet'!$E$13+1,1))-AVERAGE(OFFSET($H$3,0,0,'Données projet'!$E$13+1,1))</f>
        <v>112.78807760743126</v>
      </c>
      <c r="CZ96" s="59">
        <f t="shared" si="96"/>
        <v>37.867745922003564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-8.5265128291212022E-14</v>
      </c>
      <c r="DP96" s="17">
        <f>DO96*VLOOKUP('Données projet'!$B$14,Paramètres!$A$1:$I$89,3,0)*VLOOKUP('Données projet'!$B$14,Paramètres!$A$1:$I$89,5,0)</f>
        <v>-5.7195848057745024E-14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107.15837202366862</v>
      </c>
      <c r="DU96" s="59">
        <f t="shared" si="98"/>
        <v>139.67031833740026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0.98818517826667462</v>
      </c>
      <c r="EC96" s="21">
        <f>EXP(-LN(2)/2)*EC95+(1-EXP(-LN(2)/2))/(LN(2)/2)*DW96*DZ96*VLOOKUP('Données projet'!$B$14,Paramètres!$A$1:$I$89,3,0)*0.475*44/12</f>
        <v>2.2224150295196701E-9</v>
      </c>
      <c r="ED96" s="22">
        <f t="shared" si="72"/>
        <v>0.98818518048908965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8.3000000000000007</v>
      </c>
      <c r="EJ96" s="12">
        <f>IF('Données projet'!$A$192&gt;35,EJ95+EI96-ER95,IF(A96&lt;'Données projet'!$A$192,$EG$205^A96,IF(A96='Données projet'!$A$192,'Données projet'!$B$192,EJ95+EI96-ER95)))</f>
        <v>349.79999999999995</v>
      </c>
      <c r="EK96" s="17">
        <f>EJ96*VLOOKUP('Données projet'!$B$15,Paramètres!$A$1:$I$89,3,0)*VLOOKUP('Données projet'!$B$15,Paramètres!$A$1:$I$89,5,0)</f>
        <v>163.70639999999997</v>
      </c>
      <c r="EL96" s="13">
        <f t="shared" si="99"/>
        <v>41.677386788386073</v>
      </c>
      <c r="EM96" s="20">
        <f t="shared" si="73"/>
        <v>357.71009532310563</v>
      </c>
      <c r="EN96" s="59">
        <f t="shared" si="74"/>
        <v>651.04342865643889</v>
      </c>
      <c r="EO96" s="59">
        <f ca="1">AVERAGE(OFFSET($EN$3,0,0,'Données projet'!$E$15+1,1))-AVERAGE(OFFSET($H$3,0,0,'Données projet'!$E$15+1,1))</f>
        <v>123.60520571614535</v>
      </c>
      <c r="EP96" s="59">
        <f t="shared" si="100"/>
        <v>119.00926870519527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0.24906724872611705</v>
      </c>
      <c r="EW96" s="21">
        <f>EXP(-LN(2)/25)*EW95+(1-EXP(-LN(2)/25))/(LN(2)/25)*Calculateur!ER96*Calculateur!ET96*VLOOKUP('Données projet'!$B$15,Paramètres!$A$1:$I$89,3,0)*0.475*44/12</f>
        <v>0.83279415620660135</v>
      </c>
      <c r="EX96" s="21">
        <f>EXP(-LN(2)/2)*EX95+(1-EXP(-LN(2)/2))/(LN(2)/2)*ER96*EU96*VLOOKUP('Données projet'!$B$15,Paramètres!$A$1:$I$89,3,0)*0.475*44/12</f>
        <v>2.0130752336493719E-9</v>
      </c>
      <c r="EY96" s="22">
        <f t="shared" si="75"/>
        <v>1.0818614069457937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-2.2737367544323206E-13</v>
      </c>
      <c r="FF96" s="17">
        <f>FE96*VLOOKUP('Données projet'!$B$16,Paramètres!$A$1:$I$89,3,0)*VLOOKUP('Données projet'!$B$16,Paramètres!$A$1:$I$89,5,0)</f>
        <v>-1.0936673788819462E-13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197.66963254934603</v>
      </c>
      <c r="FK96" s="59">
        <f t="shared" si="102"/>
        <v>158.08388141976138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0.76594171414899448</v>
      </c>
      <c r="FR96" s="21">
        <f>EXP(-LN(2)/25)*FR95+(1-EXP(-LN(2)/25))/(LN(2)/25)*Calculateur!FM96*Calculateur!FO96*VLOOKUP('Données projet'!$B$16,Paramètres!$A$1:$I$89,3,0)*0.475*44/12</f>
        <v>0.92634073681968698</v>
      </c>
      <c r="FS96" s="21">
        <f>EXP(-LN(2)/2)*FS95+(1-EXP(-LN(2)/2))/(LN(2)/2)*FM96*FP96*VLOOKUP('Données projet'!$B$16,Paramètres!$A$1:$I$89,3,0)*0.475*44/12</f>
        <v>2.7257080707562548E-9</v>
      </c>
      <c r="FT96" s="22">
        <f t="shared" si="78"/>
        <v>1.6922824536943897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5.6843418860808015E-14</v>
      </c>
      <c r="GA96" s="17">
        <f>FZ96*VLOOKUP('Données projet'!$B$17,Paramètres!$A$1:$I$89,3,0)*VLOOKUP('Données projet'!$B$17,Paramètres!$A$1:$I$89,5,0)</f>
        <v>3.3992364478763198E-14</v>
      </c>
      <c r="GB96" s="13">
        <f t="shared" si="103"/>
        <v>5.790027782444094E-13</v>
      </c>
      <c r="GC96" s="20">
        <f t="shared" si="79"/>
        <v>1.0676332069095257E-12</v>
      </c>
      <c r="GD96" s="59">
        <f t="shared" si="80"/>
        <v>293.33333333333439</v>
      </c>
      <c r="GE96" s="59">
        <f ca="1">AVERAGE(OFFSET($GD$3,0,0,'Données projet'!$E$17+1,1))-AVERAGE(OFFSET($H$3,0,0,'Données projet'!$E$17+1,1))</f>
        <v>165.39579887388538</v>
      </c>
      <c r="GF96" s="59">
        <f t="shared" si="104"/>
        <v>155.89639262545802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1.2708285648177733</v>
      </c>
      <c r="GN96" s="21">
        <f>EXP(-LN(2)/2)*GN95+(1-EXP(-LN(2)/2))/(LN(2)/2)*GH96*GK96*VLOOKUP('Données projet'!$B$17,Paramètres!$A$1:$I$89,3,0)*0.475*44/12</f>
        <v>4.5703106520681876E-9</v>
      </c>
      <c r="GO96" s="21">
        <f t="shared" si="81"/>
        <v>1.2708285693880839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3.7</v>
      </c>
      <c r="GU96" s="12">
        <f>IF('Données projet'!$A$270&gt;35,GU95+GT96-HC95,IF(A96&lt;'Données projet'!$A$270,$GR$205^A96,IF(A96='Données projet'!$A$270,'Données projet'!$B$270,GU95+GT96-HC95)))</f>
        <v>204.10000000000005</v>
      </c>
      <c r="GV96" s="17">
        <f>GU96*VLOOKUP('Données projet'!$B$18,Paramètres!$A$1:$I$89,3,0)*VLOOKUP('Données projet'!$B$18,Paramètres!$A$1:$I$89,5,0)</f>
        <v>219.69324000000006</v>
      </c>
      <c r="GW96" s="13">
        <f t="shared" si="105"/>
        <v>54.04820753680179</v>
      </c>
      <c r="GX96" s="20">
        <f t="shared" si="82"/>
        <v>476.76635445992991</v>
      </c>
      <c r="GY96" s="59">
        <f t="shared" si="83"/>
        <v>770.09968779326323</v>
      </c>
      <c r="GZ96" s="59">
        <f ca="1">AVERAGE(OFFSET($GY$3,0,0,'Données projet'!$E$18+1,1))-AVERAGE(OFFSET($H$3,0,0,'Données projet'!$E$18+1,1))</f>
        <v>186.60545265015247</v>
      </c>
      <c r="HA96" s="59">
        <f t="shared" si="106"/>
        <v>69.239647548491234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0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0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3.4106051316484809E-13</v>
      </c>
      <c r="O97" s="13">
        <f>N97*VLOOKUP('Données projet'!$B$9,Paramètres!$A$1:$I$89,3,0)*VLOOKUP('Données projet'!$B$9,Paramètres!$A$1:$I$89,5,0)</f>
        <v>1.9065282685915009E-13</v>
      </c>
      <c r="P97" s="13">
        <f t="shared" si="87"/>
        <v>2.6568987209435707E-12</v>
      </c>
      <c r="Q97" s="20">
        <f t="shared" si="54"/>
        <v>4.959485612423072E-12</v>
      </c>
      <c r="R97" s="59">
        <f t="shared" si="55"/>
        <v>293.33333333333826</v>
      </c>
      <c r="S97" s="59">
        <f ca="1">AVERAGE(OFFSET($R$3,0,0,'Données projet'!$E$9+1,1))-AVERAGE(OFFSET($H$3,0,0,'Données projet'!$E$9+1,1))</f>
        <v>235.10258076192054</v>
      </c>
      <c r="T97" s="59">
        <f t="shared" si="88"/>
        <v>233.47316052603765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0.96455565302205093</v>
      </c>
      <c r="AA97" s="21">
        <f>EXP(-LN(2)/25)*AA96+(1-EXP(-LN(2)/25))/(LN(2)/25)*Calculateur!V97*Calculateur!X97*VLOOKUP('Données projet'!$B$9,Paramètres!$A$1:$I$89,3,0)*0.475*44/12</f>
        <v>3.1261055363205439</v>
      </c>
      <c r="AB97" s="21">
        <f>EXP(-LN(2)/2)*AB96+(1-EXP(-LN(2)/2))/(LN(2)/2)*V97*Y97*VLOOKUP('Données projet'!$B$9,Paramètres!$A$1:$I$89,3,0)*0.475*44/12</f>
        <v>5.6163598137600099E-9</v>
      </c>
      <c r="AC97" s="22">
        <f t="shared" si="57"/>
        <v>4.0906611949589546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2.2737367544323206E-13</v>
      </c>
      <c r="AJ97" s="13">
        <f>AI97*VLOOKUP('Données projet'!$B$10,Paramètres!$A$1:$I$89,3,0)*VLOOKUP('Données projet'!$B$10,Paramètres!$A$1:$I$89,5,0)</f>
        <v>1.2414602679200471E-13</v>
      </c>
      <c r="AK97" s="13">
        <f t="shared" si="89"/>
        <v>1.8186582995804361E-12</v>
      </c>
      <c r="AL97" s="20">
        <f t="shared" si="58"/>
        <v>3.3837175350986671E-12</v>
      </c>
      <c r="AM97" s="59">
        <f t="shared" si="59"/>
        <v>293.33333333333672</v>
      </c>
      <c r="AN97" s="59">
        <f ca="1">AVERAGE(OFFSET($AM$3,0,0,'Données projet'!$E$10+1,1))-AVERAGE(OFFSET($H$3,0,0,'Données projet'!$E$10+1,1))</f>
        <v>168.72306536277267</v>
      </c>
      <c r="AO97" s="59">
        <f t="shared" si="90"/>
        <v>203.35476578922339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0.85647647837053142</v>
      </c>
      <c r="AV97" s="21">
        <f>EXP(-LN(2)/25)*AV96+(1-EXP(-LN(2)/25))/(LN(2)/25)*Calculateur!AQ97*Calculateur!AS97*VLOOKUP('Données projet'!$B$10,Paramètres!$A$1:$I$89,3,0)*0.475*44/12</f>
        <v>3.8976974620384919</v>
      </c>
      <c r="AW97" s="21">
        <f>EXP(-LN(2)/2)*AW96+(1-EXP(-LN(2)/2))/(LN(2)/2)*AQ97*AT97*VLOOKUP('Données projet'!$B$10,Paramètres!$A$1:$I$89,3,0)*0.475*44/12</f>
        <v>4.662165097447407E-9</v>
      </c>
      <c r="AX97" s="21">
        <f t="shared" si="60"/>
        <v>4.7541739450711882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5.6843418860808015E-14</v>
      </c>
      <c r="BE97" s="13">
        <f>BD97*VLOOKUP('Données projet'!$B$11,Paramètres!$A$1:$I$89,3,0)*VLOOKUP('Données projet'!$B$11,Paramètres!$A$1:$I$89,5,0)</f>
        <v>3.3992364478763198E-14</v>
      </c>
      <c r="BF97" s="13">
        <f t="shared" si="91"/>
        <v>5.790027782444094E-13</v>
      </c>
      <c r="BG97" s="20">
        <f t="shared" si="61"/>
        <v>1.0676332069095257E-12</v>
      </c>
      <c r="BH97" s="59">
        <f t="shared" si="62"/>
        <v>293.33333333333439</v>
      </c>
      <c r="BI97" s="59">
        <f ca="1">AVERAGE(OFFSET($BH$3,0,0,'Données projet'!$E$11+1,1))-AVERAGE(OFFSET($H$3,0,0,'Données projet'!$E$11+1,1))</f>
        <v>165.39579887388538</v>
      </c>
      <c r="BJ97" s="59">
        <f t="shared" si="92"/>
        <v>155.89639262545802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1.2360776908828617</v>
      </c>
      <c r="BR97" s="21">
        <f>EXP(-LN(2)/2)*BR96+(1-EXP(-LN(2)/2))/(LN(2)/2)*BL97*BO97*VLOOKUP('Données projet'!$B$11,Paramètres!$A$1:$I$89,3,0)*0.475*44/12</f>
        <v>3.2316976542065273E-9</v>
      </c>
      <c r="BS97" s="22">
        <f t="shared" si="63"/>
        <v>1.2360776941145593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3.7</v>
      </c>
      <c r="BY97" s="12">
        <f>IF('Données projet'!$A$114&gt;35,BY96+BX97-CG96,IF(A97&lt;'Données projet'!$A$114,$BV$205^A97,IF(A97='Données projet'!$A$114,'Données projet'!$B$114,BY96+BX97-CG96)))</f>
        <v>207.80000000000004</v>
      </c>
      <c r="BZ97" s="13">
        <f>BY97*VLOOKUP('Données projet'!$B$12,Paramètres!$A$1:$I$89,3,0)*VLOOKUP('Données projet'!$B$12,Paramètres!$A$1:$I$89,5,0)</f>
        <v>200.98416000000003</v>
      </c>
      <c r="CA97" s="13">
        <f t="shared" si="93"/>
        <v>49.960394475950601</v>
      </c>
      <c r="CB97" s="20">
        <f t="shared" si="64"/>
        <v>437.0617657122807</v>
      </c>
      <c r="CC97" s="59">
        <f t="shared" si="65"/>
        <v>730.39509904561396</v>
      </c>
      <c r="CD97" s="59">
        <f ca="1">AVERAGE(OFFSET($CC$3,0,0,'Données projet'!$E$12+1,1))-AVERAGE(OFFSET($H$3,0,0,'Données projet'!$E$12+1,1))</f>
        <v>156.26368818265388</v>
      </c>
      <c r="CE97" s="59">
        <f t="shared" si="94"/>
        <v>56.347130462109817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3.7</v>
      </c>
      <c r="CT97" s="12">
        <f>IF('Données projet'!$A$140&gt;35,CT96+CS97-DB96,IF(A97&lt;'Données projet'!$A$140,$CQ$205^A97,IF(A97='Données projet'!$A$140,'Données projet'!$B$140,CT96+CS97-DB96)))</f>
        <v>207.80000000000004</v>
      </c>
      <c r="CU97" s="17">
        <f>CT97*VLOOKUP('Données projet'!$B$13,Paramètres!$A$1:$I$89,3,0)*VLOOKUP('Données projet'!$B$13,Paramètres!$A$1:$I$89,5,0)</f>
        <v>168.56736000000004</v>
      </c>
      <c r="CV97" s="13">
        <f t="shared" si="95"/>
        <v>42.769002013716651</v>
      </c>
      <c r="CW97" s="20">
        <f t="shared" si="67"/>
        <v>368.07749717388987</v>
      </c>
      <c r="CX97" s="59">
        <f t="shared" si="68"/>
        <v>661.41083050722318</v>
      </c>
      <c r="CY97" s="59">
        <f ca="1">AVERAGE(OFFSET($CX$3,0,0,'Données projet'!$E$13+1,1))-AVERAGE(OFFSET($H$3,0,0,'Données projet'!$E$13+1,1))</f>
        <v>112.78807760743126</v>
      </c>
      <c r="CZ97" s="59">
        <f t="shared" si="96"/>
        <v>37.867745922003564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-8.5265128291212022E-14</v>
      </c>
      <c r="DP97" s="17">
        <f>DO97*VLOOKUP('Données projet'!$B$14,Paramètres!$A$1:$I$89,3,0)*VLOOKUP('Données projet'!$B$14,Paramètres!$A$1:$I$89,5,0)</f>
        <v>-5.7195848057745024E-14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107.15837202366862</v>
      </c>
      <c r="DU97" s="59">
        <f t="shared" si="98"/>
        <v>139.67031833740026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0.96116320260057242</v>
      </c>
      <c r="EC97" s="21">
        <f>EXP(-LN(2)/2)*EC96+(1-EXP(-LN(2)/2))/(LN(2)/2)*DW97*DZ97*VLOOKUP('Données projet'!$B$14,Paramètres!$A$1:$I$89,3,0)*0.475*44/12</f>
        <v>1.57148473798426E-9</v>
      </c>
      <c r="ED97" s="22">
        <f t="shared" si="72"/>
        <v>0.96116320417205714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8.3000000000000007</v>
      </c>
      <c r="EJ97" s="12">
        <f>IF('Données projet'!$A$192&gt;35,EJ96+EI97-ER96,IF(A97&lt;'Données projet'!$A$192,$EG$205^A97,IF(A97='Données projet'!$A$192,'Données projet'!$B$192,EJ96+EI97-ER96)))</f>
        <v>358.09999999999997</v>
      </c>
      <c r="EK97" s="17">
        <f>EJ97*VLOOKUP('Données projet'!$B$15,Paramètres!$A$1:$I$89,3,0)*VLOOKUP('Données projet'!$B$15,Paramètres!$A$1:$I$89,5,0)</f>
        <v>167.5908</v>
      </c>
      <c r="EL97" s="13">
        <f t="shared" si="99"/>
        <v>42.549995519736676</v>
      </c>
      <c r="EM97" s="20">
        <f t="shared" si="73"/>
        <v>365.99521886354137</v>
      </c>
      <c r="EN97" s="59">
        <f t="shared" si="74"/>
        <v>659.32855219687463</v>
      </c>
      <c r="EO97" s="59">
        <f ca="1">AVERAGE(OFFSET($EN$3,0,0,'Données projet'!$E$15+1,1))-AVERAGE(OFFSET($H$3,0,0,'Données projet'!$E$15+1,1))</f>
        <v>123.60520571614535</v>
      </c>
      <c r="EP97" s="59">
        <f t="shared" si="100"/>
        <v>119.00926870519527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0.24418319189461915</v>
      </c>
      <c r="EW97" s="21">
        <f>EXP(-LN(2)/25)*EW96+(1-EXP(-LN(2)/25))/(LN(2)/25)*Calculateur!ER97*Calculateur!ET97*VLOOKUP('Données projet'!$B$15,Paramètres!$A$1:$I$89,3,0)*0.475*44/12</f>
        <v>0.81002135621039051</v>
      </c>
      <c r="EX97" s="21">
        <f>EXP(-LN(2)/2)*EX96+(1-EXP(-LN(2)/2))/(LN(2)/2)*ER97*EU97*VLOOKUP('Données projet'!$B$15,Paramètres!$A$1:$I$89,3,0)*0.475*44/12</f>
        <v>1.4234591487521644E-9</v>
      </c>
      <c r="EY97" s="22">
        <f t="shared" si="75"/>
        <v>1.0542045495284689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-2.2737367544323206E-13</v>
      </c>
      <c r="FF97" s="17">
        <f>FE97*VLOOKUP('Données projet'!$B$16,Paramètres!$A$1:$I$89,3,0)*VLOOKUP('Données projet'!$B$16,Paramètres!$A$1:$I$89,5,0)</f>
        <v>-1.0936673788819462E-13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197.66963254934603</v>
      </c>
      <c r="FK97" s="59">
        <f t="shared" si="102"/>
        <v>158.08388141976138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0.75092206431284825</v>
      </c>
      <c r="FR97" s="21">
        <f>EXP(-LN(2)/25)*FR96+(1-EXP(-LN(2)/25))/(LN(2)/25)*Calculateur!FM97*Calculateur!FO97*VLOOKUP('Données projet'!$B$16,Paramètres!$A$1:$I$89,3,0)*0.475*44/12</f>
        <v>0.90100990065721043</v>
      </c>
      <c r="FS97" s="21">
        <f>EXP(-LN(2)/2)*FS96+(1-EXP(-LN(2)/2))/(LN(2)/2)*FM97*FP97*VLOOKUP('Données projet'!$B$16,Paramètres!$A$1:$I$89,3,0)*0.475*44/12</f>
        <v>1.9273666603666496E-9</v>
      </c>
      <c r="FT97" s="22">
        <f t="shared" si="78"/>
        <v>1.6519319668974255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5.6843418860808015E-14</v>
      </c>
      <c r="GA97" s="17">
        <f>FZ97*VLOOKUP('Données projet'!$B$17,Paramètres!$A$1:$I$89,3,0)*VLOOKUP('Données projet'!$B$17,Paramètres!$A$1:$I$89,5,0)</f>
        <v>3.3992364478763198E-14</v>
      </c>
      <c r="GB97" s="13">
        <f t="shared" si="103"/>
        <v>5.790027782444094E-13</v>
      </c>
      <c r="GC97" s="20">
        <f t="shared" si="79"/>
        <v>1.0676332069095257E-12</v>
      </c>
      <c r="GD97" s="59">
        <f t="shared" si="80"/>
        <v>293.33333333333439</v>
      </c>
      <c r="GE97" s="59">
        <f ca="1">AVERAGE(OFFSET($GD$3,0,0,'Données projet'!$E$17+1,1))-AVERAGE(OFFSET($H$3,0,0,'Données projet'!$E$17+1,1))</f>
        <v>165.39579887388538</v>
      </c>
      <c r="GF97" s="59">
        <f t="shared" si="104"/>
        <v>155.89639262545802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1.2360776908828617</v>
      </c>
      <c r="GN97" s="21">
        <f>EXP(-LN(2)/2)*GN96+(1-EXP(-LN(2)/2))/(LN(2)/2)*GH97*GK97*VLOOKUP('Données projet'!$B$17,Paramètres!$A$1:$I$89,3,0)*0.475*44/12</f>
        <v>3.2316976542065273E-9</v>
      </c>
      <c r="GO97" s="21">
        <f t="shared" si="81"/>
        <v>1.2360776941145593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3.7</v>
      </c>
      <c r="GU97" s="12">
        <f>IF('Données projet'!$A$270&gt;35,GU96+GT97-HC96,IF(A97&lt;'Données projet'!$A$270,$GR$205^A97,IF(A97='Données projet'!$A$270,'Données projet'!$B$270,GU96+GT97-HC96)))</f>
        <v>207.80000000000004</v>
      </c>
      <c r="GV97" s="17">
        <f>GU97*VLOOKUP('Données projet'!$B$18,Paramètres!$A$1:$I$89,3,0)*VLOOKUP('Données projet'!$B$18,Paramètres!$A$1:$I$89,5,0)</f>
        <v>223.67592000000002</v>
      </c>
      <c r="GW97" s="13">
        <f t="shared" si="105"/>
        <v>54.913056628664535</v>
      </c>
      <c r="GX97" s="20">
        <f t="shared" si="82"/>
        <v>485.20913429492407</v>
      </c>
      <c r="GY97" s="59">
        <f t="shared" si="83"/>
        <v>778.54246762825733</v>
      </c>
      <c r="GZ97" s="59">
        <f ca="1">AVERAGE(OFFSET($GY$3,0,0,'Données projet'!$E$18+1,1))-AVERAGE(OFFSET($H$3,0,0,'Données projet'!$E$18+1,1))</f>
        <v>186.60545265015247</v>
      </c>
      <c r="HA97" s="59">
        <f t="shared" si="106"/>
        <v>69.239647548491234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0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0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3.4106051316484809E-13</v>
      </c>
      <c r="O98" s="13">
        <f>N98*VLOOKUP('Données projet'!$B$9,Paramètres!$A$1:$I$89,3,0)*VLOOKUP('Données projet'!$B$9,Paramètres!$A$1:$I$89,5,0)</f>
        <v>1.9065282685915009E-13</v>
      </c>
      <c r="P98" s="13">
        <f t="shared" si="87"/>
        <v>2.6568987209435707E-12</v>
      </c>
      <c r="Q98" s="20">
        <f t="shared" si="54"/>
        <v>4.959485612423072E-12</v>
      </c>
      <c r="R98" s="59">
        <f t="shared" si="55"/>
        <v>293.33333333333826</v>
      </c>
      <c r="S98" s="59">
        <f ca="1">AVERAGE(OFFSET($R$3,0,0,'Données projet'!$E$9+1,1))-AVERAGE(OFFSET($H$3,0,0,'Données projet'!$E$9+1,1))</f>
        <v>235.10258076192054</v>
      </c>
      <c r="T98" s="59">
        <f t="shared" si="88"/>
        <v>233.47316052603765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0.94564130498714505</v>
      </c>
      <c r="AA98" s="21">
        <f>EXP(-LN(2)/25)*AA97+(1-EXP(-LN(2)/25))/(LN(2)/25)*Calculateur!V98*Calculateur!X98*VLOOKUP('Données projet'!$B$9,Paramètres!$A$1:$I$89,3,0)*0.475*44/12</f>
        <v>3.0406220160351132</v>
      </c>
      <c r="AB98" s="21">
        <f>EXP(-LN(2)/2)*AB97+(1-EXP(-LN(2)/2))/(LN(2)/2)*V98*Y98*VLOOKUP('Données projet'!$B$9,Paramètres!$A$1:$I$89,3,0)*0.475*44/12</f>
        <v>3.971366109893318E-9</v>
      </c>
      <c r="AC98" s="22">
        <f t="shared" si="57"/>
        <v>3.9862633249936241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2.2737367544323206E-13</v>
      </c>
      <c r="AJ98" s="13">
        <f>AI98*VLOOKUP('Données projet'!$B$10,Paramètres!$A$1:$I$89,3,0)*VLOOKUP('Données projet'!$B$10,Paramètres!$A$1:$I$89,5,0)</f>
        <v>1.2414602679200471E-13</v>
      </c>
      <c r="AK98" s="13">
        <f t="shared" si="89"/>
        <v>1.8186582995804361E-12</v>
      </c>
      <c r="AL98" s="20">
        <f t="shared" si="58"/>
        <v>3.3837175350986671E-12</v>
      </c>
      <c r="AM98" s="59">
        <f t="shared" si="59"/>
        <v>293.33333333333672</v>
      </c>
      <c r="AN98" s="59">
        <f ca="1">AVERAGE(OFFSET($AM$3,0,0,'Données projet'!$E$10+1,1))-AVERAGE(OFFSET($H$3,0,0,'Données projet'!$E$10+1,1))</f>
        <v>168.72306536277267</v>
      </c>
      <c r="AO98" s="59">
        <f t="shared" si="90"/>
        <v>203.35476578922339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0.8396814970287545</v>
      </c>
      <c r="AV98" s="21">
        <f>EXP(-LN(2)/25)*AV97+(1-EXP(-LN(2)/25))/(LN(2)/25)*Calculateur!AQ98*Calculateur!AS98*VLOOKUP('Données projet'!$B$10,Paramètres!$A$1:$I$89,3,0)*0.475*44/12</f>
        <v>3.7911147199680482</v>
      </c>
      <c r="AW98" s="21">
        <f>EXP(-LN(2)/2)*AW97+(1-EXP(-LN(2)/2))/(LN(2)/2)*AQ98*AT98*VLOOKUP('Données projet'!$B$10,Paramètres!$A$1:$I$89,3,0)*0.475*44/12</f>
        <v>3.2966485554163027E-9</v>
      </c>
      <c r="AX98" s="21">
        <f t="shared" si="60"/>
        <v>4.6307962202934512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5.6843418860808015E-14</v>
      </c>
      <c r="BE98" s="13">
        <f>BD98*VLOOKUP('Données projet'!$B$11,Paramètres!$A$1:$I$89,3,0)*VLOOKUP('Données projet'!$B$11,Paramètres!$A$1:$I$89,5,0)</f>
        <v>3.3992364478763198E-14</v>
      </c>
      <c r="BF98" s="13">
        <f t="shared" si="91"/>
        <v>5.790027782444094E-13</v>
      </c>
      <c r="BG98" s="20">
        <f t="shared" si="61"/>
        <v>1.0676332069095257E-12</v>
      </c>
      <c r="BH98" s="59">
        <f t="shared" si="62"/>
        <v>293.33333333333439</v>
      </c>
      <c r="BI98" s="59">
        <f ca="1">AVERAGE(OFFSET($BH$3,0,0,'Données projet'!$E$11+1,1))-AVERAGE(OFFSET($H$3,0,0,'Données projet'!$E$11+1,1))</f>
        <v>165.39579887388538</v>
      </c>
      <c r="BJ98" s="59">
        <f t="shared" si="92"/>
        <v>155.89639262545802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1.2022770814231691</v>
      </c>
      <c r="BR98" s="21">
        <f>EXP(-LN(2)/2)*BR97+(1-EXP(-LN(2)/2))/(LN(2)/2)*BL98*BO98*VLOOKUP('Données projet'!$B$11,Paramètres!$A$1:$I$89,3,0)*0.475*44/12</f>
        <v>2.2851553260340938E-9</v>
      </c>
      <c r="BS98" s="22">
        <f t="shared" si="63"/>
        <v>1.2022770837083245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3.7</v>
      </c>
      <c r="BY98" s="12">
        <f>IF('Données projet'!$A$114&gt;35,BY97+BX98-CG97,IF(A98&lt;'Données projet'!$A$114,$BV$205^A98,IF(A98='Données projet'!$A$114,'Données projet'!$B$114,BY97+BX98-CG97)))</f>
        <v>211.50000000000003</v>
      </c>
      <c r="BZ98" s="13">
        <f>BY98*VLOOKUP('Données projet'!$B$12,Paramètres!$A$1:$I$89,3,0)*VLOOKUP('Données projet'!$B$12,Paramètres!$A$1:$I$89,5,0)</f>
        <v>204.56280000000004</v>
      </c>
      <c r="CA98" s="13">
        <f t="shared" si="93"/>
        <v>50.745612785863763</v>
      </c>
      <c r="CB98" s="20">
        <f t="shared" si="64"/>
        <v>444.66215226871276</v>
      </c>
      <c r="CC98" s="59">
        <f t="shared" si="65"/>
        <v>737.99548560204607</v>
      </c>
      <c r="CD98" s="59">
        <f ca="1">AVERAGE(OFFSET($CC$3,0,0,'Données projet'!$E$12+1,1))-AVERAGE(OFFSET($H$3,0,0,'Données projet'!$E$12+1,1))</f>
        <v>156.26368818265388</v>
      </c>
      <c r="CE98" s="59">
        <f t="shared" si="94"/>
        <v>56.347130462109817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3.7</v>
      </c>
      <c r="CT98" s="12">
        <f>IF('Données projet'!$A$140&gt;35,CT97+CS98-DB97,IF(A98&lt;'Données projet'!$A$140,$CQ$205^A98,IF(A98='Données projet'!$A$140,'Données projet'!$B$140,CT97+CS98-DB97)))</f>
        <v>211.50000000000003</v>
      </c>
      <c r="CU98" s="17">
        <f>CT98*VLOOKUP('Données projet'!$B$13,Paramètres!$A$1:$I$89,3,0)*VLOOKUP('Données projet'!$B$13,Paramètres!$A$1:$I$89,5,0)</f>
        <v>171.56880000000004</v>
      </c>
      <c r="CV98" s="13">
        <f t="shared" si="95"/>
        <v>43.441194534014848</v>
      </c>
      <c r="CW98" s="20">
        <f t="shared" si="67"/>
        <v>374.4757404800759</v>
      </c>
      <c r="CX98" s="59">
        <f t="shared" si="68"/>
        <v>667.80907381340921</v>
      </c>
      <c r="CY98" s="59">
        <f ca="1">AVERAGE(OFFSET($CX$3,0,0,'Données projet'!$E$13+1,1))-AVERAGE(OFFSET($H$3,0,0,'Données projet'!$E$13+1,1))</f>
        <v>112.78807760743126</v>
      </c>
      <c r="CZ98" s="59">
        <f t="shared" si="96"/>
        <v>37.867745922003564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-8.5265128291212022E-14</v>
      </c>
      <c r="DP98" s="17">
        <f>DO98*VLOOKUP('Données projet'!$B$14,Paramètres!$A$1:$I$89,3,0)*VLOOKUP('Données projet'!$B$14,Paramètres!$A$1:$I$89,5,0)</f>
        <v>-5.7195848057745024E-14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107.15837202366862</v>
      </c>
      <c r="DU98" s="59">
        <f t="shared" si="98"/>
        <v>139.67031833740026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0.9348801442800837</v>
      </c>
      <c r="EC98" s="21">
        <f>EXP(-LN(2)/2)*EC97+(1-EXP(-LN(2)/2))/(LN(2)/2)*DW98*DZ98*VLOOKUP('Données projet'!$B$14,Paramètres!$A$1:$I$89,3,0)*0.475*44/12</f>
        <v>1.1112075147598351E-9</v>
      </c>
      <c r="ED98" s="22">
        <f t="shared" si="72"/>
        <v>0.93488014539129116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8.3000000000000007</v>
      </c>
      <c r="EJ98" s="12">
        <f>IF('Données projet'!$A$192&gt;35,EJ97+EI98-ER97,IF(A98&lt;'Données projet'!$A$192,$EG$205^A98,IF(A98='Données projet'!$A$192,'Données projet'!$B$192,EJ97+EI98-ER97)))</f>
        <v>366.4</v>
      </c>
      <c r="EK98" s="17">
        <f>EJ98*VLOOKUP('Données projet'!$B$15,Paramètres!$A$1:$I$89,3,0)*VLOOKUP('Données projet'!$B$15,Paramètres!$A$1:$I$89,5,0)</f>
        <v>171.4752</v>
      </c>
      <c r="EL98" s="13">
        <f t="shared" si="99"/>
        <v>43.420252985462113</v>
      </c>
      <c r="EM98" s="20">
        <f t="shared" si="73"/>
        <v>374.27624728301316</v>
      </c>
      <c r="EN98" s="59">
        <f t="shared" si="74"/>
        <v>667.60958061634642</v>
      </c>
      <c r="EO98" s="59">
        <f ca="1">AVERAGE(OFFSET($EN$3,0,0,'Données projet'!$E$15+1,1))-AVERAGE(OFFSET($H$3,0,0,'Données projet'!$E$15+1,1))</f>
        <v>123.60520571614535</v>
      </c>
      <c r="EP98" s="59">
        <f t="shared" si="100"/>
        <v>119.00926870519527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0.23939490843860642</v>
      </c>
      <c r="EW98" s="21">
        <f>EXP(-LN(2)/25)*EW97+(1-EXP(-LN(2)/25))/(LN(2)/25)*Calculateur!ER98*Calculateur!ET98*VLOOKUP('Données projet'!$B$15,Paramètres!$A$1:$I$89,3,0)*0.475*44/12</f>
        <v>0.78787127962764558</v>
      </c>
      <c r="EX98" s="21">
        <f>EXP(-LN(2)/2)*EX97+(1-EXP(-LN(2)/2))/(LN(2)/2)*ER98*EU98*VLOOKUP('Données projet'!$B$15,Paramètres!$A$1:$I$89,3,0)*0.475*44/12</f>
        <v>1.0065376168246859E-9</v>
      </c>
      <c r="EY98" s="22">
        <f t="shared" si="75"/>
        <v>1.0272661890727894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-2.2737367544323206E-13</v>
      </c>
      <c r="FF98" s="17">
        <f>FE98*VLOOKUP('Données projet'!$B$16,Paramètres!$A$1:$I$89,3,0)*VLOOKUP('Données projet'!$B$16,Paramètres!$A$1:$I$89,5,0)</f>
        <v>-1.0936673788819462E-13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197.66963254934603</v>
      </c>
      <c r="FK98" s="59">
        <f t="shared" si="102"/>
        <v>158.08388141976138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0.73619694064890706</v>
      </c>
      <c r="FR98" s="21">
        <f>EXP(-LN(2)/25)*FR97+(1-EXP(-LN(2)/25))/(LN(2)/25)*Calculateur!FM98*Calculateur!FO98*VLOOKUP('Données projet'!$B$16,Paramètres!$A$1:$I$89,3,0)*0.475*44/12</f>
        <v>0.87637173754168762</v>
      </c>
      <c r="FS98" s="21">
        <f>EXP(-LN(2)/2)*FS97+(1-EXP(-LN(2)/2))/(LN(2)/2)*FM98*FP98*VLOOKUP('Données projet'!$B$16,Paramètres!$A$1:$I$89,3,0)*0.475*44/12</f>
        <v>1.3628540353781274E-9</v>
      </c>
      <c r="FT98" s="22">
        <f t="shared" si="78"/>
        <v>1.6125686795534488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5.6843418860808015E-14</v>
      </c>
      <c r="GA98" s="17">
        <f>FZ98*VLOOKUP('Données projet'!$B$17,Paramètres!$A$1:$I$89,3,0)*VLOOKUP('Données projet'!$B$17,Paramètres!$A$1:$I$89,5,0)</f>
        <v>3.3992364478763198E-14</v>
      </c>
      <c r="GB98" s="13">
        <f t="shared" si="103"/>
        <v>5.790027782444094E-13</v>
      </c>
      <c r="GC98" s="20">
        <f t="shared" si="79"/>
        <v>1.0676332069095257E-12</v>
      </c>
      <c r="GD98" s="59">
        <f t="shared" si="80"/>
        <v>293.33333333333439</v>
      </c>
      <c r="GE98" s="59">
        <f ca="1">AVERAGE(OFFSET($GD$3,0,0,'Données projet'!$E$17+1,1))-AVERAGE(OFFSET($H$3,0,0,'Données projet'!$E$17+1,1))</f>
        <v>165.39579887388538</v>
      </c>
      <c r="GF98" s="59">
        <f t="shared" si="104"/>
        <v>155.89639262545802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1.2022770814231691</v>
      </c>
      <c r="GN98" s="21">
        <f>EXP(-LN(2)/2)*GN97+(1-EXP(-LN(2)/2))/(LN(2)/2)*GH98*GK98*VLOOKUP('Données projet'!$B$17,Paramètres!$A$1:$I$89,3,0)*0.475*44/12</f>
        <v>2.2851553260340938E-9</v>
      </c>
      <c r="GO98" s="21">
        <f t="shared" si="81"/>
        <v>1.2022770837083245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3.7</v>
      </c>
      <c r="GU98" s="12">
        <f>IF('Données projet'!$A$270&gt;35,GU97+GT98-HC97,IF(A98&lt;'Données projet'!$A$270,$GR$205^A98,IF(A98='Données projet'!$A$270,'Données projet'!$B$270,GU97+GT98-HC97)))</f>
        <v>211.50000000000003</v>
      </c>
      <c r="GV98" s="17">
        <f>GU98*VLOOKUP('Données projet'!$B$18,Paramètres!$A$1:$I$89,3,0)*VLOOKUP('Données projet'!$B$18,Paramètres!$A$1:$I$89,5,0)</f>
        <v>227.65860000000001</v>
      </c>
      <c r="GW98" s="13">
        <f t="shared" si="105"/>
        <v>55.776115016621809</v>
      </c>
      <c r="GX98" s="20">
        <f t="shared" si="82"/>
        <v>493.64879532061627</v>
      </c>
      <c r="GY98" s="59">
        <f t="shared" si="83"/>
        <v>786.98212865394953</v>
      </c>
      <c r="GZ98" s="59">
        <f ca="1">AVERAGE(OFFSET($GY$3,0,0,'Données projet'!$E$18+1,1))-AVERAGE(OFFSET($H$3,0,0,'Données projet'!$E$18+1,1))</f>
        <v>186.60545265015247</v>
      </c>
      <c r="HA98" s="59">
        <f t="shared" si="106"/>
        <v>69.239647548491234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0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0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3.4106051316484809E-13</v>
      </c>
      <c r="O99" s="13">
        <f>N99*VLOOKUP('Données projet'!$B$9,Paramètres!$A$1:$I$89,3,0)*VLOOKUP('Données projet'!$B$9,Paramètres!$A$1:$I$89,5,0)</f>
        <v>1.9065282685915009E-13</v>
      </c>
      <c r="P99" s="13">
        <f t="shared" si="87"/>
        <v>2.6568987209435707E-12</v>
      </c>
      <c r="Q99" s="20">
        <f t="shared" ref="Q99:Q130" si="107">(O99+P99)*0.475*44/12</f>
        <v>4.959485612423072E-12</v>
      </c>
      <c r="R99" s="59">
        <f t="shared" si="55"/>
        <v>293.33333333333826</v>
      </c>
      <c r="S99" s="59">
        <f ca="1">AVERAGE(OFFSET($R$3,0,0,'Données projet'!$E$9+1,1))-AVERAGE(OFFSET($H$3,0,0,'Données projet'!$E$9+1,1))</f>
        <v>235.10258076192054</v>
      </c>
      <c r="T99" s="59">
        <f t="shared" si="88"/>
        <v>233.47316052603765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0.92709785578059045</v>
      </c>
      <c r="AA99" s="21">
        <f>EXP(-LN(2)/25)*AA98+(1-EXP(-LN(2)/25))/(LN(2)/25)*Calculateur!V99*Calculateur!X99*VLOOKUP('Données projet'!$B$9,Paramètres!$A$1:$I$89,3,0)*0.475*44/12</f>
        <v>2.9574760471072707</v>
      </c>
      <c r="AB99" s="21">
        <f>EXP(-LN(2)/2)*AB98+(1-EXP(-LN(2)/2))/(LN(2)/2)*V99*Y99*VLOOKUP('Données projet'!$B$9,Paramètres!$A$1:$I$89,3,0)*0.475*44/12</f>
        <v>2.8081799068800049E-9</v>
      </c>
      <c r="AC99" s="22">
        <f t="shared" si="57"/>
        <v>3.8845739056960409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2.2737367544323206E-13</v>
      </c>
      <c r="AJ99" s="13">
        <f>AI99*VLOOKUP('Données projet'!$B$10,Paramètres!$A$1:$I$89,3,0)*VLOOKUP('Données projet'!$B$10,Paramètres!$A$1:$I$89,5,0)</f>
        <v>1.2414602679200471E-13</v>
      </c>
      <c r="AK99" s="13">
        <f t="shared" si="89"/>
        <v>1.8186582995804361E-12</v>
      </c>
      <c r="AL99" s="20">
        <f t="shared" si="58"/>
        <v>3.3837175350986671E-12</v>
      </c>
      <c r="AM99" s="59">
        <f t="shared" si="59"/>
        <v>293.33333333333672</v>
      </c>
      <c r="AN99" s="59">
        <f ca="1">AVERAGE(OFFSET($AM$3,0,0,'Données projet'!$E$10+1,1))-AVERAGE(OFFSET($H$3,0,0,'Données projet'!$E$10+1,1))</f>
        <v>168.72306536277267</v>
      </c>
      <c r="AO99" s="59">
        <f t="shared" si="90"/>
        <v>203.35476578922339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0.82321585502716266</v>
      </c>
      <c r="AV99" s="21">
        <f>EXP(-LN(2)/25)*AV98+(1-EXP(-LN(2)/25))/(LN(2)/25)*Calculateur!AQ99*Calculateur!AS99*VLOOKUP('Données projet'!$B$10,Paramètres!$A$1:$I$89,3,0)*0.475*44/12</f>
        <v>3.6874464885844636</v>
      </c>
      <c r="AW99" s="21">
        <f>EXP(-LN(2)/2)*AW98+(1-EXP(-LN(2)/2))/(LN(2)/2)*AQ99*AT99*VLOOKUP('Données projet'!$B$10,Paramètres!$A$1:$I$89,3,0)*0.475*44/12</f>
        <v>2.3310825487237035E-9</v>
      </c>
      <c r="AX99" s="21">
        <f t="shared" si="60"/>
        <v>4.5106623459427091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5.6843418860808015E-14</v>
      </c>
      <c r="BE99" s="13">
        <f>BD99*VLOOKUP('Données projet'!$B$11,Paramètres!$A$1:$I$89,3,0)*VLOOKUP('Données projet'!$B$11,Paramètres!$A$1:$I$89,5,0)</f>
        <v>3.3992364478763198E-14</v>
      </c>
      <c r="BF99" s="13">
        <f t="shared" si="91"/>
        <v>5.790027782444094E-13</v>
      </c>
      <c r="BG99" s="20">
        <f t="shared" si="61"/>
        <v>1.0676332069095257E-12</v>
      </c>
      <c r="BH99" s="59">
        <f t="shared" si="62"/>
        <v>293.33333333333439</v>
      </c>
      <c r="BI99" s="59">
        <f ca="1">AVERAGE(OFFSET($BH$3,0,0,'Données projet'!$E$11+1,1))-AVERAGE(OFFSET($H$3,0,0,'Données projet'!$E$11+1,1))</f>
        <v>165.39579887388538</v>
      </c>
      <c r="BJ99" s="59">
        <f t="shared" si="92"/>
        <v>155.89639262545802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1.1694007514066487</v>
      </c>
      <c r="BR99" s="21">
        <f>EXP(-LN(2)/2)*BR98+(1-EXP(-LN(2)/2))/(LN(2)/2)*BL99*BO99*VLOOKUP('Données projet'!$B$11,Paramètres!$A$1:$I$89,3,0)*0.475*44/12</f>
        <v>1.6158488271032637E-9</v>
      </c>
      <c r="BS99" s="22">
        <f t="shared" si="63"/>
        <v>1.1694007530224975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3.7</v>
      </c>
      <c r="BY99" s="12">
        <f>IF('Données projet'!$A$114&gt;35,BY98+BX99-CG98,IF(A99&lt;'Données projet'!$A$114,$BV$205^A99,IF(A99='Données projet'!$A$114,'Données projet'!$B$114,BY98+BX99-CG98)))</f>
        <v>215.20000000000002</v>
      </c>
      <c r="BZ99" s="13">
        <f>BY99*VLOOKUP('Données projet'!$B$12,Paramètres!$A$1:$I$89,3,0)*VLOOKUP('Données projet'!$B$12,Paramètres!$A$1:$I$89,5,0)</f>
        <v>208.14144000000002</v>
      </c>
      <c r="CA99" s="13">
        <f t="shared" si="93"/>
        <v>51.529233687000762</v>
      </c>
      <c r="CB99" s="20">
        <f t="shared" si="64"/>
        <v>452.2597566715263</v>
      </c>
      <c r="CC99" s="59">
        <f t="shared" si="65"/>
        <v>745.59309000485962</v>
      </c>
      <c r="CD99" s="59">
        <f ca="1">AVERAGE(OFFSET($CC$3,0,0,'Données projet'!$E$12+1,1))-AVERAGE(OFFSET($H$3,0,0,'Données projet'!$E$12+1,1))</f>
        <v>156.26368818265388</v>
      </c>
      <c r="CE99" s="59">
        <f t="shared" si="94"/>
        <v>56.347130462109817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3.7</v>
      </c>
      <c r="CT99" s="12">
        <f>IF('Données projet'!$A$140&gt;35,CT98+CS99-DB98,IF(A99&lt;'Données projet'!$A$140,$CQ$205^A99,IF(A99='Données projet'!$A$140,'Données projet'!$B$140,CT98+CS99-DB98)))</f>
        <v>215.20000000000002</v>
      </c>
      <c r="CU99" s="17">
        <f>CT99*VLOOKUP('Données projet'!$B$13,Paramètres!$A$1:$I$89,3,0)*VLOOKUP('Données projet'!$B$13,Paramètres!$A$1:$I$89,5,0)</f>
        <v>174.57024000000001</v>
      </c>
      <c r="CV99" s="13">
        <f t="shared" si="95"/>
        <v>44.112019579538725</v>
      </c>
      <c r="CW99" s="20">
        <f t="shared" si="67"/>
        <v>380.87160210102996</v>
      </c>
      <c r="CX99" s="59">
        <f t="shared" si="68"/>
        <v>674.20493543436328</v>
      </c>
      <c r="CY99" s="59">
        <f ca="1">AVERAGE(OFFSET($CX$3,0,0,'Données projet'!$E$13+1,1))-AVERAGE(OFFSET($H$3,0,0,'Données projet'!$E$13+1,1))</f>
        <v>112.78807760743126</v>
      </c>
      <c r="CZ99" s="59">
        <f t="shared" si="96"/>
        <v>37.867745922003564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-8.5265128291212022E-14</v>
      </c>
      <c r="DP99" s="17">
        <f>DO99*VLOOKUP('Données projet'!$B$14,Paramètres!$A$1:$I$89,3,0)*VLOOKUP('Données projet'!$B$14,Paramètres!$A$1:$I$89,5,0)</f>
        <v>-5.7195848057745024E-14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107.15837202366862</v>
      </c>
      <c r="DU99" s="59">
        <f t="shared" si="98"/>
        <v>139.67031833740026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0.90931579757153469</v>
      </c>
      <c r="EC99" s="21">
        <f>EXP(-LN(2)/2)*EC98+(1-EXP(-LN(2)/2))/(LN(2)/2)*DW99*DZ99*VLOOKUP('Données projet'!$B$14,Paramètres!$A$1:$I$89,3,0)*0.475*44/12</f>
        <v>7.8574236899212998E-10</v>
      </c>
      <c r="ED99" s="22">
        <f t="shared" si="72"/>
        <v>0.90931579835727705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8.3000000000000007</v>
      </c>
      <c r="EJ99" s="12">
        <f>IF('Données projet'!$A$192&gt;35,EJ98+EI99-ER98,IF(A99&lt;'Données projet'!$A$192,$EG$205^A99,IF(A99='Données projet'!$A$192,'Données projet'!$B$192,EJ98+EI99-ER98)))</f>
        <v>374.7</v>
      </c>
      <c r="EK99" s="17">
        <f>EJ99*VLOOKUP('Données projet'!$B$15,Paramètres!$A$1:$I$89,3,0)*VLOOKUP('Données projet'!$B$15,Paramètres!$A$1:$I$89,5,0)</f>
        <v>175.3596</v>
      </c>
      <c r="EL99" s="13">
        <f t="shared" si="99"/>
        <v>44.288218580135805</v>
      </c>
      <c r="EM99" s="20">
        <f t="shared" si="73"/>
        <v>382.55328402706982</v>
      </c>
      <c r="EN99" s="59">
        <f t="shared" si="74"/>
        <v>675.88661736040308</v>
      </c>
      <c r="EO99" s="59">
        <f ca="1">AVERAGE(OFFSET($EN$3,0,0,'Données projet'!$E$15+1,1))-AVERAGE(OFFSET($H$3,0,0,'Données projet'!$E$15+1,1))</f>
        <v>123.60520571614535</v>
      </c>
      <c r="EP99" s="59">
        <f t="shared" si="100"/>
        <v>119.00926870519527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0.23470052030060157</v>
      </c>
      <c r="EW99" s="21">
        <f>EXP(-LN(2)/25)*EW98+(1-EXP(-LN(2)/25))/(LN(2)/25)*Calculateur!ER99*Calculateur!ET99*VLOOKUP('Données projet'!$B$15,Paramètres!$A$1:$I$89,3,0)*0.475*44/12</f>
        <v>0.76632689805387777</v>
      </c>
      <c r="EX99" s="21">
        <f>EXP(-LN(2)/2)*EX98+(1-EXP(-LN(2)/2))/(LN(2)/2)*ER99*EU99*VLOOKUP('Données projet'!$B$15,Paramètres!$A$1:$I$89,3,0)*0.475*44/12</f>
        <v>7.1172957437608222E-10</v>
      </c>
      <c r="EY99" s="22">
        <f t="shared" si="75"/>
        <v>1.001027419066209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-2.2737367544323206E-13</v>
      </c>
      <c r="FF99" s="17">
        <f>FE99*VLOOKUP('Données projet'!$B$16,Paramètres!$A$1:$I$89,3,0)*VLOOKUP('Données projet'!$B$16,Paramètres!$A$1:$I$89,5,0)</f>
        <v>-1.0936673788819462E-13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197.66963254934603</v>
      </c>
      <c r="FK99" s="59">
        <f t="shared" si="102"/>
        <v>158.08388141976138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0.72176056767857721</v>
      </c>
      <c r="FR99" s="21">
        <f>EXP(-LN(2)/25)*FR98+(1-EXP(-LN(2)/25))/(LN(2)/25)*Calculateur!FM99*Calculateur!FO99*VLOOKUP('Données projet'!$B$16,Paramètres!$A$1:$I$89,3,0)*0.475*44/12</f>
        <v>0.8524073062922235</v>
      </c>
      <c r="FS99" s="21">
        <f>EXP(-LN(2)/2)*FS98+(1-EXP(-LN(2)/2))/(LN(2)/2)*FM99*FP99*VLOOKUP('Données projet'!$B$16,Paramètres!$A$1:$I$89,3,0)*0.475*44/12</f>
        <v>9.6368333018332481E-10</v>
      </c>
      <c r="FT99" s="22">
        <f t="shared" si="78"/>
        <v>1.5741678749344841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5.6843418860808015E-14</v>
      </c>
      <c r="GA99" s="17">
        <f>FZ99*VLOOKUP('Données projet'!$B$17,Paramètres!$A$1:$I$89,3,0)*VLOOKUP('Données projet'!$B$17,Paramètres!$A$1:$I$89,5,0)</f>
        <v>3.3992364478763198E-14</v>
      </c>
      <c r="GB99" s="13">
        <f t="shared" si="103"/>
        <v>5.790027782444094E-13</v>
      </c>
      <c r="GC99" s="20">
        <f t="shared" si="79"/>
        <v>1.0676332069095257E-12</v>
      </c>
      <c r="GD99" s="59">
        <f t="shared" si="80"/>
        <v>293.33333333333439</v>
      </c>
      <c r="GE99" s="59">
        <f ca="1">AVERAGE(OFFSET($GD$3,0,0,'Données projet'!$E$17+1,1))-AVERAGE(OFFSET($H$3,0,0,'Données projet'!$E$17+1,1))</f>
        <v>165.39579887388538</v>
      </c>
      <c r="GF99" s="59">
        <f t="shared" si="104"/>
        <v>155.89639262545802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1.1694007514066487</v>
      </c>
      <c r="GN99" s="21">
        <f>EXP(-LN(2)/2)*GN98+(1-EXP(-LN(2)/2))/(LN(2)/2)*GH99*GK99*VLOOKUP('Données projet'!$B$17,Paramètres!$A$1:$I$89,3,0)*0.475*44/12</f>
        <v>1.6158488271032637E-9</v>
      </c>
      <c r="GO99" s="21">
        <f t="shared" si="81"/>
        <v>1.1694007530224975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3.7</v>
      </c>
      <c r="GU99" s="12">
        <f>IF('Données projet'!$A$270&gt;35,GU98+GT99-HC98,IF(A99&lt;'Données projet'!$A$270,$GR$205^A99,IF(A99='Données projet'!$A$270,'Données projet'!$B$270,GU98+GT99-HC98)))</f>
        <v>215.20000000000002</v>
      </c>
      <c r="GV99" s="17">
        <f>GU99*VLOOKUP('Données projet'!$B$18,Paramètres!$A$1:$I$89,3,0)*VLOOKUP('Données projet'!$B$18,Paramètres!$A$1:$I$89,5,0)</f>
        <v>231.64127999999999</v>
      </c>
      <c r="GW99" s="13">
        <f t="shared" si="105"/>
        <v>56.637417641849474</v>
      </c>
      <c r="GX99" s="20">
        <f t="shared" si="82"/>
        <v>502.08539839288784</v>
      </c>
      <c r="GY99" s="59">
        <f t="shared" si="83"/>
        <v>795.41873172622115</v>
      </c>
      <c r="GZ99" s="59">
        <f ca="1">AVERAGE(OFFSET($GY$3,0,0,'Données projet'!$E$18+1,1))-AVERAGE(OFFSET($H$3,0,0,'Données projet'!$E$18+1,1))</f>
        <v>186.60545265015247</v>
      </c>
      <c r="HA99" s="59">
        <f t="shared" si="106"/>
        <v>69.239647548491234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0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0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3.4106051316484809E-13</v>
      </c>
      <c r="O100" s="13">
        <f>N100*VLOOKUP('Données projet'!$B$9,Paramètres!$A$1:$I$89,3,0)*VLOOKUP('Données projet'!$B$9,Paramètres!$A$1:$I$89,5,0)</f>
        <v>1.9065282685915009E-13</v>
      </c>
      <c r="P100" s="13">
        <f t="shared" si="87"/>
        <v>2.6568987209435707E-12</v>
      </c>
      <c r="Q100" s="20">
        <f t="shared" si="107"/>
        <v>4.959485612423072E-12</v>
      </c>
      <c r="R100" s="59">
        <f t="shared" si="55"/>
        <v>293.33333333333826</v>
      </c>
      <c r="S100" s="59">
        <f ca="1">AVERAGE(OFFSET($R$3,0,0,'Données projet'!$E$9+1,1))-AVERAGE(OFFSET($H$3,0,0,'Données projet'!$E$9+1,1))</f>
        <v>235.10258076192054</v>
      </c>
      <c r="T100" s="59">
        <f t="shared" si="88"/>
        <v>233.47316052603765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0.90891803230258916</v>
      </c>
      <c r="AA100" s="21">
        <f>EXP(-LN(2)/25)*AA99+(1-EXP(-LN(2)/25))/(LN(2)/25)*Calculateur!V100*Calculateur!X100*VLOOKUP('Données projet'!$B$9,Paramètres!$A$1:$I$89,3,0)*0.475*44/12</f>
        <v>2.8766037090722163</v>
      </c>
      <c r="AB100" s="21">
        <f>EXP(-LN(2)/2)*AB99+(1-EXP(-LN(2)/2))/(LN(2)/2)*V100*Y100*VLOOKUP('Données projet'!$B$9,Paramètres!$A$1:$I$89,3,0)*0.475*44/12</f>
        <v>1.985683054946659E-9</v>
      </c>
      <c r="AC100" s="22">
        <f t="shared" si="57"/>
        <v>3.7855217433604884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2.2737367544323206E-13</v>
      </c>
      <c r="AJ100" s="13">
        <f>AI100*VLOOKUP('Données projet'!$B$10,Paramètres!$A$1:$I$89,3,0)*VLOOKUP('Données projet'!$B$10,Paramètres!$A$1:$I$89,5,0)</f>
        <v>1.2414602679200471E-13</v>
      </c>
      <c r="AK100" s="13">
        <f t="shared" si="89"/>
        <v>1.8186582995804361E-12</v>
      </c>
      <c r="AL100" s="20">
        <f t="shared" si="58"/>
        <v>3.3837175350986671E-12</v>
      </c>
      <c r="AM100" s="59">
        <f t="shared" si="59"/>
        <v>293.33333333333672</v>
      </c>
      <c r="AN100" s="59">
        <f ca="1">AVERAGE(OFFSET($AM$3,0,0,'Données projet'!$E$10+1,1))-AVERAGE(OFFSET($H$3,0,0,'Données projet'!$E$10+1,1))</f>
        <v>168.72306536277267</v>
      </c>
      <c r="AO100" s="59">
        <f t="shared" si="90"/>
        <v>203.35476578922339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0.8070730942221721</v>
      </c>
      <c r="AV100" s="21">
        <f>EXP(-LN(2)/25)*AV99+(1-EXP(-LN(2)/25))/(LN(2)/25)*Calculateur!AQ100*Calculateur!AS100*VLOOKUP('Données projet'!$B$10,Paramètres!$A$1:$I$89,3,0)*0.475*44/12</f>
        <v>3.5866130704397383</v>
      </c>
      <c r="AW100" s="21">
        <f>EXP(-LN(2)/2)*AW99+(1-EXP(-LN(2)/2))/(LN(2)/2)*AQ100*AT100*VLOOKUP('Données projet'!$B$10,Paramètres!$A$1:$I$89,3,0)*0.475*44/12</f>
        <v>1.6483242777081513E-9</v>
      </c>
      <c r="AX100" s="21">
        <f t="shared" si="60"/>
        <v>4.3936861663102347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5.6843418860808015E-14</v>
      </c>
      <c r="BE100" s="13">
        <f>BD100*VLOOKUP('Données projet'!$B$11,Paramètres!$A$1:$I$89,3,0)*VLOOKUP('Données projet'!$B$11,Paramètres!$A$1:$I$89,5,0)</f>
        <v>3.3992364478763198E-14</v>
      </c>
      <c r="BF100" s="13">
        <f t="shared" si="91"/>
        <v>5.790027782444094E-13</v>
      </c>
      <c r="BG100" s="20">
        <f t="shared" si="61"/>
        <v>1.0676332069095257E-12</v>
      </c>
      <c r="BH100" s="59">
        <f t="shared" si="62"/>
        <v>293.33333333333439</v>
      </c>
      <c r="BI100" s="59">
        <f ca="1">AVERAGE(OFFSET($BH$3,0,0,'Données projet'!$E$11+1,1))-AVERAGE(OFFSET($H$3,0,0,'Données projet'!$E$11+1,1))</f>
        <v>165.39579887388538</v>
      </c>
      <c r="BJ100" s="59">
        <f t="shared" si="92"/>
        <v>155.89639262545802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1.1374234263633209</v>
      </c>
      <c r="BR100" s="21">
        <f>EXP(-LN(2)/2)*BR99+(1-EXP(-LN(2)/2))/(LN(2)/2)*BL100*BO100*VLOOKUP('Données projet'!$B$11,Paramètres!$A$1:$I$89,3,0)*0.475*44/12</f>
        <v>1.1425776630170469E-9</v>
      </c>
      <c r="BS100" s="22">
        <f t="shared" si="63"/>
        <v>1.1374234275058985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3.7</v>
      </c>
      <c r="BY100" s="12">
        <f>IF('Données projet'!$A$114&gt;35,BY99+BX100-CG99,IF(A100&lt;'Données projet'!$A$114,$BV$205^A100,IF(A100='Données projet'!$A$114,'Données projet'!$B$114,BY99+BX100-CG99)))</f>
        <v>218.9</v>
      </c>
      <c r="BZ100" s="13">
        <f>BY100*VLOOKUP('Données projet'!$B$12,Paramètres!$A$1:$I$89,3,0)*VLOOKUP('Données projet'!$B$12,Paramètres!$A$1:$I$89,5,0)</f>
        <v>211.72008</v>
      </c>
      <c r="CA100" s="13">
        <f t="shared" si="93"/>
        <v>52.31128781338063</v>
      </c>
      <c r="CB100" s="20">
        <f t="shared" si="64"/>
        <v>459.85463227497115</v>
      </c>
      <c r="CC100" s="59">
        <f t="shared" si="65"/>
        <v>753.18796560830447</v>
      </c>
      <c r="CD100" s="59">
        <f ca="1">AVERAGE(OFFSET($CC$3,0,0,'Données projet'!$E$12+1,1))-AVERAGE(OFFSET($H$3,0,0,'Données projet'!$E$12+1,1))</f>
        <v>156.26368818265388</v>
      </c>
      <c r="CE100" s="59">
        <f t="shared" si="94"/>
        <v>56.347130462109817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3.7</v>
      </c>
      <c r="CT100" s="12">
        <f>IF('Données projet'!$A$140&gt;35,CT99+CS100-DB99,IF(A100&lt;'Données projet'!$A$140,$CQ$205^A100,IF(A100='Données projet'!$A$140,'Données projet'!$B$140,CT99+CS100-DB99)))</f>
        <v>218.9</v>
      </c>
      <c r="CU100" s="17">
        <f>CT100*VLOOKUP('Données projet'!$B$13,Paramètres!$A$1:$I$89,3,0)*VLOOKUP('Données projet'!$B$13,Paramètres!$A$1:$I$89,5,0)</f>
        <v>177.57168000000001</v>
      </c>
      <c r="CV100" s="13">
        <f t="shared" si="95"/>
        <v>44.781503374789359</v>
      </c>
      <c r="CW100" s="20">
        <f t="shared" si="67"/>
        <v>387.26512771109151</v>
      </c>
      <c r="CX100" s="59">
        <f t="shared" si="68"/>
        <v>680.59846104442477</v>
      </c>
      <c r="CY100" s="59">
        <f ca="1">AVERAGE(OFFSET($CX$3,0,0,'Données projet'!$E$13+1,1))-AVERAGE(OFFSET($H$3,0,0,'Données projet'!$E$13+1,1))</f>
        <v>112.78807760743126</v>
      </c>
      <c r="CZ100" s="59">
        <f t="shared" si="96"/>
        <v>37.867745922003564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-8.5265128291212022E-14</v>
      </c>
      <c r="DP100" s="17">
        <f>DO100*VLOOKUP('Données projet'!$B$14,Paramètres!$A$1:$I$89,3,0)*VLOOKUP('Données projet'!$B$14,Paramètres!$A$1:$I$89,5,0)</f>
        <v>-5.7195848057745024E-14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107.15837202366862</v>
      </c>
      <c r="DU100" s="59">
        <f t="shared" si="98"/>
        <v>139.67031833740026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0.88445050926810154</v>
      </c>
      <c r="EC100" s="21">
        <f>EXP(-LN(2)/2)*EC99+(1-EXP(-LN(2)/2))/(LN(2)/2)*DW100*DZ100*VLOOKUP('Données projet'!$B$14,Paramètres!$A$1:$I$89,3,0)*0.475*44/12</f>
        <v>5.5560375737991753E-10</v>
      </c>
      <c r="ED100" s="22">
        <f t="shared" si="72"/>
        <v>0.88445050982370532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8.3000000000000007</v>
      </c>
      <c r="EJ100" s="12">
        <f>IF('Données projet'!$A$192&gt;35,EJ99+EI100-ER99,IF(A100&lt;'Données projet'!$A$192,$EG$205^A100,IF(A100='Données projet'!$A$192,'Données projet'!$B$192,EJ99+EI100-ER99)))</f>
        <v>383</v>
      </c>
      <c r="EK100" s="17">
        <f>EJ100*VLOOKUP('Données projet'!$B$15,Paramètres!$A$1:$I$89,3,0)*VLOOKUP('Données projet'!$B$15,Paramètres!$A$1:$I$89,5,0)</f>
        <v>179.244</v>
      </c>
      <c r="EL100" s="13">
        <f t="shared" si="99"/>
        <v>45.153948916787364</v>
      </c>
      <c r="EM100" s="20">
        <f t="shared" si="73"/>
        <v>390.82642769673799</v>
      </c>
      <c r="EN100" s="59">
        <f t="shared" si="74"/>
        <v>684.15976103007131</v>
      </c>
      <c r="EO100" s="59">
        <f ca="1">AVERAGE(OFFSET($EN$3,0,0,'Données projet'!$E$15+1,1))-AVERAGE(OFFSET($H$3,0,0,'Données projet'!$E$15+1,1))</f>
        <v>123.60520571614535</v>
      </c>
      <c r="EP100" s="59">
        <f t="shared" si="100"/>
        <v>119.00926870519527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0.23009818625068895</v>
      </c>
      <c r="EW100" s="21">
        <f>EXP(-LN(2)/25)*EW99+(1-EXP(-LN(2)/25))/(LN(2)/25)*Calculateur!ER100*Calculateur!ET100*VLOOKUP('Données projet'!$B$15,Paramètres!$A$1:$I$89,3,0)*0.475*44/12</f>
        <v>0.7453716487272144</v>
      </c>
      <c r="EX100" s="21">
        <f>EXP(-LN(2)/2)*EX99+(1-EXP(-LN(2)/2))/(LN(2)/2)*ER100*EU100*VLOOKUP('Données projet'!$B$15,Paramètres!$A$1:$I$89,3,0)*0.475*44/12</f>
        <v>5.0326880841234296E-10</v>
      </c>
      <c r="EY100" s="22">
        <f t="shared" si="75"/>
        <v>0.97546983548117217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-2.2737367544323206E-13</v>
      </c>
      <c r="FF100" s="17">
        <f>FE100*VLOOKUP('Données projet'!$B$16,Paramètres!$A$1:$I$89,3,0)*VLOOKUP('Données projet'!$B$16,Paramètres!$A$1:$I$89,5,0)</f>
        <v>-1.0936673788819462E-13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197.66963254934603</v>
      </c>
      <c r="FK100" s="59">
        <f t="shared" si="102"/>
        <v>158.08388141976138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0.70760728317687749</v>
      </c>
      <c r="FR100" s="21">
        <f>EXP(-LN(2)/25)*FR99+(1-EXP(-LN(2)/25))/(LN(2)/25)*Calculateur!FM100*Calculateur!FO100*VLOOKUP('Données projet'!$B$16,Paramètres!$A$1:$I$89,3,0)*0.475*44/12</f>
        <v>0.82909818367551058</v>
      </c>
      <c r="FS100" s="21">
        <f>EXP(-LN(2)/2)*FS99+(1-EXP(-LN(2)/2))/(LN(2)/2)*FM100*FP100*VLOOKUP('Données projet'!$B$16,Paramètres!$A$1:$I$89,3,0)*0.475*44/12</f>
        <v>6.814270176890637E-10</v>
      </c>
      <c r="FT100" s="22">
        <f t="shared" si="78"/>
        <v>1.536705467533815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5.6843418860808015E-14</v>
      </c>
      <c r="GA100" s="17">
        <f>FZ100*VLOOKUP('Données projet'!$B$17,Paramètres!$A$1:$I$89,3,0)*VLOOKUP('Données projet'!$B$17,Paramètres!$A$1:$I$89,5,0)</f>
        <v>3.3992364478763198E-14</v>
      </c>
      <c r="GB100" s="13">
        <f t="shared" si="103"/>
        <v>5.790027782444094E-13</v>
      </c>
      <c r="GC100" s="20">
        <f t="shared" si="79"/>
        <v>1.0676332069095257E-12</v>
      </c>
      <c r="GD100" s="59">
        <f t="shared" si="80"/>
        <v>293.33333333333439</v>
      </c>
      <c r="GE100" s="59">
        <f ca="1">AVERAGE(OFFSET($GD$3,0,0,'Données projet'!$E$17+1,1))-AVERAGE(OFFSET($H$3,0,0,'Données projet'!$E$17+1,1))</f>
        <v>165.39579887388538</v>
      </c>
      <c r="GF100" s="59">
        <f t="shared" si="104"/>
        <v>155.89639262545802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1.1374234263633209</v>
      </c>
      <c r="GN100" s="21">
        <f>EXP(-LN(2)/2)*GN99+(1-EXP(-LN(2)/2))/(LN(2)/2)*GH100*GK100*VLOOKUP('Données projet'!$B$17,Paramètres!$A$1:$I$89,3,0)*0.475*44/12</f>
        <v>1.1425776630170469E-9</v>
      </c>
      <c r="GO100" s="21">
        <f t="shared" si="81"/>
        <v>1.1374234275058985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3.7</v>
      </c>
      <c r="GU100" s="12">
        <f>IF('Données projet'!$A$270&gt;35,GU99+GT100-HC99,IF(A100&lt;'Données projet'!$A$270,$GR$205^A100,IF(A100='Données projet'!$A$270,'Données projet'!$B$270,GU99+GT100-HC99)))</f>
        <v>218.9</v>
      </c>
      <c r="GV100" s="17">
        <f>GU100*VLOOKUP('Données projet'!$B$18,Paramètres!$A$1:$I$89,3,0)*VLOOKUP('Données projet'!$B$18,Paramètres!$A$1:$I$89,5,0)</f>
        <v>235.62396000000001</v>
      </c>
      <c r="GW100" s="13">
        <f t="shared" si="105"/>
        <v>57.496998175170688</v>
      </c>
      <c r="GX100" s="20">
        <f t="shared" si="82"/>
        <v>510.51900215508903</v>
      </c>
      <c r="GY100" s="59">
        <f t="shared" si="83"/>
        <v>803.85233548842234</v>
      </c>
      <c r="GZ100" s="59">
        <f ca="1">AVERAGE(OFFSET($GY$3,0,0,'Données projet'!$E$18+1,1))-AVERAGE(OFFSET($H$3,0,0,'Données projet'!$E$18+1,1))</f>
        <v>186.60545265015247</v>
      </c>
      <c r="HA100" s="59">
        <f t="shared" si="106"/>
        <v>69.239647548491234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0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0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3.4106051316484809E-13</v>
      </c>
      <c r="O101" s="13">
        <f>N101*VLOOKUP('Données projet'!$B$9,Paramètres!$A$1:$I$89,3,0)*VLOOKUP('Données projet'!$B$9,Paramètres!$A$1:$I$89,5,0)</f>
        <v>1.9065282685915009E-13</v>
      </c>
      <c r="P101" s="13">
        <f t="shared" si="87"/>
        <v>2.6568987209435707E-12</v>
      </c>
      <c r="Q101" s="20">
        <f t="shared" si="107"/>
        <v>4.959485612423072E-12</v>
      </c>
      <c r="R101" s="59">
        <f t="shared" si="55"/>
        <v>293.33333333333826</v>
      </c>
      <c r="S101" s="59">
        <f ca="1">AVERAGE(OFFSET($R$3,0,0,'Données projet'!$E$9+1,1))-AVERAGE(OFFSET($H$3,0,0,'Données projet'!$E$9+1,1))</f>
        <v>235.10258076192054</v>
      </c>
      <c r="T101" s="59">
        <f t="shared" si="88"/>
        <v>233.47316052603765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0.89109470407439406</v>
      </c>
      <c r="AA101" s="21">
        <f>EXP(-LN(2)/25)*AA100+(1-EXP(-LN(2)/25))/(LN(2)/25)*Calculateur!V101*Calculateur!X101*VLOOKUP('Données projet'!$B$9,Paramètres!$A$1:$I$89,3,0)*0.475*44/12</f>
        <v>2.7979428293736222</v>
      </c>
      <c r="AB101" s="21">
        <f>EXP(-LN(2)/2)*AB100+(1-EXP(-LN(2)/2))/(LN(2)/2)*V101*Y101*VLOOKUP('Données projet'!$B$9,Paramètres!$A$1:$I$89,3,0)*0.475*44/12</f>
        <v>1.4040899534400025E-9</v>
      </c>
      <c r="AC101" s="22">
        <f t="shared" si="57"/>
        <v>3.6890375348521061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2.2737367544323206E-13</v>
      </c>
      <c r="AJ101" s="13">
        <f>AI101*VLOOKUP('Données projet'!$B$10,Paramètres!$A$1:$I$89,3,0)*VLOOKUP('Données projet'!$B$10,Paramètres!$A$1:$I$89,5,0)</f>
        <v>1.2414602679200471E-13</v>
      </c>
      <c r="AK101" s="13">
        <f t="shared" si="89"/>
        <v>1.8186582995804361E-12</v>
      </c>
      <c r="AL101" s="20">
        <f t="shared" si="58"/>
        <v>3.3837175350986671E-12</v>
      </c>
      <c r="AM101" s="59">
        <f t="shared" si="59"/>
        <v>293.33333333333672</v>
      </c>
      <c r="AN101" s="59">
        <f ca="1">AVERAGE(OFFSET($AM$3,0,0,'Données projet'!$E$10+1,1))-AVERAGE(OFFSET($H$3,0,0,'Données projet'!$E$10+1,1))</f>
        <v>168.72306536277267</v>
      </c>
      <c r="AO101" s="59">
        <f t="shared" si="90"/>
        <v>203.35476578922339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0.79124688311045555</v>
      </c>
      <c r="AV101" s="21">
        <f>EXP(-LN(2)/25)*AV100+(1-EXP(-LN(2)/25))/(LN(2)/25)*Calculateur!AQ101*Calculateur!AS101*VLOOKUP('Données projet'!$B$10,Paramètres!$A$1:$I$89,3,0)*0.475*44/12</f>
        <v>3.4885369474167796</v>
      </c>
      <c r="AW101" s="21">
        <f>EXP(-LN(2)/2)*AW100+(1-EXP(-LN(2)/2))/(LN(2)/2)*AQ101*AT101*VLOOKUP('Données projet'!$B$10,Paramètres!$A$1:$I$89,3,0)*0.475*44/12</f>
        <v>1.1655412743618517E-9</v>
      </c>
      <c r="AX101" s="21">
        <f t="shared" si="60"/>
        <v>4.2797838316927761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5.6843418860808015E-14</v>
      </c>
      <c r="BE101" s="13">
        <f>BD101*VLOOKUP('Données projet'!$B$11,Paramètres!$A$1:$I$89,3,0)*VLOOKUP('Données projet'!$B$11,Paramètres!$A$1:$I$89,5,0)</f>
        <v>3.3992364478763198E-14</v>
      </c>
      <c r="BF101" s="13">
        <f t="shared" si="91"/>
        <v>5.790027782444094E-13</v>
      </c>
      <c r="BG101" s="20">
        <f t="shared" si="61"/>
        <v>1.0676332069095257E-12</v>
      </c>
      <c r="BH101" s="59">
        <f t="shared" si="62"/>
        <v>293.33333333333439</v>
      </c>
      <c r="BI101" s="59">
        <f ca="1">AVERAGE(OFFSET($BH$3,0,0,'Données projet'!$E$11+1,1))-AVERAGE(OFFSET($H$3,0,0,'Données projet'!$E$11+1,1))</f>
        <v>165.39579887388538</v>
      </c>
      <c r="BJ101" s="59">
        <f t="shared" si="92"/>
        <v>155.89639262545802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1.1063205229549176</v>
      </c>
      <c r="BR101" s="21">
        <f>EXP(-LN(2)/2)*BR100+(1-EXP(-LN(2)/2))/(LN(2)/2)*BL101*BO101*VLOOKUP('Données projet'!$B$11,Paramètres!$A$1:$I$89,3,0)*0.475*44/12</f>
        <v>8.0792441355163183E-10</v>
      </c>
      <c r="BS101" s="22">
        <f t="shared" si="63"/>
        <v>1.106320523762842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3.7</v>
      </c>
      <c r="BY101" s="12">
        <f>IF('Données projet'!$A$114&gt;35,BY100+BX101-CG100,IF(A101&lt;'Données projet'!$A$114,$BV$205^A101,IF(A101='Données projet'!$A$114,'Données projet'!$B$114,BY100+BX101-CG100)))</f>
        <v>222.6</v>
      </c>
      <c r="BZ101" s="13">
        <f>BY101*VLOOKUP('Données projet'!$B$12,Paramètres!$A$1:$I$89,3,0)*VLOOKUP('Données projet'!$B$12,Paramètres!$A$1:$I$89,5,0)</f>
        <v>215.29872</v>
      </c>
      <c r="CA101" s="13">
        <f t="shared" si="93"/>
        <v>53.091804704077127</v>
      </c>
      <c r="CB101" s="20">
        <f t="shared" si="64"/>
        <v>467.4468305262676</v>
      </c>
      <c r="CC101" s="59">
        <f t="shared" si="65"/>
        <v>760.78016385960086</v>
      </c>
      <c r="CD101" s="59">
        <f ca="1">AVERAGE(OFFSET($CC$3,0,0,'Données projet'!$E$12+1,1))-AVERAGE(OFFSET($H$3,0,0,'Données projet'!$E$12+1,1))</f>
        <v>156.26368818265388</v>
      </c>
      <c r="CE101" s="59">
        <f t="shared" si="94"/>
        <v>56.347130462109817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3.7</v>
      </c>
      <c r="CT101" s="12">
        <f>IF('Données projet'!$A$140&gt;35,CT100+CS101-DB100,IF(A101&lt;'Données projet'!$A$140,$CQ$205^A101,IF(A101='Données projet'!$A$140,'Données projet'!$B$140,CT100+CS101-DB100)))</f>
        <v>222.6</v>
      </c>
      <c r="CU101" s="17">
        <f>CT101*VLOOKUP('Données projet'!$B$13,Paramètres!$A$1:$I$89,3,0)*VLOOKUP('Données projet'!$B$13,Paramètres!$A$1:$I$89,5,0)</f>
        <v>180.57311999999999</v>
      </c>
      <c r="CV101" s="13">
        <f t="shared" si="95"/>
        <v>45.449671206930987</v>
      </c>
      <c r="CW101" s="20">
        <f t="shared" si="67"/>
        <v>393.65636135207143</v>
      </c>
      <c r="CX101" s="59">
        <f t="shared" si="68"/>
        <v>686.98969468540474</v>
      </c>
      <c r="CY101" s="59">
        <f ca="1">AVERAGE(OFFSET($CX$3,0,0,'Données projet'!$E$13+1,1))-AVERAGE(OFFSET($H$3,0,0,'Données projet'!$E$13+1,1))</f>
        <v>112.78807760743126</v>
      </c>
      <c r="CZ101" s="59">
        <f t="shared" si="96"/>
        <v>37.867745922003564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-8.5265128291212022E-14</v>
      </c>
      <c r="DP101" s="17">
        <f>DO101*VLOOKUP('Données projet'!$B$14,Paramètres!$A$1:$I$89,3,0)*VLOOKUP('Données projet'!$B$14,Paramètres!$A$1:$I$89,5,0)</f>
        <v>-5.7195848057745024E-14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107.15837202366862</v>
      </c>
      <c r="DU101" s="59">
        <f t="shared" si="98"/>
        <v>139.67031833740026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0.86026516358093441</v>
      </c>
      <c r="EC101" s="21">
        <f>EXP(-LN(2)/2)*EC100+(1-EXP(-LN(2)/2))/(LN(2)/2)*DW101*DZ101*VLOOKUP('Données projet'!$B$14,Paramètres!$A$1:$I$89,3,0)*0.475*44/12</f>
        <v>3.9287118449606499E-10</v>
      </c>
      <c r="ED101" s="22">
        <f t="shared" si="72"/>
        <v>0.86026516397380559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8.3000000000000007</v>
      </c>
      <c r="EJ101" s="12">
        <f>IF('Données projet'!$A$192&gt;35,EJ100+EI101-ER100,IF(A101&lt;'Données projet'!$A$192,$EG$205^A101,IF(A101='Données projet'!$A$192,'Données projet'!$B$192,EJ100+EI101-ER100)))</f>
        <v>391.3</v>
      </c>
      <c r="EK101" s="17">
        <f>EJ101*VLOOKUP('Données projet'!$B$15,Paramètres!$A$1:$I$89,3,0)*VLOOKUP('Données projet'!$B$15,Paramètres!$A$1:$I$89,5,0)</f>
        <v>183.1284</v>
      </c>
      <c r="EL101" s="13">
        <f t="shared" si="99"/>
        <v>46.017498014577676</v>
      </c>
      <c r="EM101" s="20">
        <f t="shared" si="73"/>
        <v>399.09577237538946</v>
      </c>
      <c r="EN101" s="59">
        <f t="shared" si="74"/>
        <v>692.42910570872277</v>
      </c>
      <c r="EO101" s="59">
        <f ca="1">AVERAGE(OFFSET($EN$3,0,0,'Données projet'!$E$15+1,1))-AVERAGE(OFFSET($H$3,0,0,'Données projet'!$E$15+1,1))</f>
        <v>123.60520571614535</v>
      </c>
      <c r="EP101" s="59">
        <f t="shared" si="100"/>
        <v>119.00926870519527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0.22558610116434855</v>
      </c>
      <c r="EW101" s="21">
        <f>EXP(-LN(2)/25)*EW100+(1-EXP(-LN(2)/25))/(LN(2)/25)*Calculateur!ER101*Calculateur!ET101*VLOOKUP('Données projet'!$B$15,Paramètres!$A$1:$I$89,3,0)*0.475*44/12</f>
        <v>0.72498942179537729</v>
      </c>
      <c r="EX101" s="21">
        <f>EXP(-LN(2)/2)*EX100+(1-EXP(-LN(2)/2))/(LN(2)/2)*ER101*EU101*VLOOKUP('Données projet'!$B$15,Paramètres!$A$1:$I$89,3,0)*0.475*44/12</f>
        <v>3.5586478718804111E-10</v>
      </c>
      <c r="EY101" s="22">
        <f t="shared" si="75"/>
        <v>0.95057552331559059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-2.2737367544323206E-13</v>
      </c>
      <c r="FF101" s="17">
        <f>FE101*VLOOKUP('Données projet'!$B$16,Paramètres!$A$1:$I$89,3,0)*VLOOKUP('Données projet'!$B$16,Paramètres!$A$1:$I$89,5,0)</f>
        <v>-1.0936673788819462E-13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197.66963254934603</v>
      </c>
      <c r="FK101" s="59">
        <f t="shared" si="102"/>
        <v>158.08388141976138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0.69373153595160486</v>
      </c>
      <c r="FR101" s="21">
        <f>EXP(-LN(2)/25)*FR100+(1-EXP(-LN(2)/25))/(LN(2)/25)*Calculateur!FM101*Calculateur!FO101*VLOOKUP('Données projet'!$B$16,Paramètres!$A$1:$I$89,3,0)*0.475*44/12</f>
        <v>0.80642645024252524</v>
      </c>
      <c r="FS101" s="21">
        <f>EXP(-LN(2)/2)*FS100+(1-EXP(-LN(2)/2))/(LN(2)/2)*FM101*FP101*VLOOKUP('Données projet'!$B$16,Paramètres!$A$1:$I$89,3,0)*0.475*44/12</f>
        <v>4.818416650916624E-10</v>
      </c>
      <c r="FT101" s="22">
        <f t="shared" si="78"/>
        <v>1.5001579866759718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5.6843418860808015E-14</v>
      </c>
      <c r="GA101" s="17">
        <f>FZ101*VLOOKUP('Données projet'!$B$17,Paramètres!$A$1:$I$89,3,0)*VLOOKUP('Données projet'!$B$17,Paramètres!$A$1:$I$89,5,0)</f>
        <v>3.3992364478763198E-14</v>
      </c>
      <c r="GB101" s="13">
        <f t="shared" si="103"/>
        <v>5.790027782444094E-13</v>
      </c>
      <c r="GC101" s="20">
        <f t="shared" si="79"/>
        <v>1.0676332069095257E-12</v>
      </c>
      <c r="GD101" s="59">
        <f t="shared" si="80"/>
        <v>293.33333333333439</v>
      </c>
      <c r="GE101" s="59">
        <f ca="1">AVERAGE(OFFSET($GD$3,0,0,'Données projet'!$E$17+1,1))-AVERAGE(OFFSET($H$3,0,0,'Données projet'!$E$17+1,1))</f>
        <v>165.39579887388538</v>
      </c>
      <c r="GF101" s="59">
        <f t="shared" si="104"/>
        <v>155.89639262545802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1.1063205229549176</v>
      </c>
      <c r="GN101" s="21">
        <f>EXP(-LN(2)/2)*GN100+(1-EXP(-LN(2)/2))/(LN(2)/2)*GH101*GK101*VLOOKUP('Données projet'!$B$17,Paramètres!$A$1:$I$89,3,0)*0.475*44/12</f>
        <v>8.0792441355163183E-10</v>
      </c>
      <c r="GO101" s="21">
        <f t="shared" si="81"/>
        <v>1.106320523762842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3.7</v>
      </c>
      <c r="GU101" s="12">
        <f>IF('Données projet'!$A$270&gt;35,GU100+GT101-HC100,IF(A101&lt;'Données projet'!$A$270,$GR$205^A101,IF(A101='Données projet'!$A$270,'Données projet'!$B$270,GU100+GT101-HC100)))</f>
        <v>222.6</v>
      </c>
      <c r="GV101" s="17">
        <f>GU101*VLOOKUP('Données projet'!$B$18,Paramètres!$A$1:$I$89,3,0)*VLOOKUP('Données projet'!$B$18,Paramètres!$A$1:$I$89,5,0)</f>
        <v>239.60664</v>
      </c>
      <c r="GW101" s="13">
        <f t="shared" si="105"/>
        <v>58.354889083919971</v>
      </c>
      <c r="GX101" s="20">
        <f t="shared" si="82"/>
        <v>518.94966315449392</v>
      </c>
      <c r="GY101" s="59">
        <f t="shared" si="83"/>
        <v>812.28299648782718</v>
      </c>
      <c r="GZ101" s="59">
        <f ca="1">AVERAGE(OFFSET($GY$3,0,0,'Données projet'!$E$18+1,1))-AVERAGE(OFFSET($H$3,0,0,'Données projet'!$E$18+1,1))</f>
        <v>186.60545265015247</v>
      </c>
      <c r="HA101" s="59">
        <f t="shared" si="106"/>
        <v>69.239647548491234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0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0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3.4106051316484809E-13</v>
      </c>
      <c r="O102" s="13">
        <f>N102*VLOOKUP('Données projet'!$B$9,Paramètres!$A$1:$I$89,3,0)*VLOOKUP('Données projet'!$B$9,Paramètres!$A$1:$I$89,5,0)</f>
        <v>1.9065282685915009E-13</v>
      </c>
      <c r="P102" s="13">
        <f t="shared" si="87"/>
        <v>2.6568987209435707E-12</v>
      </c>
      <c r="Q102" s="20">
        <f t="shared" si="107"/>
        <v>4.959485612423072E-12</v>
      </c>
      <c r="R102" s="59">
        <f t="shared" si="55"/>
        <v>293.33333333333826</v>
      </c>
      <c r="S102" s="59">
        <f ca="1">AVERAGE(OFFSET($R$3,0,0,'Données projet'!$E$9+1,1))-AVERAGE(OFFSET($H$3,0,0,'Données projet'!$E$9+1,1))</f>
        <v>235.10258076192054</v>
      </c>
      <c r="T102" s="59">
        <f t="shared" si="88"/>
        <v>233.47316052603765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0.87362088044159714</v>
      </c>
      <c r="AA102" s="21">
        <f>EXP(-LN(2)/25)*AA101+(1-EXP(-LN(2)/25))/(LN(2)/25)*Calculateur!V102*Calculateur!X102*VLOOKUP('Données projet'!$B$9,Paramètres!$A$1:$I$89,3,0)*0.475*44/12</f>
        <v>2.7214329355669817</v>
      </c>
      <c r="AB102" s="21">
        <f>EXP(-LN(2)/2)*AB101+(1-EXP(-LN(2)/2))/(LN(2)/2)*V102*Y102*VLOOKUP('Données projet'!$B$9,Paramètres!$A$1:$I$89,3,0)*0.475*44/12</f>
        <v>9.9284152747332951E-10</v>
      </c>
      <c r="AC102" s="22">
        <f t="shared" si="57"/>
        <v>3.5950538170014203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2.2737367544323206E-13</v>
      </c>
      <c r="AJ102" s="13">
        <f>AI102*VLOOKUP('Données projet'!$B$10,Paramètres!$A$1:$I$89,3,0)*VLOOKUP('Données projet'!$B$10,Paramètres!$A$1:$I$89,5,0)</f>
        <v>1.2414602679200471E-13</v>
      </c>
      <c r="AK102" s="13">
        <f t="shared" si="89"/>
        <v>1.8186582995804361E-12</v>
      </c>
      <c r="AL102" s="20">
        <f t="shared" si="58"/>
        <v>3.3837175350986671E-12</v>
      </c>
      <c r="AM102" s="59">
        <f t="shared" si="59"/>
        <v>293.33333333333672</v>
      </c>
      <c r="AN102" s="59">
        <f ca="1">AVERAGE(OFFSET($AM$3,0,0,'Données projet'!$E$10+1,1))-AVERAGE(OFFSET($H$3,0,0,'Données projet'!$E$10+1,1))</f>
        <v>168.72306536277267</v>
      </c>
      <c r="AO102" s="59">
        <f t="shared" si="90"/>
        <v>203.35476578922339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0.7757310143456041</v>
      </c>
      <c r="AV102" s="21">
        <f>EXP(-LN(2)/25)*AV101+(1-EXP(-LN(2)/25))/(LN(2)/25)*Calculateur!AQ102*Calculateur!AS102*VLOOKUP('Données projet'!$B$10,Paramètres!$A$1:$I$89,3,0)*0.475*44/12</f>
        <v>3.393142721135483</v>
      </c>
      <c r="AW102" s="21">
        <f>EXP(-LN(2)/2)*AW101+(1-EXP(-LN(2)/2))/(LN(2)/2)*AQ102*AT102*VLOOKUP('Données projet'!$B$10,Paramètres!$A$1:$I$89,3,0)*0.475*44/12</f>
        <v>8.2416213885407567E-10</v>
      </c>
      <c r="AX102" s="21">
        <f t="shared" si="60"/>
        <v>4.1688737363052493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5.6843418860808015E-14</v>
      </c>
      <c r="BE102" s="13">
        <f>BD102*VLOOKUP('Données projet'!$B$11,Paramètres!$A$1:$I$89,3,0)*VLOOKUP('Données projet'!$B$11,Paramètres!$A$1:$I$89,5,0)</f>
        <v>3.3992364478763198E-14</v>
      </c>
      <c r="BF102" s="13">
        <f t="shared" si="91"/>
        <v>5.790027782444094E-13</v>
      </c>
      <c r="BG102" s="20">
        <f t="shared" si="61"/>
        <v>1.0676332069095257E-12</v>
      </c>
      <c r="BH102" s="59">
        <f t="shared" si="62"/>
        <v>293.33333333333439</v>
      </c>
      <c r="BI102" s="59">
        <f ca="1">AVERAGE(OFFSET($BH$3,0,0,'Données projet'!$E$11+1,1))-AVERAGE(OFFSET($H$3,0,0,'Données projet'!$E$11+1,1))</f>
        <v>165.39579887388538</v>
      </c>
      <c r="BJ102" s="59">
        <f t="shared" si="92"/>
        <v>155.89639262545802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1.0760681300758477</v>
      </c>
      <c r="BR102" s="21">
        <f>EXP(-LN(2)/2)*BR101+(1-EXP(-LN(2)/2))/(LN(2)/2)*BL102*BO102*VLOOKUP('Données projet'!$B$11,Paramètres!$A$1:$I$89,3,0)*0.475*44/12</f>
        <v>5.7128883150852345E-10</v>
      </c>
      <c r="BS102" s="22">
        <f t="shared" si="63"/>
        <v>1.0760681306471365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3.7</v>
      </c>
      <c r="BY102" s="12">
        <f>IF('Données projet'!$A$114&gt;35,BY101+BX102-CG101,IF(A102&lt;'Données projet'!$A$114,$BV$205^A102,IF(A102='Données projet'!$A$114,'Données projet'!$B$114,BY101+BX102-CG101)))</f>
        <v>226.29999999999998</v>
      </c>
      <c r="BZ102" s="13">
        <f>BY102*VLOOKUP('Données projet'!$B$12,Paramètres!$A$1:$I$89,3,0)*VLOOKUP('Données projet'!$B$12,Paramètres!$A$1:$I$89,5,0)</f>
        <v>218.87735999999998</v>
      </c>
      <c r="CA102" s="13">
        <f t="shared" si="93"/>
        <v>53.870812859892503</v>
      </c>
      <c r="CB102" s="20">
        <f t="shared" si="64"/>
        <v>475.03640106431271</v>
      </c>
      <c r="CC102" s="59">
        <f t="shared" si="65"/>
        <v>768.36973439764597</v>
      </c>
      <c r="CD102" s="59">
        <f ca="1">AVERAGE(OFFSET($CC$3,0,0,'Données projet'!$E$12+1,1))-AVERAGE(OFFSET($H$3,0,0,'Données projet'!$E$12+1,1))</f>
        <v>156.26368818265388</v>
      </c>
      <c r="CE102" s="59">
        <f t="shared" si="94"/>
        <v>56.347130462109817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3.7</v>
      </c>
      <c r="CT102" s="12">
        <f>IF('Données projet'!$A$140&gt;35,CT101+CS102-DB101,IF(A102&lt;'Données projet'!$A$140,$CQ$205^A102,IF(A102='Données projet'!$A$140,'Données projet'!$B$140,CT101+CS102-DB101)))</f>
        <v>226.29999999999998</v>
      </c>
      <c r="CU102" s="17">
        <f>CT102*VLOOKUP('Données projet'!$B$13,Paramètres!$A$1:$I$89,3,0)*VLOOKUP('Données projet'!$B$13,Paramètres!$A$1:$I$89,5,0)</f>
        <v>183.57456000000002</v>
      </c>
      <c r="CV102" s="13">
        <f t="shared" si="95"/>
        <v>46.116547474307289</v>
      </c>
      <c r="CW102" s="20">
        <f t="shared" si="67"/>
        <v>400.04534551775185</v>
      </c>
      <c r="CX102" s="59">
        <f t="shared" si="68"/>
        <v>693.37867885108517</v>
      </c>
      <c r="CY102" s="59">
        <f ca="1">AVERAGE(OFFSET($CX$3,0,0,'Données projet'!$E$13+1,1))-AVERAGE(OFFSET($H$3,0,0,'Données projet'!$E$13+1,1))</f>
        <v>112.78807760743126</v>
      </c>
      <c r="CZ102" s="59">
        <f t="shared" si="96"/>
        <v>37.867745922003564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-8.5265128291212022E-14</v>
      </c>
      <c r="DP102" s="17">
        <f>DO102*VLOOKUP('Données projet'!$B$14,Paramètres!$A$1:$I$89,3,0)*VLOOKUP('Données projet'!$B$14,Paramètres!$A$1:$I$89,5,0)</f>
        <v>-5.7195848057745024E-14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107.15837202366862</v>
      </c>
      <c r="DU102" s="59">
        <f t="shared" si="98"/>
        <v>139.67031833740026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0.83674116744343496</v>
      </c>
      <c r="EC102" s="21">
        <f>EXP(-LN(2)/2)*EC101+(1-EXP(-LN(2)/2))/(LN(2)/2)*DW102*DZ102*VLOOKUP('Données projet'!$B$14,Paramètres!$A$1:$I$89,3,0)*0.475*44/12</f>
        <v>2.7780187868995877E-10</v>
      </c>
      <c r="ED102" s="22">
        <f t="shared" si="72"/>
        <v>0.83674116772123686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8.3000000000000007</v>
      </c>
      <c r="EJ102" s="12">
        <f>IF('Données projet'!$A$192&gt;35,EJ101+EI102-ER101,IF(A102&lt;'Données projet'!$A$192,$EG$205^A102,IF(A102='Données projet'!$A$192,'Données projet'!$B$192,EJ101+EI102-ER101)))</f>
        <v>399.6</v>
      </c>
      <c r="EK102" s="17">
        <f>EJ102*VLOOKUP('Données projet'!$B$15,Paramètres!$A$1:$I$89,3,0)*VLOOKUP('Données projet'!$B$15,Paramètres!$A$1:$I$89,5,0)</f>
        <v>187.0128</v>
      </c>
      <c r="EL102" s="13">
        <f t="shared" si="99"/>
        <v>46.878917470101705</v>
      </c>
      <c r="EM102" s="20">
        <f t="shared" si="73"/>
        <v>407.36140792709375</v>
      </c>
      <c r="EN102" s="59">
        <f t="shared" si="74"/>
        <v>700.69474126042701</v>
      </c>
      <c r="EO102" s="59">
        <f ca="1">AVERAGE(OFFSET($EN$3,0,0,'Données projet'!$E$15+1,1))-AVERAGE(OFFSET($H$3,0,0,'Données projet'!$E$15+1,1))</f>
        <v>123.60520571614535</v>
      </c>
      <c r="EP102" s="59">
        <f t="shared" si="100"/>
        <v>119.00926870519527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0.22116249531445112</v>
      </c>
      <c r="EW102" s="21">
        <f>EXP(-LN(2)/25)*EW101+(1-EXP(-LN(2)/25))/(LN(2)/25)*Calculateur!ER102*Calculateur!ET102*VLOOKUP('Données projet'!$B$15,Paramètres!$A$1:$I$89,3,0)*0.475*44/12</f>
        <v>0.70516454793084604</v>
      </c>
      <c r="EX102" s="21">
        <f>EXP(-LN(2)/2)*EX101+(1-EXP(-LN(2)/2))/(LN(2)/2)*ER102*EU102*VLOOKUP('Données projet'!$B$15,Paramètres!$A$1:$I$89,3,0)*0.475*44/12</f>
        <v>2.5163440420617148E-10</v>
      </c>
      <c r="EY102" s="22">
        <f t="shared" si="75"/>
        <v>0.92632704349693151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-2.2737367544323206E-13</v>
      </c>
      <c r="FF102" s="17">
        <f>FE102*VLOOKUP('Données projet'!$B$16,Paramètres!$A$1:$I$89,3,0)*VLOOKUP('Données projet'!$B$16,Paramètres!$A$1:$I$89,5,0)</f>
        <v>-1.0936673788819462E-13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197.66963254934603</v>
      </c>
      <c r="FK102" s="59">
        <f t="shared" si="102"/>
        <v>158.08388141976138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0.68012788366604982</v>
      </c>
      <c r="FR102" s="21">
        <f>EXP(-LN(2)/25)*FR101+(1-EXP(-LN(2)/25))/(LN(2)/25)*Calculateur!FM102*Calculateur!FO102*VLOOKUP('Données projet'!$B$16,Paramètres!$A$1:$I$89,3,0)*0.475*44/12</f>
        <v>0.78437467655251947</v>
      </c>
      <c r="FS102" s="21">
        <f>EXP(-LN(2)/2)*FS101+(1-EXP(-LN(2)/2))/(LN(2)/2)*FM102*FP102*VLOOKUP('Données projet'!$B$16,Paramètres!$A$1:$I$89,3,0)*0.475*44/12</f>
        <v>3.4071350884453185E-10</v>
      </c>
      <c r="FT102" s="22">
        <f t="shared" si="78"/>
        <v>1.4645025605592827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5.6843418860808015E-14</v>
      </c>
      <c r="GA102" s="17">
        <f>FZ102*VLOOKUP('Données projet'!$B$17,Paramètres!$A$1:$I$89,3,0)*VLOOKUP('Données projet'!$B$17,Paramètres!$A$1:$I$89,5,0)</f>
        <v>3.3992364478763198E-14</v>
      </c>
      <c r="GB102" s="13">
        <f t="shared" si="103"/>
        <v>5.790027782444094E-13</v>
      </c>
      <c r="GC102" s="20">
        <f t="shared" si="79"/>
        <v>1.0676332069095257E-12</v>
      </c>
      <c r="GD102" s="59">
        <f t="shared" si="80"/>
        <v>293.33333333333439</v>
      </c>
      <c r="GE102" s="59">
        <f ca="1">AVERAGE(OFFSET($GD$3,0,0,'Données projet'!$E$17+1,1))-AVERAGE(OFFSET($H$3,0,0,'Données projet'!$E$17+1,1))</f>
        <v>165.39579887388538</v>
      </c>
      <c r="GF102" s="59">
        <f t="shared" si="104"/>
        <v>155.89639262545802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1.0760681300758477</v>
      </c>
      <c r="GN102" s="21">
        <f>EXP(-LN(2)/2)*GN101+(1-EXP(-LN(2)/2))/(LN(2)/2)*GH102*GK102*VLOOKUP('Données projet'!$B$17,Paramètres!$A$1:$I$89,3,0)*0.475*44/12</f>
        <v>5.7128883150852345E-10</v>
      </c>
      <c r="GO102" s="21">
        <f t="shared" si="81"/>
        <v>1.0760681306471365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3.7</v>
      </c>
      <c r="GU102" s="12">
        <f>IF('Données projet'!$A$270&gt;35,GU101+GT102-HC101,IF(A102&lt;'Données projet'!$A$270,$GR$205^A102,IF(A102='Données projet'!$A$270,'Données projet'!$B$270,GU101+GT102-HC101)))</f>
        <v>226.29999999999998</v>
      </c>
      <c r="GV102" s="17">
        <f>GU102*VLOOKUP('Données projet'!$B$18,Paramètres!$A$1:$I$89,3,0)*VLOOKUP('Données projet'!$B$18,Paramètres!$A$1:$I$89,5,0)</f>
        <v>243.58931999999996</v>
      </c>
      <c r="GW102" s="13">
        <f t="shared" si="105"/>
        <v>59.211121694234393</v>
      </c>
      <c r="GX102" s="20">
        <f t="shared" si="82"/>
        <v>527.37743595079144</v>
      </c>
      <c r="GY102" s="59">
        <f t="shared" si="83"/>
        <v>820.71076928412481</v>
      </c>
      <c r="GZ102" s="59">
        <f ca="1">AVERAGE(OFFSET($GY$3,0,0,'Données projet'!$E$18+1,1))-AVERAGE(OFFSET($H$3,0,0,'Données projet'!$E$18+1,1))</f>
        <v>186.60545265015247</v>
      </c>
      <c r="HA102" s="59">
        <f t="shared" si="106"/>
        <v>69.239647548491234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0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0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3.4106051316484809E-13</v>
      </c>
      <c r="O103" s="13">
        <f>N103*VLOOKUP('Données projet'!$B$9,Paramètres!$A$1:$I$89,3,0)*VLOOKUP('Données projet'!$B$9,Paramètres!$A$1:$I$89,5,0)</f>
        <v>1.9065282685915009E-13</v>
      </c>
      <c r="P103" s="13">
        <f t="shared" si="87"/>
        <v>2.6568987209435707E-12</v>
      </c>
      <c r="Q103" s="20">
        <f t="shared" si="107"/>
        <v>4.959485612423072E-12</v>
      </c>
      <c r="R103" s="59">
        <f t="shared" si="55"/>
        <v>293.33333333333826</v>
      </c>
      <c r="S103" s="59">
        <f ca="1">AVERAGE(OFFSET($R$3,0,0,'Données projet'!$E$9+1,1))-AVERAGE(OFFSET($H$3,0,0,'Données projet'!$E$9+1,1))</f>
        <v>235.10258076192054</v>
      </c>
      <c r="T103" s="59">
        <f t="shared" si="88"/>
        <v>233.47316052603765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0.85648970783225931</v>
      </c>
      <c r="AA103" s="21">
        <f>EXP(-LN(2)/25)*AA102+(1-EXP(-LN(2)/25))/(LN(2)/25)*Calculateur!V103*Calculateur!X103*VLOOKUP('Données projet'!$B$9,Paramètres!$A$1:$I$89,3,0)*0.475*44/12</f>
        <v>2.6470152088299645</v>
      </c>
      <c r="AB103" s="21">
        <f>EXP(-LN(2)/2)*AB102+(1-EXP(-LN(2)/2))/(LN(2)/2)*V103*Y103*VLOOKUP('Données projet'!$B$9,Paramètres!$A$1:$I$89,3,0)*0.475*44/12</f>
        <v>7.0204497672000123E-10</v>
      </c>
      <c r="AC103" s="22">
        <f t="shared" si="57"/>
        <v>3.5035049173642689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2.2737367544323206E-13</v>
      </c>
      <c r="AJ103" s="13">
        <f>AI103*VLOOKUP('Données projet'!$B$10,Paramètres!$A$1:$I$89,3,0)*VLOOKUP('Données projet'!$B$10,Paramètres!$A$1:$I$89,5,0)</f>
        <v>1.2414602679200471E-13</v>
      </c>
      <c r="AK103" s="13">
        <f t="shared" si="89"/>
        <v>1.8186582995804361E-12</v>
      </c>
      <c r="AL103" s="20">
        <f t="shared" si="58"/>
        <v>3.3837175350986671E-12</v>
      </c>
      <c r="AM103" s="59">
        <f t="shared" si="59"/>
        <v>293.33333333333672</v>
      </c>
      <c r="AN103" s="59">
        <f ca="1">AVERAGE(OFFSET($AM$3,0,0,'Données projet'!$E$10+1,1))-AVERAGE(OFFSET($H$3,0,0,'Données projet'!$E$10+1,1))</f>
        <v>168.72306536277267</v>
      </c>
      <c r="AO103" s="59">
        <f t="shared" si="90"/>
        <v>203.35476578922339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0.76051940230348591</v>
      </c>
      <c r="AV103" s="21">
        <f>EXP(-LN(2)/25)*AV102+(1-EXP(-LN(2)/25))/(LN(2)/25)*Calculateur!AQ103*Calculateur!AS103*VLOOKUP('Données projet'!$B$10,Paramètres!$A$1:$I$89,3,0)*0.475*44/12</f>
        <v>3.3003570549884125</v>
      </c>
      <c r="AW103" s="21">
        <f>EXP(-LN(2)/2)*AW102+(1-EXP(-LN(2)/2))/(LN(2)/2)*AQ103*AT103*VLOOKUP('Données projet'!$B$10,Paramètres!$A$1:$I$89,3,0)*0.475*44/12</f>
        <v>5.8277063718092587E-10</v>
      </c>
      <c r="AX103" s="21">
        <f t="shared" si="60"/>
        <v>4.0608764578746683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5.6843418860808015E-14</v>
      </c>
      <c r="BE103" s="13">
        <f>BD103*VLOOKUP('Données projet'!$B$11,Paramètres!$A$1:$I$89,3,0)*VLOOKUP('Données projet'!$B$11,Paramètres!$A$1:$I$89,5,0)</f>
        <v>3.3992364478763198E-14</v>
      </c>
      <c r="BF103" s="13">
        <f t="shared" si="91"/>
        <v>5.790027782444094E-13</v>
      </c>
      <c r="BG103" s="20">
        <f t="shared" si="61"/>
        <v>1.0676332069095257E-12</v>
      </c>
      <c r="BH103" s="59">
        <f t="shared" si="62"/>
        <v>293.33333333333439</v>
      </c>
      <c r="BI103" s="59">
        <f ca="1">AVERAGE(OFFSET($BH$3,0,0,'Données projet'!$E$11+1,1))-AVERAGE(OFFSET($H$3,0,0,'Données projet'!$E$11+1,1))</f>
        <v>165.39579887388538</v>
      </c>
      <c r="BJ103" s="59">
        <f t="shared" si="92"/>
        <v>155.89639262545802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1.04664299047096</v>
      </c>
      <c r="BR103" s="21">
        <f>EXP(-LN(2)/2)*BR102+(1-EXP(-LN(2)/2))/(LN(2)/2)*BL103*BO103*VLOOKUP('Données projet'!$B$11,Paramètres!$A$1:$I$89,3,0)*0.475*44/12</f>
        <v>4.0396220677581592E-10</v>
      </c>
      <c r="BS103" s="22">
        <f t="shared" si="63"/>
        <v>1.0466429908749222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230</v>
      </c>
      <c r="BW103" s="12">
        <f>VLOOKUP(A103,'Données projet'!$A$113:$I$133,9,0)</f>
        <v>3.7</v>
      </c>
      <c r="BX103" s="12">
        <f t="array" ref="BX103">INDEX(BW:BW,MIN(IF(ISNUMBER(BW103:BW299),ROW(BW103:BW299),"")))</f>
        <v>3.7</v>
      </c>
      <c r="BY103" s="12">
        <f>IF('Données projet'!$A$114&gt;35,BY102+BX103-CG102,IF(A103&lt;'Données projet'!$A$114,$BV$205^A103,IF(A103='Données projet'!$A$114,'Données projet'!$B$114,BY102+BX103-CG102)))</f>
        <v>229.99999999999997</v>
      </c>
      <c r="BZ103" s="13">
        <f>BY103*VLOOKUP('Données projet'!$B$12,Paramètres!$A$1:$I$89,3,0)*VLOOKUP('Données projet'!$B$12,Paramètres!$A$1:$I$89,5,0)</f>
        <v>222.45599999999999</v>
      </c>
      <c r="CA103" s="13">
        <f t="shared" si="93"/>
        <v>54.648339796219865</v>
      </c>
      <c r="CB103" s="20">
        <f t="shared" si="64"/>
        <v>482.62339181174951</v>
      </c>
      <c r="CC103" s="59">
        <f t="shared" si="65"/>
        <v>775.95672514508283</v>
      </c>
      <c r="CD103" s="59">
        <f ca="1">AVERAGE(OFFSET($CC$3,0,0,'Données projet'!$E$12+1,1))-AVERAGE(OFFSET($H$3,0,0,'Données projet'!$E$12+1,1))</f>
        <v>156.26368818265388</v>
      </c>
      <c r="CE103" s="59">
        <f t="shared" si="94"/>
        <v>56.347130462109817</v>
      </c>
      <c r="CF103" s="15">
        <f>IF(ISNA(VLOOKUP(A103,'Données projet'!$A$113:$I$133,3,0)),0,VLOOKUP(A103,'Données projet'!$A$113:$I$133,3,0))</f>
        <v>7</v>
      </c>
      <c r="CG103" s="15">
        <f>IF(ISNA(VLOOKUP(A103,'Données projet'!$A$113:$I$133,4,0)),0,VLOOKUP(A103,'Données projet'!$A$113:$I$133,4,0))</f>
        <v>28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230</v>
      </c>
      <c r="CR103" s="12">
        <f>VLOOKUP(A103,'Données projet'!$A$139:$I$159,9,0)</f>
        <v>3.7</v>
      </c>
      <c r="CS103" s="12">
        <f t="array" ref="CS103">INDEX(CR:CR,MIN(IF(ISNUMBER(CR103:CR299),ROW(CR103:CR299),"")))</f>
        <v>3.7</v>
      </c>
      <c r="CT103" s="12">
        <f>IF('Données projet'!$A$140&gt;35,CT102+CS103-DB102,IF(A103&lt;'Données projet'!$A$140,$CQ$205^A103,IF(A103='Données projet'!$A$140,'Données projet'!$B$140,CT102+CS103-DB102)))</f>
        <v>229.99999999999997</v>
      </c>
      <c r="CU103" s="17">
        <f>CT103*VLOOKUP('Données projet'!$B$13,Paramètres!$A$1:$I$89,3,0)*VLOOKUP('Données projet'!$B$13,Paramètres!$A$1:$I$89,5,0)</f>
        <v>186.57599999999999</v>
      </c>
      <c r="CV103" s="13">
        <f t="shared" si="95"/>
        <v>46.782155731694274</v>
      </c>
      <c r="CW103" s="20">
        <f t="shared" si="67"/>
        <v>406.43212123270087</v>
      </c>
      <c r="CX103" s="59">
        <f t="shared" si="68"/>
        <v>699.76545456603412</v>
      </c>
      <c r="CY103" s="59">
        <f ca="1">AVERAGE(OFFSET($CX$3,0,0,'Données projet'!$E$13+1,1))-AVERAGE(OFFSET($H$3,0,0,'Données projet'!$E$13+1,1))</f>
        <v>112.78807760743126</v>
      </c>
      <c r="CZ103" s="59">
        <f t="shared" si="96"/>
        <v>37.867745922003564</v>
      </c>
      <c r="DA103" s="15">
        <f>IF(ISNA(VLOOKUP(A103,'Données projet'!$A$139:$I$159,3,0)),0,VLOOKUP(A103,'Données projet'!$A$139:$I$159,3,0))</f>
        <v>7</v>
      </c>
      <c r="DB103" s="15">
        <f>IF(ISNA(VLOOKUP(A103,'Données projet'!$A$139:$I$159,4,0)),0,VLOOKUP(A103,'Données projet'!$A$139:$I$159,4,0))</f>
        <v>28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-8.5265128291212022E-14</v>
      </c>
      <c r="DP103" s="17">
        <f>DO103*VLOOKUP('Données projet'!$B$14,Paramètres!$A$1:$I$89,3,0)*VLOOKUP('Données projet'!$B$14,Paramètres!$A$1:$I$89,5,0)</f>
        <v>-5.7195848057745024E-14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107.15837202366862</v>
      </c>
      <c r="DU103" s="59">
        <f t="shared" si="98"/>
        <v>139.67031833740026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0.81386043621738868</v>
      </c>
      <c r="EC103" s="21">
        <f>EXP(-LN(2)/2)*EC102+(1-EXP(-LN(2)/2))/(LN(2)/2)*DW103*DZ103*VLOOKUP('Données projet'!$B$14,Paramètres!$A$1:$I$89,3,0)*0.475*44/12</f>
        <v>1.964355922480325E-10</v>
      </c>
      <c r="ED103" s="22">
        <f t="shared" si="72"/>
        <v>0.81386043641382433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407.9</v>
      </c>
      <c r="EH103" s="12">
        <f>VLOOKUP(A103,'Données projet'!$A$191:$I$211,9,0)</f>
        <v>8.3000000000000007</v>
      </c>
      <c r="EI103" s="12">
        <f t="array" ref="EI103">INDEX(EH:EH,MIN(IF(ISNUMBER(EH103:EH299),ROW(EH103:EH299),"")))</f>
        <v>8.3000000000000007</v>
      </c>
      <c r="EJ103" s="12">
        <f>IF('Données projet'!$A$192&gt;35,EJ102+EI103-ER102,IF(A103&lt;'Données projet'!$A$192,$EG$205^A103,IF(A103='Données projet'!$A$192,'Données projet'!$B$192,EJ102+EI103-ER102)))</f>
        <v>407.90000000000003</v>
      </c>
      <c r="EK103" s="17">
        <f>EJ103*VLOOKUP('Données projet'!$B$15,Paramètres!$A$1:$I$89,3,0)*VLOOKUP('Données projet'!$B$15,Paramètres!$A$1:$I$89,5,0)</f>
        <v>190.8972</v>
      </c>
      <c r="EL103" s="13">
        <f t="shared" si="99"/>
        <v>47.738256614056887</v>
      </c>
      <c r="EM103" s="20">
        <f t="shared" si="73"/>
        <v>415.62342026948232</v>
      </c>
      <c r="EN103" s="59">
        <f t="shared" si="74"/>
        <v>708.95675360281564</v>
      </c>
      <c r="EO103" s="59">
        <f ca="1">AVERAGE(OFFSET($EN$3,0,0,'Données projet'!$E$15+1,1))-AVERAGE(OFFSET($H$3,0,0,'Données projet'!$E$15+1,1))</f>
        <v>123.60520571614535</v>
      </c>
      <c r="EP103" s="59">
        <f t="shared" si="100"/>
        <v>119.00926870519527</v>
      </c>
      <c r="EQ103" s="15">
        <f>IF(ISNA(VLOOKUP(A103,'Données projet'!$A$191:$I$211,3,0)),0,VLOOKUP(A103,'Données projet'!$A$191:$I$211,3,0))</f>
        <v>9</v>
      </c>
      <c r="ER103" s="15">
        <f>IF(ISNA(VLOOKUP(A103,'Données projet'!$A$191:$I$211,4,0)),0,VLOOKUP(A103,'Données projet'!$A$191:$I$211,4,0))</f>
        <v>46.3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0.21682563367713703</v>
      </c>
      <c r="EW103" s="21">
        <f>EXP(-LN(2)/25)*EW102+(1-EXP(-LN(2)/25))/(LN(2)/25)*Calculateur!ER103*Calculateur!ET103*VLOOKUP('Données projet'!$B$15,Paramètres!$A$1:$I$89,3,0)*0.475*44/12</f>
        <v>0.6858817862846851</v>
      </c>
      <c r="EX103" s="21">
        <f>EXP(-LN(2)/2)*EX102+(1-EXP(-LN(2)/2))/(LN(2)/2)*ER103*EU103*VLOOKUP('Données projet'!$B$15,Paramètres!$A$1:$I$89,3,0)*0.475*44/12</f>
        <v>1.7793239359402056E-10</v>
      </c>
      <c r="EY103" s="22">
        <f t="shared" si="75"/>
        <v>0.90270742013975458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-2.2737367544323206E-13</v>
      </c>
      <c r="FF103" s="17">
        <f>FE103*VLOOKUP('Données projet'!$B$16,Paramètres!$A$1:$I$89,3,0)*VLOOKUP('Données projet'!$B$16,Paramètres!$A$1:$I$89,5,0)</f>
        <v>-1.0936673788819462E-13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197.66963254934603</v>
      </c>
      <c r="FK103" s="59">
        <f t="shared" si="102"/>
        <v>158.08388141976138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0.66679099070440584</v>
      </c>
      <c r="FR103" s="21">
        <f>EXP(-LN(2)/25)*FR102+(1-EXP(-LN(2)/25))/(LN(2)/25)*Calculateur!FM103*Calculateur!FO103*VLOOKUP('Données projet'!$B$16,Paramètres!$A$1:$I$89,3,0)*0.475*44/12</f>
        <v>0.76292590977371932</v>
      </c>
      <c r="FS103" s="21">
        <f>EXP(-LN(2)/2)*FS102+(1-EXP(-LN(2)/2))/(LN(2)/2)*FM103*FP103*VLOOKUP('Données projet'!$B$16,Paramètres!$A$1:$I$89,3,0)*0.475*44/12</f>
        <v>2.409208325458312E-10</v>
      </c>
      <c r="FT103" s="22">
        <f t="shared" si="78"/>
        <v>1.429716900719046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5.6843418860808015E-14</v>
      </c>
      <c r="GA103" s="17">
        <f>FZ103*VLOOKUP('Données projet'!$B$17,Paramètres!$A$1:$I$89,3,0)*VLOOKUP('Données projet'!$B$17,Paramètres!$A$1:$I$89,5,0)</f>
        <v>3.3992364478763198E-14</v>
      </c>
      <c r="GB103" s="13">
        <f t="shared" si="103"/>
        <v>5.790027782444094E-13</v>
      </c>
      <c r="GC103" s="20">
        <f t="shared" si="79"/>
        <v>1.0676332069095257E-12</v>
      </c>
      <c r="GD103" s="59">
        <f t="shared" si="80"/>
        <v>293.33333333333439</v>
      </c>
      <c r="GE103" s="59">
        <f ca="1">AVERAGE(OFFSET($GD$3,0,0,'Données projet'!$E$17+1,1))-AVERAGE(OFFSET($H$3,0,0,'Données projet'!$E$17+1,1))</f>
        <v>165.39579887388538</v>
      </c>
      <c r="GF103" s="59">
        <f t="shared" si="104"/>
        <v>155.89639262545802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1.04664299047096</v>
      </c>
      <c r="GN103" s="21">
        <f>EXP(-LN(2)/2)*GN102+(1-EXP(-LN(2)/2))/(LN(2)/2)*GH103*GK103*VLOOKUP('Données projet'!$B$17,Paramètres!$A$1:$I$89,3,0)*0.475*44/12</f>
        <v>4.0396220677581592E-10</v>
      </c>
      <c r="GO103" s="21">
        <f t="shared" si="81"/>
        <v>1.0466429908749222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>
        <f>VLOOKUP(A103,'Données projet'!$A$269:$I$289,2,0)</f>
        <v>230</v>
      </c>
      <c r="GS103" s="12">
        <f>VLOOKUP(A103,'Données projet'!$A$269:$I$289,9,0)</f>
        <v>3.7</v>
      </c>
      <c r="GT103" s="12">
        <f t="array" ref="GT103">INDEX(GS:GS,MIN(IF(ISNUMBER(GS103:GS299),ROW(GS103:GS299),"")))</f>
        <v>3.7</v>
      </c>
      <c r="GU103" s="12">
        <f>IF('Données projet'!$A$270&gt;35,GU102+GT103-HC102,IF(A103&lt;'Données projet'!$A$270,$GR$205^A103,IF(A103='Données projet'!$A$270,'Données projet'!$B$270,GU102+GT103-HC102)))</f>
        <v>229.99999999999997</v>
      </c>
      <c r="GV103" s="17">
        <f>GU103*VLOOKUP('Données projet'!$B$18,Paramètres!$A$1:$I$89,3,0)*VLOOKUP('Données projet'!$B$18,Paramètres!$A$1:$I$89,5,0)</f>
        <v>247.57199999999995</v>
      </c>
      <c r="GW103" s="13">
        <f t="shared" si="105"/>
        <v>60.065726249156526</v>
      </c>
      <c r="GX103" s="20">
        <f t="shared" si="82"/>
        <v>535.80237321728089</v>
      </c>
      <c r="GY103" s="59">
        <f t="shared" si="83"/>
        <v>829.13570655061426</v>
      </c>
      <c r="GZ103" s="59">
        <f ca="1">AVERAGE(OFFSET($GY$3,0,0,'Données projet'!$E$18+1,1))-AVERAGE(OFFSET($H$3,0,0,'Données projet'!$E$18+1,1))</f>
        <v>186.60545265015247</v>
      </c>
      <c r="HA103" s="59">
        <f t="shared" si="106"/>
        <v>69.239647548491234</v>
      </c>
      <c r="HB103" s="15">
        <f>IF(ISNA(VLOOKUP(A103,'Données projet'!$A$269:$I$289,3,0)),0,VLOOKUP(A103,'Données projet'!$A$269:$I$289,3,0))</f>
        <v>7</v>
      </c>
      <c r="HC103" s="15">
        <f>IF(ISNA(VLOOKUP(A103,'Données projet'!$A$269:$I$289,4,0)),0,VLOOKUP(A103,'Données projet'!$A$269:$I$289,4,0))</f>
        <v>28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0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0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3.4106051316484809E-13</v>
      </c>
      <c r="O104" s="13">
        <f>N104*VLOOKUP('Données projet'!$B$9,Paramètres!$A$1:$I$89,3,0)*VLOOKUP('Données projet'!$B$9,Paramètres!$A$1:$I$89,5,0)</f>
        <v>1.9065282685915009E-13</v>
      </c>
      <c r="P104" s="13">
        <f t="shared" si="87"/>
        <v>2.6568987209435707E-12</v>
      </c>
      <c r="Q104" s="20">
        <f t="shared" si="107"/>
        <v>4.959485612423072E-12</v>
      </c>
      <c r="R104" s="59">
        <f t="shared" si="55"/>
        <v>293.33333333333826</v>
      </c>
      <c r="S104" s="59">
        <f ca="1">AVERAGE(OFFSET($R$3,0,0,'Données projet'!$E$9+1,1))-AVERAGE(OFFSET($H$3,0,0,'Données projet'!$E$9+1,1))</f>
        <v>235.10258076192054</v>
      </c>
      <c r="T104" s="59">
        <f t="shared" si="88"/>
        <v>233.47316052603765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0.83969446706880702</v>
      </c>
      <c r="AA104" s="21">
        <f>EXP(-LN(2)/25)*AA103+(1-EXP(-LN(2)/25))/(LN(2)/25)*Calculateur!V104*Calculateur!X104*VLOOKUP('Données projet'!$B$9,Paramètres!$A$1:$I$89,3,0)*0.475*44/12</f>
        <v>2.5746324387440294</v>
      </c>
      <c r="AB104" s="21">
        <f>EXP(-LN(2)/2)*AB103+(1-EXP(-LN(2)/2))/(LN(2)/2)*V104*Y104*VLOOKUP('Données projet'!$B$9,Paramètres!$A$1:$I$89,3,0)*0.475*44/12</f>
        <v>4.9642076373666476E-10</v>
      </c>
      <c r="AC104" s="22">
        <f t="shared" si="57"/>
        <v>3.4143269063092569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2.2737367544323206E-13</v>
      </c>
      <c r="AJ104" s="13">
        <f>AI104*VLOOKUP('Données projet'!$B$10,Paramètres!$A$1:$I$89,3,0)*VLOOKUP('Données projet'!$B$10,Paramètres!$A$1:$I$89,5,0)</f>
        <v>1.2414602679200471E-13</v>
      </c>
      <c r="AK104" s="13">
        <f t="shared" si="89"/>
        <v>1.8186582995804361E-12</v>
      </c>
      <c r="AL104" s="20">
        <f t="shared" si="58"/>
        <v>3.3837175350986671E-12</v>
      </c>
      <c r="AM104" s="59">
        <f t="shared" si="59"/>
        <v>293.33333333333672</v>
      </c>
      <c r="AN104" s="59">
        <f ca="1">AVERAGE(OFFSET($AM$3,0,0,'Données projet'!$E$10+1,1))-AVERAGE(OFFSET($H$3,0,0,'Données projet'!$E$10+1,1))</f>
        <v>168.72306536277267</v>
      </c>
      <c r="AO104" s="59">
        <f t="shared" si="90"/>
        <v>203.35476578922339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0.74560608069534651</v>
      </c>
      <c r="AV104" s="21">
        <f>EXP(-LN(2)/25)*AV103+(1-EXP(-LN(2)/25))/(LN(2)/25)*Calculateur!AQ104*Calculateur!AS104*VLOOKUP('Données projet'!$B$10,Paramètres!$A$1:$I$89,3,0)*0.475*44/12</f>
        <v>3.2101086177615197</v>
      </c>
      <c r="AW104" s="21">
        <f>EXP(-LN(2)/2)*AW103+(1-EXP(-LN(2)/2))/(LN(2)/2)*AQ104*AT104*VLOOKUP('Données projet'!$B$10,Paramètres!$A$1:$I$89,3,0)*0.475*44/12</f>
        <v>4.1208106942703784E-10</v>
      </c>
      <c r="AX104" s="21">
        <f t="shared" si="60"/>
        <v>3.9557146988689471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5.6843418860808015E-14</v>
      </c>
      <c r="BE104" s="13">
        <f>BD104*VLOOKUP('Données projet'!$B$11,Paramètres!$A$1:$I$89,3,0)*VLOOKUP('Données projet'!$B$11,Paramètres!$A$1:$I$89,5,0)</f>
        <v>3.3992364478763198E-14</v>
      </c>
      <c r="BF104" s="13">
        <f t="shared" si="91"/>
        <v>5.790027782444094E-13</v>
      </c>
      <c r="BG104" s="20">
        <f t="shared" si="61"/>
        <v>1.0676332069095257E-12</v>
      </c>
      <c r="BH104" s="59">
        <f t="shared" si="62"/>
        <v>293.33333333333439</v>
      </c>
      <c r="BI104" s="59">
        <f ca="1">AVERAGE(OFFSET($BH$3,0,0,'Données projet'!$E$11+1,1))-AVERAGE(OFFSET($H$3,0,0,'Données projet'!$E$11+1,1))</f>
        <v>165.39579887388538</v>
      </c>
      <c r="BJ104" s="59">
        <f t="shared" si="92"/>
        <v>155.89639262545802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1.0180224828559687</v>
      </c>
      <c r="BR104" s="21">
        <f>EXP(-LN(2)/2)*BR103+(1-EXP(-LN(2)/2))/(LN(2)/2)*BL104*BO104*VLOOKUP('Données projet'!$B$11,Paramètres!$A$1:$I$89,3,0)*0.475*44/12</f>
        <v>2.8564441575426172E-10</v>
      </c>
      <c r="BS104" s="22">
        <f t="shared" si="63"/>
        <v>1.0180224831416131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3.1</v>
      </c>
      <c r="BY104" s="12">
        <f>IF('Données projet'!$A$114&gt;35,BY103+BX104-CG103,IF(A104&lt;'Données projet'!$A$114,$BV$205^A104,IF(A104='Données projet'!$A$114,'Données projet'!$B$114,BY103+BX104-CG103)))</f>
        <v>205.09999999999997</v>
      </c>
      <c r="BZ104" s="13">
        <f>BY104*VLOOKUP('Données projet'!$B$12,Paramètres!$A$1:$I$89,3,0)*VLOOKUP('Données projet'!$B$12,Paramètres!$A$1:$I$89,5,0)</f>
        <v>198.37271999999996</v>
      </c>
      <c r="CA104" s="13">
        <f t="shared" si="93"/>
        <v>49.38637096917374</v>
      </c>
      <c r="CB104" s="20">
        <f t="shared" si="64"/>
        <v>431.5137501046442</v>
      </c>
      <c r="CC104" s="59">
        <f t="shared" si="65"/>
        <v>724.84708343797752</v>
      </c>
      <c r="CD104" s="59">
        <f ca="1">AVERAGE(OFFSET($CC$3,0,0,'Données projet'!$E$12+1,1))-AVERAGE(OFFSET($H$3,0,0,'Données projet'!$E$12+1,1))</f>
        <v>156.26368818265388</v>
      </c>
      <c r="CE104" s="59">
        <f t="shared" si="94"/>
        <v>56.347130462109817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3.1</v>
      </c>
      <c r="CT104" s="12">
        <f>IF('Données projet'!$A$140&gt;35,CT103+CS104-DB103,IF(A104&lt;'Données projet'!$A$140,$CQ$205^A104,IF(A104='Données projet'!$A$140,'Données projet'!$B$140,CT103+CS104-DB103)))</f>
        <v>205.09999999999997</v>
      </c>
      <c r="CU104" s="17">
        <f>CT104*VLOOKUP('Données projet'!$B$13,Paramètres!$A$1:$I$89,3,0)*VLOOKUP('Données projet'!$B$13,Paramètres!$A$1:$I$89,5,0)</f>
        <v>166.37711999999999</v>
      </c>
      <c r="CV104" s="13">
        <f t="shared" si="95"/>
        <v>42.277604522268177</v>
      </c>
      <c r="CW104" s="20">
        <f t="shared" si="67"/>
        <v>363.40697854295041</v>
      </c>
      <c r="CX104" s="59">
        <f t="shared" si="68"/>
        <v>656.74031187628373</v>
      </c>
      <c r="CY104" s="59">
        <f ca="1">AVERAGE(OFFSET($CX$3,0,0,'Données projet'!$E$13+1,1))-AVERAGE(OFFSET($H$3,0,0,'Données projet'!$E$13+1,1))</f>
        <v>112.78807760743126</v>
      </c>
      <c r="CZ104" s="59">
        <f t="shared" si="96"/>
        <v>37.867745922003564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-8.5265128291212022E-14</v>
      </c>
      <c r="DP104" s="17">
        <f>DO104*VLOOKUP('Données projet'!$B$14,Paramètres!$A$1:$I$89,3,0)*VLOOKUP('Données projet'!$B$14,Paramètres!$A$1:$I$89,5,0)</f>
        <v>-5.7195848057745024E-14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107.15837202366862</v>
      </c>
      <c r="DU104" s="59">
        <f t="shared" si="98"/>
        <v>139.67031833740026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0.79160537978996393</v>
      </c>
      <c r="EC104" s="21">
        <f>EXP(-LN(2)/2)*EC103+(1-EXP(-LN(2)/2))/(LN(2)/2)*DW104*DZ104*VLOOKUP('Données projet'!$B$14,Paramètres!$A$1:$I$89,3,0)*0.475*44/12</f>
        <v>1.3890093934497938E-10</v>
      </c>
      <c r="ED104" s="22">
        <f t="shared" si="72"/>
        <v>0.79160537992886482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8.6999999999999993</v>
      </c>
      <c r="EJ104" s="12">
        <f>IF('Données projet'!$A$192&gt;35,EJ103+EI104-ER103,IF(A104&lt;'Données projet'!$A$192,$EG$205^A104,IF(A104='Données projet'!$A$192,'Données projet'!$B$192,EJ103+EI104-ER103)))</f>
        <v>370.3</v>
      </c>
      <c r="EK104" s="17">
        <f>EJ104*VLOOKUP('Données projet'!$B$15,Paramètres!$A$1:$I$89,3,0)*VLOOKUP('Données projet'!$B$15,Paramètres!$A$1:$I$89,5,0)</f>
        <v>173.3004</v>
      </c>
      <c r="EL104" s="13">
        <f t="shared" si="99"/>
        <v>43.82837416766705</v>
      </c>
      <c r="EM104" s="20">
        <f t="shared" si="73"/>
        <v>378.1659483420201</v>
      </c>
      <c r="EN104" s="59">
        <f t="shared" si="74"/>
        <v>671.49928167535336</v>
      </c>
      <c r="EO104" s="59">
        <f ca="1">AVERAGE(OFFSET($EN$3,0,0,'Données projet'!$E$15+1,1))-AVERAGE(OFFSET($H$3,0,0,'Données projet'!$E$15+1,1))</f>
        <v>123.60520571614535</v>
      </c>
      <c r="EP104" s="59">
        <f t="shared" si="100"/>
        <v>119.00926870519527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0.21257381525130625</v>
      </c>
      <c r="EW104" s="21">
        <f>EXP(-LN(2)/25)*EW103+(1-EXP(-LN(2)/25))/(LN(2)/25)*Calculateur!ER104*Calculateur!ET104*VLOOKUP('Données projet'!$B$15,Paramètres!$A$1:$I$89,3,0)*0.475*44/12</f>
        <v>0.66712631276977485</v>
      </c>
      <c r="EX104" s="21">
        <f>EXP(-LN(2)/2)*EX103+(1-EXP(-LN(2)/2))/(LN(2)/2)*ER104*EU104*VLOOKUP('Données projet'!$B$15,Paramètres!$A$1:$I$89,3,0)*0.475*44/12</f>
        <v>1.2581720210308574E-10</v>
      </c>
      <c r="EY104" s="22">
        <f t="shared" si="75"/>
        <v>0.87970012814689835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-2.2737367544323206E-13</v>
      </c>
      <c r="FF104" s="17">
        <f>FE104*VLOOKUP('Données projet'!$B$16,Paramètres!$A$1:$I$89,3,0)*VLOOKUP('Données projet'!$B$16,Paramètres!$A$1:$I$89,5,0)</f>
        <v>-1.0936673788819462E-13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197.66963254934603</v>
      </c>
      <c r="FK104" s="59">
        <f t="shared" si="102"/>
        <v>158.08388141976138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0.65371562607903821</v>
      </c>
      <c r="FR104" s="21">
        <f>EXP(-LN(2)/25)*FR103+(1-EXP(-LN(2)/25))/(LN(2)/25)*Calculateur!FM104*Calculateur!FO104*VLOOKUP('Données projet'!$B$16,Paramètres!$A$1:$I$89,3,0)*0.475*44/12</f>
        <v>0.74206366065042706</v>
      </c>
      <c r="FS104" s="21">
        <f>EXP(-LN(2)/2)*FS103+(1-EXP(-LN(2)/2))/(LN(2)/2)*FM104*FP104*VLOOKUP('Données projet'!$B$16,Paramètres!$A$1:$I$89,3,0)*0.475*44/12</f>
        <v>1.7035675442226593E-10</v>
      </c>
      <c r="FT104" s="22">
        <f t="shared" si="78"/>
        <v>1.395779286899822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5.6843418860808015E-14</v>
      </c>
      <c r="GA104" s="17">
        <f>FZ104*VLOOKUP('Données projet'!$B$17,Paramètres!$A$1:$I$89,3,0)*VLOOKUP('Données projet'!$B$17,Paramètres!$A$1:$I$89,5,0)</f>
        <v>3.3992364478763198E-14</v>
      </c>
      <c r="GB104" s="13">
        <f t="shared" si="103"/>
        <v>5.790027782444094E-13</v>
      </c>
      <c r="GC104" s="20">
        <f t="shared" si="79"/>
        <v>1.0676332069095257E-12</v>
      </c>
      <c r="GD104" s="59">
        <f t="shared" si="80"/>
        <v>293.33333333333439</v>
      </c>
      <c r="GE104" s="59">
        <f ca="1">AVERAGE(OFFSET($GD$3,0,0,'Données projet'!$E$17+1,1))-AVERAGE(OFFSET($H$3,0,0,'Données projet'!$E$17+1,1))</f>
        <v>165.39579887388538</v>
      </c>
      <c r="GF104" s="59">
        <f t="shared" si="104"/>
        <v>155.89639262545802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1.0180224828559687</v>
      </c>
      <c r="GN104" s="21">
        <f>EXP(-LN(2)/2)*GN103+(1-EXP(-LN(2)/2))/(LN(2)/2)*GH104*GK104*VLOOKUP('Données projet'!$B$17,Paramètres!$A$1:$I$89,3,0)*0.475*44/12</f>
        <v>2.8564441575426172E-10</v>
      </c>
      <c r="GO104" s="21">
        <f t="shared" si="81"/>
        <v>1.0180224831416131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3.1</v>
      </c>
      <c r="GU104" s="12">
        <f>IF('Données projet'!$A$270&gt;35,GU103+GT104-HC103,IF(A104&lt;'Données projet'!$A$270,$GR$205^A104,IF(A104='Données projet'!$A$270,'Données projet'!$B$270,GU103+GT104-HC103)))</f>
        <v>205.09999999999997</v>
      </c>
      <c r="GV104" s="17">
        <f>GU104*VLOOKUP('Données projet'!$B$18,Paramètres!$A$1:$I$89,3,0)*VLOOKUP('Données projet'!$B$18,Paramètres!$A$1:$I$89,5,0)</f>
        <v>220.76963999999998</v>
      </c>
      <c r="GW104" s="13">
        <f t="shared" si="105"/>
        <v>54.282129157725663</v>
      </c>
      <c r="GX104" s="20">
        <f t="shared" si="82"/>
        <v>479.04849794970545</v>
      </c>
      <c r="GY104" s="59">
        <f t="shared" si="83"/>
        <v>772.38183128303876</v>
      </c>
      <c r="GZ104" s="59">
        <f ca="1">AVERAGE(OFFSET($GY$3,0,0,'Données projet'!$E$18+1,1))-AVERAGE(OFFSET($H$3,0,0,'Données projet'!$E$18+1,1))</f>
        <v>186.60545265015247</v>
      </c>
      <c r="HA104" s="59">
        <f t="shared" si="106"/>
        <v>69.239647548491234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0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0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3.4106051316484809E-13</v>
      </c>
      <c r="O105" s="13">
        <f>N105*VLOOKUP('Données projet'!$B$9,Paramètres!$A$1:$I$89,3,0)*VLOOKUP('Données projet'!$B$9,Paramètres!$A$1:$I$89,5,0)</f>
        <v>1.9065282685915009E-13</v>
      </c>
      <c r="P105" s="13">
        <f t="shared" si="87"/>
        <v>2.6568987209435707E-12</v>
      </c>
      <c r="Q105" s="20">
        <f t="shared" si="107"/>
        <v>4.959485612423072E-12</v>
      </c>
      <c r="R105" s="59">
        <f t="shared" si="55"/>
        <v>293.33333333333826</v>
      </c>
      <c r="S105" s="59">
        <f ca="1">AVERAGE(OFFSET($R$3,0,0,'Données projet'!$E$9+1,1))-AVERAGE(OFFSET($H$3,0,0,'Données projet'!$E$9+1,1))</f>
        <v>235.10258076192054</v>
      </c>
      <c r="T105" s="59">
        <f t="shared" si="88"/>
        <v>233.47316052603765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0.82322857073264077</v>
      </c>
      <c r="AA105" s="21">
        <f>EXP(-LN(2)/25)*AA104+(1-EXP(-LN(2)/25))/(LN(2)/25)*Calculateur!V105*Calculateur!X105*VLOOKUP('Données projet'!$B$9,Paramètres!$A$1:$I$89,3,0)*0.475*44/12</f>
        <v>2.5042289793125385</v>
      </c>
      <c r="AB105" s="21">
        <f>EXP(-LN(2)/2)*AB104+(1-EXP(-LN(2)/2))/(LN(2)/2)*V105*Y105*VLOOKUP('Données projet'!$B$9,Paramètres!$A$1:$I$89,3,0)*0.475*44/12</f>
        <v>3.5102248836000062E-10</v>
      </c>
      <c r="AC105" s="22">
        <f t="shared" si="57"/>
        <v>3.3274575503962014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2.2737367544323206E-13</v>
      </c>
      <c r="AJ105" s="13">
        <f>AI105*VLOOKUP('Données projet'!$B$10,Paramètres!$A$1:$I$89,3,0)*VLOOKUP('Données projet'!$B$10,Paramètres!$A$1:$I$89,5,0)</f>
        <v>1.2414602679200471E-13</v>
      </c>
      <c r="AK105" s="13">
        <f t="shared" si="89"/>
        <v>1.8186582995804361E-12</v>
      </c>
      <c r="AL105" s="20">
        <f t="shared" si="58"/>
        <v>3.3837175350986671E-12</v>
      </c>
      <c r="AM105" s="59">
        <f t="shared" si="59"/>
        <v>293.33333333333672</v>
      </c>
      <c r="AN105" s="59">
        <f ca="1">AVERAGE(OFFSET($AM$3,0,0,'Données projet'!$E$10+1,1))-AVERAGE(OFFSET($H$3,0,0,'Données projet'!$E$10+1,1))</f>
        <v>168.72306536277267</v>
      </c>
      <c r="AO105" s="59">
        <f t="shared" si="90"/>
        <v>203.35476578922339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0.73098520022771474</v>
      </c>
      <c r="AV105" s="21">
        <f>EXP(-LN(2)/25)*AV104+(1-EXP(-LN(2)/25))/(LN(2)/25)*Calculateur!AQ105*Calculateur!AS105*VLOOKUP('Données projet'!$B$10,Paramètres!$A$1:$I$89,3,0)*0.475*44/12</f>
        <v>3.1223280287965554</v>
      </c>
      <c r="AW105" s="21">
        <f>EXP(-LN(2)/2)*AW104+(1-EXP(-LN(2)/2))/(LN(2)/2)*AQ105*AT105*VLOOKUP('Données projet'!$B$10,Paramètres!$A$1:$I$89,3,0)*0.475*44/12</f>
        <v>2.9138531859046294E-10</v>
      </c>
      <c r="AX105" s="21">
        <f t="shared" si="60"/>
        <v>3.8533132293156553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5.6843418860808015E-14</v>
      </c>
      <c r="BE105" s="13">
        <f>BD105*VLOOKUP('Données projet'!$B$11,Paramètres!$A$1:$I$89,3,0)*VLOOKUP('Données projet'!$B$11,Paramètres!$A$1:$I$89,5,0)</f>
        <v>3.3992364478763198E-14</v>
      </c>
      <c r="BF105" s="13">
        <f t="shared" si="91"/>
        <v>5.790027782444094E-13</v>
      </c>
      <c r="BG105" s="20">
        <f t="shared" si="61"/>
        <v>1.0676332069095257E-12</v>
      </c>
      <c r="BH105" s="59">
        <f t="shared" si="62"/>
        <v>293.33333333333439</v>
      </c>
      <c r="BI105" s="59">
        <f ca="1">AVERAGE(OFFSET($BH$3,0,0,'Données projet'!$E$11+1,1))-AVERAGE(OFFSET($H$3,0,0,'Données projet'!$E$11+1,1))</f>
        <v>165.39579887388538</v>
      </c>
      <c r="BJ105" s="59">
        <f t="shared" si="92"/>
        <v>155.89639262545802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0.99018460452679657</v>
      </c>
      <c r="BR105" s="21">
        <f>EXP(-LN(2)/2)*BR104+(1-EXP(-LN(2)/2))/(LN(2)/2)*BL105*BO105*VLOOKUP('Données projet'!$B$11,Paramètres!$A$1:$I$89,3,0)*0.475*44/12</f>
        <v>2.0198110338790796E-10</v>
      </c>
      <c r="BS105" s="22">
        <f t="shared" si="63"/>
        <v>0.99018460472877767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3.1</v>
      </c>
      <c r="BY105" s="12">
        <f>IF('Données projet'!$A$114&gt;35,BY104+BX105-CG104,IF(A105&lt;'Données projet'!$A$114,$BV$205^A105,IF(A105='Données projet'!$A$114,'Données projet'!$B$114,BY104+BX105-CG104)))</f>
        <v>208.19999999999996</v>
      </c>
      <c r="BZ105" s="13">
        <f>BY105*VLOOKUP('Données projet'!$B$12,Paramètres!$A$1:$I$89,3,0)*VLOOKUP('Données projet'!$B$12,Paramètres!$A$1:$I$89,5,0)</f>
        <v>201.37103999999997</v>
      </c>
      <c r="CA105" s="13">
        <f t="shared" si="93"/>
        <v>50.045360910017756</v>
      </c>
      <c r="CB105" s="20">
        <f t="shared" si="64"/>
        <v>437.88356491828085</v>
      </c>
      <c r="CC105" s="59">
        <f t="shared" si="65"/>
        <v>731.21689825161411</v>
      </c>
      <c r="CD105" s="59">
        <f ca="1">AVERAGE(OFFSET($CC$3,0,0,'Données projet'!$E$12+1,1))-AVERAGE(OFFSET($H$3,0,0,'Données projet'!$E$12+1,1))</f>
        <v>156.26368818265388</v>
      </c>
      <c r="CE105" s="59">
        <f t="shared" si="94"/>
        <v>56.347130462109817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3.1</v>
      </c>
      <c r="CT105" s="12">
        <f>IF('Données projet'!$A$140&gt;35,CT104+CS105-DB104,IF(A105&lt;'Données projet'!$A$140,$CQ$205^A105,IF(A105='Données projet'!$A$140,'Données projet'!$B$140,CT104+CS105-DB104)))</f>
        <v>208.19999999999996</v>
      </c>
      <c r="CU105" s="17">
        <f>CT105*VLOOKUP('Données projet'!$B$13,Paramètres!$A$1:$I$89,3,0)*VLOOKUP('Données projet'!$B$13,Paramètres!$A$1:$I$89,5,0)</f>
        <v>168.89183999999997</v>
      </c>
      <c r="CV105" s="13">
        <f t="shared" si="95"/>
        <v>42.841738220622823</v>
      </c>
      <c r="CW105" s="20">
        <f t="shared" si="67"/>
        <v>368.769315400918</v>
      </c>
      <c r="CX105" s="59">
        <f t="shared" si="68"/>
        <v>662.10264873425126</v>
      </c>
      <c r="CY105" s="59">
        <f ca="1">AVERAGE(OFFSET($CX$3,0,0,'Données projet'!$E$13+1,1))-AVERAGE(OFFSET($H$3,0,0,'Données projet'!$E$13+1,1))</f>
        <v>112.78807760743126</v>
      </c>
      <c r="CZ105" s="59">
        <f t="shared" si="96"/>
        <v>37.867745922003564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-8.5265128291212022E-14</v>
      </c>
      <c r="DP105" s="17">
        <f>DO105*VLOOKUP('Données projet'!$B$14,Paramètres!$A$1:$I$89,3,0)*VLOOKUP('Données projet'!$B$14,Paramètres!$A$1:$I$89,5,0)</f>
        <v>-5.7195848057745024E-14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107.15837202366862</v>
      </c>
      <c r="DU105" s="59">
        <f t="shared" si="98"/>
        <v>139.67031833740026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0.76995888905088972</v>
      </c>
      <c r="EC105" s="21">
        <f>EXP(-LN(2)/2)*EC104+(1-EXP(-LN(2)/2))/(LN(2)/2)*DW105*DZ105*VLOOKUP('Données projet'!$B$14,Paramètres!$A$1:$I$89,3,0)*0.475*44/12</f>
        <v>9.8217796124016248E-11</v>
      </c>
      <c r="ED105" s="22">
        <f t="shared" si="72"/>
        <v>0.76995888914910748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8.6999999999999993</v>
      </c>
      <c r="EJ105" s="12">
        <f>IF('Données projet'!$A$192&gt;35,EJ104+EI105-ER104,IF(A105&lt;'Données projet'!$A$192,$EG$205^A105,IF(A105='Données projet'!$A$192,'Données projet'!$B$192,EJ104+EI105-ER104)))</f>
        <v>379</v>
      </c>
      <c r="EK105" s="17">
        <f>EJ105*VLOOKUP('Données projet'!$B$15,Paramètres!$A$1:$I$89,3,0)*VLOOKUP('Données projet'!$B$15,Paramètres!$A$1:$I$89,5,0)</f>
        <v>177.37200000000001</v>
      </c>
      <c r="EL105" s="13">
        <f t="shared" si="99"/>
        <v>44.737005048641883</v>
      </c>
      <c r="EM105" s="20">
        <f t="shared" si="73"/>
        <v>386.83985045971798</v>
      </c>
      <c r="EN105" s="59">
        <f t="shared" si="74"/>
        <v>680.17318379305129</v>
      </c>
      <c r="EO105" s="59">
        <f ca="1">AVERAGE(OFFSET($EN$3,0,0,'Données projet'!$E$15+1,1))-AVERAGE(OFFSET($H$3,0,0,'Données projet'!$E$15+1,1))</f>
        <v>123.60520571614535</v>
      </c>
      <c r="EP105" s="59">
        <f t="shared" si="100"/>
        <v>119.00926870519527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0.20840537239145285</v>
      </c>
      <c r="EW105" s="21">
        <f>EXP(-LN(2)/25)*EW104+(1-EXP(-LN(2)/25))/(LN(2)/25)*Calculateur!ER105*Calculateur!ET105*VLOOKUP('Données projet'!$B$15,Paramètres!$A$1:$I$89,3,0)*0.475*44/12</f>
        <v>0.64888370866443734</v>
      </c>
      <c r="EX105" s="21">
        <f>EXP(-LN(2)/2)*EX104+(1-EXP(-LN(2)/2))/(LN(2)/2)*ER105*EU105*VLOOKUP('Données projet'!$B$15,Paramètres!$A$1:$I$89,3,0)*0.475*44/12</f>
        <v>8.8966196797010278E-11</v>
      </c>
      <c r="EY105" s="22">
        <f t="shared" si="75"/>
        <v>0.85728908114485636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-2.2737367544323206E-13</v>
      </c>
      <c r="FF105" s="17">
        <f>FE105*VLOOKUP('Données projet'!$B$16,Paramètres!$A$1:$I$89,3,0)*VLOOKUP('Données projet'!$B$16,Paramètres!$A$1:$I$89,5,0)</f>
        <v>-1.0936673788819462E-13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197.66963254934603</v>
      </c>
      <c r="FK105" s="59">
        <f t="shared" si="102"/>
        <v>158.08388141976138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0.6408966613787892</v>
      </c>
      <c r="FR105" s="21">
        <f>EXP(-LN(2)/25)*FR104+(1-EXP(-LN(2)/25))/(LN(2)/25)*Calculateur!FM105*Calculateur!FO105*VLOOKUP('Données projet'!$B$16,Paramètres!$A$1:$I$89,3,0)*0.475*44/12</f>
        <v>0.72177189082650928</v>
      </c>
      <c r="FS105" s="21">
        <f>EXP(-LN(2)/2)*FS104+(1-EXP(-LN(2)/2))/(LN(2)/2)*FM105*FP105*VLOOKUP('Données projet'!$B$16,Paramètres!$A$1:$I$89,3,0)*0.475*44/12</f>
        <v>1.204604162729156E-10</v>
      </c>
      <c r="FT105" s="22">
        <f t="shared" si="78"/>
        <v>1.3626685523257589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5.6843418860808015E-14</v>
      </c>
      <c r="GA105" s="17">
        <f>FZ105*VLOOKUP('Données projet'!$B$17,Paramètres!$A$1:$I$89,3,0)*VLOOKUP('Données projet'!$B$17,Paramètres!$A$1:$I$89,5,0)</f>
        <v>3.3992364478763198E-14</v>
      </c>
      <c r="GB105" s="13">
        <f t="shared" si="103"/>
        <v>5.790027782444094E-13</v>
      </c>
      <c r="GC105" s="20">
        <f t="shared" si="79"/>
        <v>1.0676332069095257E-12</v>
      </c>
      <c r="GD105" s="59">
        <f t="shared" si="80"/>
        <v>293.33333333333439</v>
      </c>
      <c r="GE105" s="59">
        <f ca="1">AVERAGE(OFFSET($GD$3,0,0,'Données projet'!$E$17+1,1))-AVERAGE(OFFSET($H$3,0,0,'Données projet'!$E$17+1,1))</f>
        <v>165.39579887388538</v>
      </c>
      <c r="GF105" s="59">
        <f t="shared" si="104"/>
        <v>155.89639262545802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0.99018460452679657</v>
      </c>
      <c r="GN105" s="21">
        <f>EXP(-LN(2)/2)*GN104+(1-EXP(-LN(2)/2))/(LN(2)/2)*GH105*GK105*VLOOKUP('Données projet'!$B$17,Paramètres!$A$1:$I$89,3,0)*0.475*44/12</f>
        <v>2.0198110338790796E-10</v>
      </c>
      <c r="GO105" s="21">
        <f t="shared" si="81"/>
        <v>0.99018460472877767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3.1</v>
      </c>
      <c r="GU105" s="12">
        <f>IF('Données projet'!$A$270&gt;35,GU104+GT105-HC104,IF(A105&lt;'Données projet'!$A$270,$GR$205^A105,IF(A105='Données projet'!$A$270,'Données projet'!$B$270,GU104+GT105-HC104)))</f>
        <v>208.19999999999996</v>
      </c>
      <c r="GV105" s="17">
        <f>GU105*VLOOKUP('Données projet'!$B$18,Paramètres!$A$1:$I$89,3,0)*VLOOKUP('Données projet'!$B$18,Paramètres!$A$1:$I$89,5,0)</f>
        <v>224.10647999999995</v>
      </c>
      <c r="GW105" s="13">
        <f t="shared" si="105"/>
        <v>55.006445935422541</v>
      </c>
      <c r="GX105" s="20">
        <f t="shared" si="82"/>
        <v>486.12167933752744</v>
      </c>
      <c r="GY105" s="59">
        <f t="shared" si="83"/>
        <v>779.4550126708607</v>
      </c>
      <c r="GZ105" s="59">
        <f ca="1">AVERAGE(OFFSET($GY$3,0,0,'Données projet'!$E$18+1,1))-AVERAGE(OFFSET($H$3,0,0,'Données projet'!$E$18+1,1))</f>
        <v>186.60545265015247</v>
      </c>
      <c r="HA105" s="59">
        <f t="shared" si="106"/>
        <v>69.239647548491234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0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0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3.4106051316484809E-13</v>
      </c>
      <c r="O106" s="13">
        <f>N106*VLOOKUP('Données projet'!$B$9,Paramètres!$A$1:$I$89,3,0)*VLOOKUP('Données projet'!$B$9,Paramètres!$A$1:$I$89,5,0)</f>
        <v>1.9065282685915009E-13</v>
      </c>
      <c r="P106" s="13">
        <f t="shared" si="87"/>
        <v>2.6568987209435707E-12</v>
      </c>
      <c r="Q106" s="20">
        <f t="shared" si="107"/>
        <v>4.959485612423072E-12</v>
      </c>
      <c r="R106" s="59">
        <f t="shared" si="55"/>
        <v>293.33333333333826</v>
      </c>
      <c r="S106" s="59">
        <f ca="1">AVERAGE(OFFSET($R$3,0,0,'Données projet'!$E$9+1,1))-AVERAGE(OFFSET($H$3,0,0,'Données projet'!$E$9+1,1))</f>
        <v>235.10258076192054</v>
      </c>
      <c r="T106" s="59">
        <f t="shared" si="88"/>
        <v>233.47316052603765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0.80708556058042158</v>
      </c>
      <c r="AA106" s="21">
        <f>EXP(-LN(2)/25)*AA105+(1-EXP(-LN(2)/25))/(LN(2)/25)*Calculateur!V106*Calculateur!X106*VLOOKUP('Données projet'!$B$9,Paramètres!$A$1:$I$89,3,0)*0.475*44/12</f>
        <v>2.4357507061815586</v>
      </c>
      <c r="AB106" s="21">
        <f>EXP(-LN(2)/2)*AB105+(1-EXP(-LN(2)/2))/(LN(2)/2)*V106*Y106*VLOOKUP('Données projet'!$B$9,Paramètres!$A$1:$I$89,3,0)*0.475*44/12</f>
        <v>2.4821038186833238E-10</v>
      </c>
      <c r="AC106" s="22">
        <f t="shared" si="57"/>
        <v>3.2428362670101905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2.2737367544323206E-13</v>
      </c>
      <c r="AJ106" s="13">
        <f>AI106*VLOOKUP('Données projet'!$B$10,Paramètres!$A$1:$I$89,3,0)*VLOOKUP('Données projet'!$B$10,Paramètres!$A$1:$I$89,5,0)</f>
        <v>1.2414602679200471E-13</v>
      </c>
      <c r="AK106" s="13">
        <f t="shared" si="89"/>
        <v>1.8186582995804361E-12</v>
      </c>
      <c r="AL106" s="20">
        <f t="shared" si="58"/>
        <v>3.3837175350986671E-12</v>
      </c>
      <c r="AM106" s="59">
        <f t="shared" si="59"/>
        <v>293.33333333333672</v>
      </c>
      <c r="AN106" s="59">
        <f ca="1">AVERAGE(OFFSET($AM$3,0,0,'Données projet'!$E$10+1,1))-AVERAGE(OFFSET($H$3,0,0,'Données projet'!$E$10+1,1))</f>
        <v>168.72306536277267</v>
      </c>
      <c r="AO106" s="59">
        <f t="shared" si="90"/>
        <v>203.35476578922339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0.71665102630819666</v>
      </c>
      <c r="AV106" s="21">
        <f>EXP(-LN(2)/25)*AV105+(1-EXP(-LN(2)/25))/(LN(2)/25)*Calculateur!AQ106*Calculateur!AS106*VLOOKUP('Données projet'!$B$10,Paramètres!$A$1:$I$89,3,0)*0.475*44/12</f>
        <v>3.0369478046530185</v>
      </c>
      <c r="AW106" s="21">
        <f>EXP(-LN(2)/2)*AW105+(1-EXP(-LN(2)/2))/(LN(2)/2)*AQ106*AT106*VLOOKUP('Données projet'!$B$10,Paramètres!$A$1:$I$89,3,0)*0.475*44/12</f>
        <v>2.0604053471351892E-10</v>
      </c>
      <c r="AX106" s="21">
        <f t="shared" si="60"/>
        <v>3.7535988311672557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5.6843418860808015E-14</v>
      </c>
      <c r="BE106" s="13">
        <f>BD106*VLOOKUP('Données projet'!$B$11,Paramètres!$A$1:$I$89,3,0)*VLOOKUP('Données projet'!$B$11,Paramètres!$A$1:$I$89,5,0)</f>
        <v>3.3992364478763198E-14</v>
      </c>
      <c r="BF106" s="13">
        <f t="shared" si="91"/>
        <v>5.790027782444094E-13</v>
      </c>
      <c r="BG106" s="20">
        <f t="shared" si="61"/>
        <v>1.0676332069095257E-12</v>
      </c>
      <c r="BH106" s="59">
        <f t="shared" si="62"/>
        <v>293.33333333333439</v>
      </c>
      <c r="BI106" s="59">
        <f ca="1">AVERAGE(OFFSET($BH$3,0,0,'Données projet'!$E$11+1,1))-AVERAGE(OFFSET($H$3,0,0,'Données projet'!$E$11+1,1))</f>
        <v>165.39579887388538</v>
      </c>
      <c r="BJ106" s="59">
        <f t="shared" si="92"/>
        <v>155.89639262545802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0.96310795444446606</v>
      </c>
      <c r="BR106" s="21">
        <f>EXP(-LN(2)/2)*BR105+(1-EXP(-LN(2)/2))/(LN(2)/2)*BL106*BO106*VLOOKUP('Données projet'!$B$11,Paramètres!$A$1:$I$89,3,0)*0.475*44/12</f>
        <v>1.4282220787713086E-10</v>
      </c>
      <c r="BS106" s="22">
        <f t="shared" si="63"/>
        <v>0.96310795458728826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3.1</v>
      </c>
      <c r="BY106" s="12">
        <f>IF('Données projet'!$A$114&gt;35,BY105+BX106-CG105,IF(A106&lt;'Données projet'!$A$114,$BV$205^A106,IF(A106='Données projet'!$A$114,'Données projet'!$B$114,BY105+BX106-CG105)))</f>
        <v>211.29999999999995</v>
      </c>
      <c r="BZ106" s="13">
        <f>BY106*VLOOKUP('Données projet'!$B$12,Paramètres!$A$1:$I$89,3,0)*VLOOKUP('Données projet'!$B$12,Paramètres!$A$1:$I$89,5,0)</f>
        <v>204.36935999999997</v>
      </c>
      <c r="CA106" s="13">
        <f t="shared" si="93"/>
        <v>50.703209672812427</v>
      </c>
      <c r="CB106" s="20">
        <f t="shared" si="64"/>
        <v>444.25139218014823</v>
      </c>
      <c r="CC106" s="59">
        <f t="shared" si="65"/>
        <v>737.58472551348154</v>
      </c>
      <c r="CD106" s="59">
        <f ca="1">AVERAGE(OFFSET($CC$3,0,0,'Données projet'!$E$12+1,1))-AVERAGE(OFFSET($H$3,0,0,'Données projet'!$E$12+1,1))</f>
        <v>156.26368818265388</v>
      </c>
      <c r="CE106" s="59">
        <f t="shared" si="94"/>
        <v>56.347130462109817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3.1</v>
      </c>
      <c r="CT106" s="12">
        <f>IF('Données projet'!$A$140&gt;35,CT105+CS106-DB105,IF(A106&lt;'Données projet'!$A$140,$CQ$205^A106,IF(A106='Données projet'!$A$140,'Données projet'!$B$140,CT105+CS106-DB105)))</f>
        <v>211.29999999999995</v>
      </c>
      <c r="CU106" s="17">
        <f>CT106*VLOOKUP('Données projet'!$B$13,Paramètres!$A$1:$I$89,3,0)*VLOOKUP('Données projet'!$B$13,Paramètres!$A$1:$I$89,5,0)</f>
        <v>171.40655999999996</v>
      </c>
      <c r="CV106" s="13">
        <f t="shared" si="95"/>
        <v>43.404895004227313</v>
      </c>
      <c r="CW106" s="20">
        <f t="shared" si="67"/>
        <v>374.12995079902913</v>
      </c>
      <c r="CX106" s="59">
        <f t="shared" si="68"/>
        <v>667.46328413236245</v>
      </c>
      <c r="CY106" s="59">
        <f ca="1">AVERAGE(OFFSET($CX$3,0,0,'Données projet'!$E$13+1,1))-AVERAGE(OFFSET($H$3,0,0,'Données projet'!$E$13+1,1))</f>
        <v>112.78807760743126</v>
      </c>
      <c r="CZ106" s="59">
        <f t="shared" si="96"/>
        <v>37.867745922003564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-8.5265128291212022E-14</v>
      </c>
      <c r="DP106" s="17">
        <f>DO106*VLOOKUP('Données projet'!$B$14,Paramètres!$A$1:$I$89,3,0)*VLOOKUP('Données projet'!$B$14,Paramètres!$A$1:$I$89,5,0)</f>
        <v>-5.7195848057745024E-14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107.15837202366862</v>
      </c>
      <c r="DU106" s="59">
        <f t="shared" si="98"/>
        <v>139.67031833740026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0.74890432273941487</v>
      </c>
      <c r="EC106" s="21">
        <f>EXP(-LN(2)/2)*EC105+(1-EXP(-LN(2)/2))/(LN(2)/2)*DW106*DZ106*VLOOKUP('Données projet'!$B$14,Paramètres!$A$1:$I$89,3,0)*0.475*44/12</f>
        <v>6.9450469672489691E-11</v>
      </c>
      <c r="ED106" s="22">
        <f t="shared" si="72"/>
        <v>0.74890432280886532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8.6999999999999993</v>
      </c>
      <c r="EJ106" s="12">
        <f>IF('Données projet'!$A$192&gt;35,EJ105+EI106-ER105,IF(A106&lt;'Données projet'!$A$192,$EG$205^A106,IF(A106='Données projet'!$A$192,'Données projet'!$B$192,EJ105+EI106-ER105)))</f>
        <v>387.7</v>
      </c>
      <c r="EK106" s="17">
        <f>EJ106*VLOOKUP('Données projet'!$B$15,Paramètres!$A$1:$I$89,3,0)*VLOOKUP('Données projet'!$B$15,Paramètres!$A$1:$I$89,5,0)</f>
        <v>181.4436</v>
      </c>
      <c r="EL106" s="13">
        <f t="shared" si="99"/>
        <v>45.64321110268957</v>
      </c>
      <c r="EM106" s="20">
        <f t="shared" si="73"/>
        <v>395.50952933718435</v>
      </c>
      <c r="EN106" s="59">
        <f t="shared" si="74"/>
        <v>688.84286267051766</v>
      </c>
      <c r="EO106" s="59">
        <f ca="1">AVERAGE(OFFSET($EN$3,0,0,'Données projet'!$E$15+1,1))-AVERAGE(OFFSET($H$3,0,0,'Données projet'!$E$15+1,1))</f>
        <v>123.60520571614535</v>
      </c>
      <c r="EP106" s="59">
        <f t="shared" si="100"/>
        <v>119.00926870519527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0.20431867015358207</v>
      </c>
      <c r="EW106" s="21">
        <f>EXP(-LN(2)/25)*EW105+(1-EXP(-LN(2)/25))/(LN(2)/25)*Calculateur!ER106*Calculateur!ET106*VLOOKUP('Données projet'!$B$15,Paramètres!$A$1:$I$89,3,0)*0.475*44/12</f>
        <v>0.63113994952769714</v>
      </c>
      <c r="EX106" s="21">
        <f>EXP(-LN(2)/2)*EX105+(1-EXP(-LN(2)/2))/(LN(2)/2)*ER106*EU106*VLOOKUP('Données projet'!$B$15,Paramètres!$A$1:$I$89,3,0)*0.475*44/12</f>
        <v>6.2908601051542871E-11</v>
      </c>
      <c r="EY106" s="22">
        <f t="shared" si="75"/>
        <v>0.83545861974418778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-2.2737367544323206E-13</v>
      </c>
      <c r="FF106" s="17">
        <f>FE106*VLOOKUP('Données projet'!$B$16,Paramètres!$A$1:$I$89,3,0)*VLOOKUP('Données projet'!$B$16,Paramètres!$A$1:$I$89,5,0)</f>
        <v>-1.0936673788819462E-13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197.66963254934603</v>
      </c>
      <c r="FK106" s="59">
        <f t="shared" si="102"/>
        <v>158.08388141976138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0.6283290687575156</v>
      </c>
      <c r="FR106" s="21">
        <f>EXP(-LN(2)/25)*FR105+(1-EXP(-LN(2)/25))/(LN(2)/25)*Calculateur!FM106*Calculateur!FO106*VLOOKUP('Données projet'!$B$16,Paramètres!$A$1:$I$89,3,0)*0.475*44/12</f>
        <v>0.70203500051552425</v>
      </c>
      <c r="FS106" s="21">
        <f>EXP(-LN(2)/2)*FS105+(1-EXP(-LN(2)/2))/(LN(2)/2)*FM106*FP106*VLOOKUP('Données projet'!$B$16,Paramètres!$A$1:$I$89,3,0)*0.475*44/12</f>
        <v>8.5178377211132963E-11</v>
      </c>
      <c r="FT106" s="22">
        <f t="shared" si="78"/>
        <v>1.3303640693582182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5.6843418860808015E-14</v>
      </c>
      <c r="GA106" s="17">
        <f>FZ106*VLOOKUP('Données projet'!$B$17,Paramètres!$A$1:$I$89,3,0)*VLOOKUP('Données projet'!$B$17,Paramètres!$A$1:$I$89,5,0)</f>
        <v>3.3992364478763198E-14</v>
      </c>
      <c r="GB106" s="13">
        <f t="shared" si="103"/>
        <v>5.790027782444094E-13</v>
      </c>
      <c r="GC106" s="20">
        <f t="shared" si="79"/>
        <v>1.0676332069095257E-12</v>
      </c>
      <c r="GD106" s="59">
        <f t="shared" si="80"/>
        <v>293.33333333333439</v>
      </c>
      <c r="GE106" s="59">
        <f ca="1">AVERAGE(OFFSET($GD$3,0,0,'Données projet'!$E$17+1,1))-AVERAGE(OFFSET($H$3,0,0,'Données projet'!$E$17+1,1))</f>
        <v>165.39579887388538</v>
      </c>
      <c r="GF106" s="59">
        <f t="shared" si="104"/>
        <v>155.89639262545802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0.96310795444446606</v>
      </c>
      <c r="GN106" s="21">
        <f>EXP(-LN(2)/2)*GN105+(1-EXP(-LN(2)/2))/(LN(2)/2)*GH106*GK106*VLOOKUP('Données projet'!$B$17,Paramètres!$A$1:$I$89,3,0)*0.475*44/12</f>
        <v>1.4282220787713086E-10</v>
      </c>
      <c r="GO106" s="21">
        <f t="shared" si="81"/>
        <v>0.96310795458728826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3.1</v>
      </c>
      <c r="GU106" s="12">
        <f>IF('Données projet'!$A$270&gt;35,GU105+GT106-HC105,IF(A106&lt;'Données projet'!$A$270,$GR$205^A106,IF(A106='Données projet'!$A$270,'Données projet'!$B$270,GU105+GT106-HC105)))</f>
        <v>211.29999999999995</v>
      </c>
      <c r="GV106" s="17">
        <f>GU106*VLOOKUP('Données projet'!$B$18,Paramètres!$A$1:$I$89,3,0)*VLOOKUP('Données projet'!$B$18,Paramètres!$A$1:$I$89,5,0)</f>
        <v>227.44331999999997</v>
      </c>
      <c r="GW106" s="13">
        <f t="shared" si="105"/>
        <v>55.729508408074345</v>
      </c>
      <c r="GX106" s="20">
        <f t="shared" si="82"/>
        <v>493.19267614406277</v>
      </c>
      <c r="GY106" s="59">
        <f t="shared" si="83"/>
        <v>786.52600947739609</v>
      </c>
      <c r="GZ106" s="59">
        <f ca="1">AVERAGE(OFFSET($GY$3,0,0,'Données projet'!$E$18+1,1))-AVERAGE(OFFSET($H$3,0,0,'Données projet'!$E$18+1,1))</f>
        <v>186.60545265015247</v>
      </c>
      <c r="HA106" s="59">
        <f t="shared" si="106"/>
        <v>69.239647548491234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0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0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3.4106051316484809E-13</v>
      </c>
      <c r="O107" s="13">
        <f>N107*VLOOKUP('Données projet'!$B$9,Paramètres!$A$1:$I$89,3,0)*VLOOKUP('Données projet'!$B$9,Paramètres!$A$1:$I$89,5,0)</f>
        <v>1.9065282685915009E-13</v>
      </c>
      <c r="P107" s="13">
        <f t="shared" si="87"/>
        <v>2.6568987209435707E-12</v>
      </c>
      <c r="Q107" s="20">
        <f t="shared" si="107"/>
        <v>4.959485612423072E-12</v>
      </c>
      <c r="R107" s="59">
        <f t="shared" si="55"/>
        <v>293.33333333333826</v>
      </c>
      <c r="S107" s="59">
        <f ca="1">AVERAGE(OFFSET($R$3,0,0,'Données projet'!$E$9+1,1))-AVERAGE(OFFSET($H$3,0,0,'Données projet'!$E$9+1,1))</f>
        <v>235.10258076192054</v>
      </c>
      <c r="T107" s="59">
        <f t="shared" si="88"/>
        <v>233.47316052603765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0.79125910501102348</v>
      </c>
      <c r="AA107" s="21">
        <f>EXP(-LN(2)/25)*AA106+(1-EXP(-LN(2)/25))/(LN(2)/25)*Calculateur!V107*Calculateur!X107*VLOOKUP('Données projet'!$B$9,Paramètres!$A$1:$I$89,3,0)*0.475*44/12</f>
        <v>2.3691449750304612</v>
      </c>
      <c r="AB107" s="21">
        <f>EXP(-LN(2)/2)*AB106+(1-EXP(-LN(2)/2))/(LN(2)/2)*V107*Y107*VLOOKUP('Données projet'!$B$9,Paramètres!$A$1:$I$89,3,0)*0.475*44/12</f>
        <v>1.7551124418000031E-10</v>
      </c>
      <c r="AC107" s="22">
        <f t="shared" si="57"/>
        <v>3.1604040802169959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2.2737367544323206E-13</v>
      </c>
      <c r="AJ107" s="13">
        <f>AI107*VLOOKUP('Données projet'!$B$10,Paramètres!$A$1:$I$89,3,0)*VLOOKUP('Données projet'!$B$10,Paramètres!$A$1:$I$89,5,0)</f>
        <v>1.2414602679200471E-13</v>
      </c>
      <c r="AK107" s="13">
        <f t="shared" si="89"/>
        <v>1.8186582995804361E-12</v>
      </c>
      <c r="AL107" s="20">
        <f t="shared" si="58"/>
        <v>3.3837175350986671E-12</v>
      </c>
      <c r="AM107" s="59">
        <f t="shared" si="59"/>
        <v>293.33333333333672</v>
      </c>
      <c r="AN107" s="59">
        <f ca="1">AVERAGE(OFFSET($AM$3,0,0,'Données projet'!$E$10+1,1))-AVERAGE(OFFSET($H$3,0,0,'Données projet'!$E$10+1,1))</f>
        <v>168.72306536277267</v>
      </c>
      <c r="AO107" s="59">
        <f t="shared" si="90"/>
        <v>203.35476578922339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0.70259793679625759</v>
      </c>
      <c r="AV107" s="21">
        <f>EXP(-LN(2)/25)*AV106+(1-EXP(-LN(2)/25))/(LN(2)/25)*Calculateur!AQ107*Calculateur!AS107*VLOOKUP('Données projet'!$B$10,Paramètres!$A$1:$I$89,3,0)*0.475*44/12</f>
        <v>2.9539023072286379</v>
      </c>
      <c r="AW107" s="21">
        <f>EXP(-LN(2)/2)*AW106+(1-EXP(-LN(2)/2))/(LN(2)/2)*AQ107*AT107*VLOOKUP('Données projet'!$B$10,Paramètres!$A$1:$I$89,3,0)*0.475*44/12</f>
        <v>1.4569265929523147E-10</v>
      </c>
      <c r="AX107" s="21">
        <f t="shared" si="60"/>
        <v>3.6565002441705885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5.6843418860808015E-14</v>
      </c>
      <c r="BE107" s="13">
        <f>BD107*VLOOKUP('Données projet'!$B$11,Paramètres!$A$1:$I$89,3,0)*VLOOKUP('Données projet'!$B$11,Paramètres!$A$1:$I$89,5,0)</f>
        <v>3.3992364478763198E-14</v>
      </c>
      <c r="BF107" s="13">
        <f t="shared" si="91"/>
        <v>5.790027782444094E-13</v>
      </c>
      <c r="BG107" s="20">
        <f t="shared" si="61"/>
        <v>1.0676332069095257E-12</v>
      </c>
      <c r="BH107" s="59">
        <f t="shared" si="62"/>
        <v>293.33333333333439</v>
      </c>
      <c r="BI107" s="59">
        <f ca="1">AVERAGE(OFFSET($BH$3,0,0,'Données projet'!$E$11+1,1))-AVERAGE(OFFSET($H$3,0,0,'Données projet'!$E$11+1,1))</f>
        <v>165.39579887388538</v>
      </c>
      <c r="BJ107" s="59">
        <f t="shared" si="92"/>
        <v>155.89639262545802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0.93677171678253601</v>
      </c>
      <c r="BR107" s="21">
        <f>EXP(-LN(2)/2)*BR106+(1-EXP(-LN(2)/2))/(LN(2)/2)*BL107*BO107*VLOOKUP('Données projet'!$B$11,Paramètres!$A$1:$I$89,3,0)*0.475*44/12</f>
        <v>1.0099055169395398E-10</v>
      </c>
      <c r="BS107" s="22">
        <f t="shared" si="63"/>
        <v>0.93677171688352656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3.1</v>
      </c>
      <c r="BY107" s="12">
        <f>IF('Données projet'!$A$114&gt;35,BY106+BX107-CG106,IF(A107&lt;'Données projet'!$A$114,$BV$205^A107,IF(A107='Données projet'!$A$114,'Données projet'!$B$114,BY106+BX107-CG106)))</f>
        <v>214.39999999999995</v>
      </c>
      <c r="BZ107" s="13">
        <f>BY107*VLOOKUP('Données projet'!$B$12,Paramètres!$A$1:$I$89,3,0)*VLOOKUP('Données projet'!$B$12,Paramètres!$A$1:$I$89,5,0)</f>
        <v>207.36767999999995</v>
      </c>
      <c r="CA107" s="13">
        <f t="shared" si="93"/>
        <v>51.359935934080831</v>
      </c>
      <c r="CB107" s="20">
        <f t="shared" si="64"/>
        <v>450.61726441852403</v>
      </c>
      <c r="CC107" s="59">
        <f t="shared" si="65"/>
        <v>743.95059775185734</v>
      </c>
      <c r="CD107" s="59">
        <f ca="1">AVERAGE(OFFSET($CC$3,0,0,'Données projet'!$E$12+1,1))-AVERAGE(OFFSET($H$3,0,0,'Données projet'!$E$12+1,1))</f>
        <v>156.26368818265388</v>
      </c>
      <c r="CE107" s="59">
        <f t="shared" si="94"/>
        <v>56.347130462109817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3.1</v>
      </c>
      <c r="CT107" s="12">
        <f>IF('Données projet'!$A$140&gt;35,CT106+CS107-DB106,IF(A107&lt;'Données projet'!$A$140,$CQ$205^A107,IF(A107='Données projet'!$A$140,'Données projet'!$B$140,CT106+CS107-DB106)))</f>
        <v>214.39999999999995</v>
      </c>
      <c r="CU107" s="17">
        <f>CT107*VLOOKUP('Données projet'!$B$13,Paramètres!$A$1:$I$89,3,0)*VLOOKUP('Données projet'!$B$13,Paramètres!$A$1:$I$89,5,0)</f>
        <v>173.92127999999997</v>
      </c>
      <c r="CV107" s="13">
        <f t="shared" si="95"/>
        <v>43.967090861270989</v>
      </c>
      <c r="CW107" s="20">
        <f t="shared" si="67"/>
        <v>379.48891258338023</v>
      </c>
      <c r="CX107" s="59">
        <f t="shared" si="68"/>
        <v>672.82224591671354</v>
      </c>
      <c r="CY107" s="59">
        <f ca="1">AVERAGE(OFFSET($CX$3,0,0,'Données projet'!$E$13+1,1))-AVERAGE(OFFSET($H$3,0,0,'Données projet'!$E$13+1,1))</f>
        <v>112.78807760743126</v>
      </c>
      <c r="CZ107" s="59">
        <f t="shared" si="96"/>
        <v>37.867745922003564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-8.5265128291212022E-14</v>
      </c>
      <c r="DP107" s="17">
        <f>DO107*VLOOKUP('Données projet'!$B$14,Paramètres!$A$1:$I$89,3,0)*VLOOKUP('Données projet'!$B$14,Paramètres!$A$1:$I$89,5,0)</f>
        <v>-5.7195848057745024E-14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107.15837202366862</v>
      </c>
      <c r="DU107" s="59">
        <f t="shared" si="98"/>
        <v>139.67031833740026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0.72842549465093887</v>
      </c>
      <c r="EC107" s="21">
        <f>EXP(-LN(2)/2)*EC106+(1-EXP(-LN(2)/2))/(LN(2)/2)*DW107*DZ107*VLOOKUP('Données projet'!$B$14,Paramètres!$A$1:$I$89,3,0)*0.475*44/12</f>
        <v>4.9108898062008124E-11</v>
      </c>
      <c r="ED107" s="22">
        <f t="shared" si="72"/>
        <v>0.7284254947000478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8.6999999999999993</v>
      </c>
      <c r="EJ107" s="12">
        <f>IF('Données projet'!$A$192&gt;35,EJ106+EI107-ER106,IF(A107&lt;'Données projet'!$A$192,$EG$205^A107,IF(A107='Données projet'!$A$192,'Données projet'!$B$192,EJ106+EI107-ER106)))</f>
        <v>396.4</v>
      </c>
      <c r="EK107" s="17">
        <f>EJ107*VLOOKUP('Données projet'!$B$15,Paramètres!$A$1:$I$89,3,0)*VLOOKUP('Données projet'!$B$15,Paramètres!$A$1:$I$89,5,0)</f>
        <v>185.51519999999999</v>
      </c>
      <c r="EL107" s="13">
        <f t="shared" si="99"/>
        <v>46.547053007719569</v>
      </c>
      <c r="EM107" s="20">
        <f t="shared" si="73"/>
        <v>404.17509065511155</v>
      </c>
      <c r="EN107" s="59">
        <f t="shared" si="74"/>
        <v>697.50842398844486</v>
      </c>
      <c r="EO107" s="59">
        <f ca="1">AVERAGE(OFFSET($EN$3,0,0,'Données projet'!$E$15+1,1))-AVERAGE(OFFSET($H$3,0,0,'Données projet'!$E$15+1,1))</f>
        <v>123.60520571614535</v>
      </c>
      <c r="EP107" s="59">
        <f t="shared" si="100"/>
        <v>119.00926870519527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0.20031210565395371</v>
      </c>
      <c r="EW107" s="21">
        <f>EXP(-LN(2)/25)*EW106+(1-EXP(-LN(2)/25))/(LN(2)/25)*Calculateur!ER107*Calculateur!ET107*VLOOKUP('Données projet'!$B$15,Paramètres!$A$1:$I$89,3,0)*0.475*44/12</f>
        <v>0.61388139441765477</v>
      </c>
      <c r="EX107" s="21">
        <f>EXP(-LN(2)/2)*EX106+(1-EXP(-LN(2)/2))/(LN(2)/2)*ER107*EU107*VLOOKUP('Données projet'!$B$15,Paramètres!$A$1:$I$89,3,0)*0.475*44/12</f>
        <v>4.4483098398505139E-11</v>
      </c>
      <c r="EY107" s="22">
        <f t="shared" si="75"/>
        <v>0.8141935001160916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-2.2737367544323206E-13</v>
      </c>
      <c r="FF107" s="17">
        <f>FE107*VLOOKUP('Données projet'!$B$16,Paramètres!$A$1:$I$89,3,0)*VLOOKUP('Données projet'!$B$16,Paramètres!$A$1:$I$89,5,0)</f>
        <v>-1.0936673788819462E-13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197.66963254934603</v>
      </c>
      <c r="FK107" s="59">
        <f t="shared" si="102"/>
        <v>158.08388141976138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0.61600791896207052</v>
      </c>
      <c r="FR107" s="21">
        <f>EXP(-LN(2)/25)*FR106+(1-EXP(-LN(2)/25))/(LN(2)/25)*Calculateur!FM107*Calculateur!FO107*VLOOKUP('Données projet'!$B$16,Paramètres!$A$1:$I$89,3,0)*0.475*44/12</f>
        <v>0.68283781650801112</v>
      </c>
      <c r="FS107" s="21">
        <f>EXP(-LN(2)/2)*FS106+(1-EXP(-LN(2)/2))/(LN(2)/2)*FM107*FP107*VLOOKUP('Données projet'!$B$16,Paramètres!$A$1:$I$89,3,0)*0.475*44/12</f>
        <v>6.02302081364578E-11</v>
      </c>
      <c r="FT107" s="22">
        <f t="shared" si="78"/>
        <v>1.298845735530312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5.6843418860808015E-14</v>
      </c>
      <c r="GA107" s="17">
        <f>FZ107*VLOOKUP('Données projet'!$B$17,Paramètres!$A$1:$I$89,3,0)*VLOOKUP('Données projet'!$B$17,Paramètres!$A$1:$I$89,5,0)</f>
        <v>3.3992364478763198E-14</v>
      </c>
      <c r="GB107" s="13">
        <f t="shared" si="103"/>
        <v>5.790027782444094E-13</v>
      </c>
      <c r="GC107" s="20">
        <f t="shared" si="79"/>
        <v>1.0676332069095257E-12</v>
      </c>
      <c r="GD107" s="59">
        <f t="shared" si="80"/>
        <v>293.33333333333439</v>
      </c>
      <c r="GE107" s="59">
        <f ca="1">AVERAGE(OFFSET($GD$3,0,0,'Données projet'!$E$17+1,1))-AVERAGE(OFFSET($H$3,0,0,'Données projet'!$E$17+1,1))</f>
        <v>165.39579887388538</v>
      </c>
      <c r="GF107" s="59">
        <f t="shared" si="104"/>
        <v>155.89639262545802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0.93677171678253601</v>
      </c>
      <c r="GN107" s="21">
        <f>EXP(-LN(2)/2)*GN106+(1-EXP(-LN(2)/2))/(LN(2)/2)*GH107*GK107*VLOOKUP('Données projet'!$B$17,Paramètres!$A$1:$I$89,3,0)*0.475*44/12</f>
        <v>1.0099055169395398E-10</v>
      </c>
      <c r="GO107" s="21">
        <f t="shared" si="81"/>
        <v>0.93677171688352656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3.1</v>
      </c>
      <c r="GU107" s="12">
        <f>IF('Données projet'!$A$270&gt;35,GU106+GT107-HC106,IF(A107&lt;'Données projet'!$A$270,$GR$205^A107,IF(A107='Données projet'!$A$270,'Données projet'!$B$270,GU106+GT107-HC106)))</f>
        <v>214.39999999999995</v>
      </c>
      <c r="GV107" s="17">
        <f>GU107*VLOOKUP('Données projet'!$B$18,Paramètres!$A$1:$I$89,3,0)*VLOOKUP('Données projet'!$B$18,Paramètres!$A$1:$I$89,5,0)</f>
        <v>230.78015999999994</v>
      </c>
      <c r="GW107" s="13">
        <f t="shared" si="105"/>
        <v>56.451337103640839</v>
      </c>
      <c r="GX107" s="20">
        <f t="shared" si="82"/>
        <v>500.26152412217442</v>
      </c>
      <c r="GY107" s="59">
        <f t="shared" si="83"/>
        <v>793.59485745550774</v>
      </c>
      <c r="GZ107" s="59">
        <f ca="1">AVERAGE(OFFSET($GY$3,0,0,'Données projet'!$E$18+1,1))-AVERAGE(OFFSET($H$3,0,0,'Données projet'!$E$18+1,1))</f>
        <v>186.60545265015247</v>
      </c>
      <c r="HA107" s="59">
        <f t="shared" si="106"/>
        <v>69.239647548491234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0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0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3.4106051316484809E-13</v>
      </c>
      <c r="O108" s="13">
        <f>N108*VLOOKUP('Données projet'!$B$9,Paramètres!$A$1:$I$89,3,0)*VLOOKUP('Données projet'!$B$9,Paramètres!$A$1:$I$89,5,0)</f>
        <v>1.9065282685915009E-13</v>
      </c>
      <c r="P108" s="13">
        <f t="shared" si="87"/>
        <v>2.6568987209435707E-12</v>
      </c>
      <c r="Q108" s="20">
        <f t="shared" si="107"/>
        <v>4.959485612423072E-12</v>
      </c>
      <c r="R108" s="59">
        <f t="shared" si="55"/>
        <v>293.33333333333826</v>
      </c>
      <c r="S108" s="59">
        <f ca="1">AVERAGE(OFFSET($R$3,0,0,'Données projet'!$E$9+1,1))-AVERAGE(OFFSET($H$3,0,0,'Données projet'!$E$9+1,1))</f>
        <v>235.10258076192054</v>
      </c>
      <c r="T108" s="59">
        <f t="shared" si="88"/>
        <v>233.47316052603765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0.77574299658215651</v>
      </c>
      <c r="AA108" s="21">
        <f>EXP(-LN(2)/25)*AA107+(1-EXP(-LN(2)/25))/(LN(2)/25)*Calculateur!V108*Calculateur!X108*VLOOKUP('Données projet'!$B$9,Paramètres!$A$1:$I$89,3,0)*0.475*44/12</f>
        <v>2.3043605811003336</v>
      </c>
      <c r="AB108" s="21">
        <f>EXP(-LN(2)/2)*AB107+(1-EXP(-LN(2)/2))/(LN(2)/2)*V108*Y108*VLOOKUP('Données projet'!$B$9,Paramètres!$A$1:$I$89,3,0)*0.475*44/12</f>
        <v>1.2410519093416619E-10</v>
      </c>
      <c r="AC108" s="22">
        <f t="shared" si="57"/>
        <v>3.0801035778065953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2.2737367544323206E-13</v>
      </c>
      <c r="AJ108" s="13">
        <f>AI108*VLOOKUP('Données projet'!$B$10,Paramètres!$A$1:$I$89,3,0)*VLOOKUP('Données projet'!$B$10,Paramètres!$A$1:$I$89,5,0)</f>
        <v>1.2414602679200471E-13</v>
      </c>
      <c r="AK108" s="13">
        <f t="shared" si="89"/>
        <v>1.8186582995804361E-12</v>
      </c>
      <c r="AL108" s="20">
        <f t="shared" si="58"/>
        <v>3.3837175350986671E-12</v>
      </c>
      <c r="AM108" s="59">
        <f t="shared" si="59"/>
        <v>293.33333333333672</v>
      </c>
      <c r="AN108" s="59">
        <f ca="1">AVERAGE(OFFSET($AM$3,0,0,'Données projet'!$E$10+1,1))-AVERAGE(OFFSET($H$3,0,0,'Données projet'!$E$10+1,1))</f>
        <v>168.72306536277267</v>
      </c>
      <c r="AO108" s="59">
        <f t="shared" si="90"/>
        <v>203.35476578922339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0.68882041979810937</v>
      </c>
      <c r="AV108" s="21">
        <f>EXP(-LN(2)/25)*AV107+(1-EXP(-LN(2)/25))/(LN(2)/25)*Calculateur!AQ108*Calculateur!AS108*VLOOKUP('Données projet'!$B$10,Paramètres!$A$1:$I$89,3,0)*0.475*44/12</f>
        <v>2.8731276932984997</v>
      </c>
      <c r="AW108" s="21">
        <f>EXP(-LN(2)/2)*AW107+(1-EXP(-LN(2)/2))/(LN(2)/2)*AQ108*AT108*VLOOKUP('Données projet'!$B$10,Paramètres!$A$1:$I$89,3,0)*0.475*44/12</f>
        <v>1.0302026735675946E-10</v>
      </c>
      <c r="AX108" s="21">
        <f t="shared" si="60"/>
        <v>3.5619481131996293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5.6843418860808015E-14</v>
      </c>
      <c r="BE108" s="13">
        <f>BD108*VLOOKUP('Données projet'!$B$11,Paramètres!$A$1:$I$89,3,0)*VLOOKUP('Données projet'!$B$11,Paramètres!$A$1:$I$89,5,0)</f>
        <v>3.3992364478763198E-14</v>
      </c>
      <c r="BF108" s="13">
        <f t="shared" si="91"/>
        <v>5.790027782444094E-13</v>
      </c>
      <c r="BG108" s="20">
        <f t="shared" si="61"/>
        <v>1.0676332069095257E-12</v>
      </c>
      <c r="BH108" s="59">
        <f t="shared" si="62"/>
        <v>293.33333333333439</v>
      </c>
      <c r="BI108" s="59">
        <f ca="1">AVERAGE(OFFSET($BH$3,0,0,'Données projet'!$E$11+1,1))-AVERAGE(OFFSET($H$3,0,0,'Données projet'!$E$11+1,1))</f>
        <v>165.39579887388538</v>
      </c>
      <c r="BJ108" s="59">
        <f t="shared" si="92"/>
        <v>155.89639262545802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0.91115564492443402</v>
      </c>
      <c r="BR108" s="21">
        <f>EXP(-LN(2)/2)*BR107+(1-EXP(-LN(2)/2))/(LN(2)/2)*BL108*BO108*VLOOKUP('Données projet'!$B$11,Paramètres!$A$1:$I$89,3,0)*0.475*44/12</f>
        <v>7.1411103938565431E-11</v>
      </c>
      <c r="BS108" s="22">
        <f t="shared" si="63"/>
        <v>0.91115564499584512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3.1</v>
      </c>
      <c r="BY108" s="12">
        <f>IF('Données projet'!$A$114&gt;35,BY107+BX108-CG107,IF(A108&lt;'Données projet'!$A$114,$BV$205^A108,IF(A108='Données projet'!$A$114,'Données projet'!$B$114,BY107+BX108-CG107)))</f>
        <v>217.49999999999994</v>
      </c>
      <c r="BZ108" s="13">
        <f>BY108*VLOOKUP('Données projet'!$B$12,Paramètres!$A$1:$I$89,3,0)*VLOOKUP('Données projet'!$B$12,Paramètres!$A$1:$I$89,5,0)</f>
        <v>210.36599999999996</v>
      </c>
      <c r="CA108" s="13">
        <f t="shared" si="93"/>
        <v>52.01555779924837</v>
      </c>
      <c r="CB108" s="20">
        <f t="shared" si="64"/>
        <v>456.98121316702412</v>
      </c>
      <c r="CC108" s="59">
        <f t="shared" si="65"/>
        <v>750.31454650035744</v>
      </c>
      <c r="CD108" s="59">
        <f ca="1">AVERAGE(OFFSET($CC$3,0,0,'Données projet'!$E$12+1,1))-AVERAGE(OFFSET($H$3,0,0,'Données projet'!$E$12+1,1))</f>
        <v>156.26368818265388</v>
      </c>
      <c r="CE108" s="59">
        <f t="shared" si="94"/>
        <v>56.347130462109817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3.1</v>
      </c>
      <c r="CT108" s="12">
        <f>IF('Données projet'!$A$140&gt;35,CT107+CS108-DB107,IF(A108&lt;'Données projet'!$A$140,$CQ$205^A108,IF(A108='Données projet'!$A$140,'Données projet'!$B$140,CT107+CS108-DB107)))</f>
        <v>217.49999999999994</v>
      </c>
      <c r="CU108" s="17">
        <f>CT108*VLOOKUP('Données projet'!$B$13,Paramètres!$A$1:$I$89,3,0)*VLOOKUP('Données projet'!$B$13,Paramètres!$A$1:$I$89,5,0)</f>
        <v>176.43599999999998</v>
      </c>
      <c r="CV108" s="13">
        <f t="shared" si="95"/>
        <v>44.52834129105058</v>
      </c>
      <c r="CW108" s="20">
        <f t="shared" si="67"/>
        <v>384.84622774857968</v>
      </c>
      <c r="CX108" s="59">
        <f t="shared" si="68"/>
        <v>678.17956108191299</v>
      </c>
      <c r="CY108" s="59">
        <f ca="1">AVERAGE(OFFSET($CX$3,0,0,'Données projet'!$E$13+1,1))-AVERAGE(OFFSET($H$3,0,0,'Données projet'!$E$13+1,1))</f>
        <v>112.78807760743126</v>
      </c>
      <c r="CZ108" s="59">
        <f t="shared" si="96"/>
        <v>37.867745922003564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-8.5265128291212022E-14</v>
      </c>
      <c r="DP108" s="17">
        <f>DO108*VLOOKUP('Données projet'!$B$14,Paramètres!$A$1:$I$89,3,0)*VLOOKUP('Données projet'!$B$14,Paramètres!$A$1:$I$89,5,0)</f>
        <v>-5.7195848057745024E-14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107.15837202366862</v>
      </c>
      <c r="DU108" s="59">
        <f t="shared" si="98"/>
        <v>139.67031833740026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0.70850666119347705</v>
      </c>
      <c r="EC108" s="21">
        <f>EXP(-LN(2)/2)*EC107+(1-EXP(-LN(2)/2))/(LN(2)/2)*DW108*DZ108*VLOOKUP('Données projet'!$B$14,Paramètres!$A$1:$I$89,3,0)*0.475*44/12</f>
        <v>3.4725234836244846E-11</v>
      </c>
      <c r="ED108" s="22">
        <f t="shared" si="72"/>
        <v>0.70850666122820227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8.6999999999999993</v>
      </c>
      <c r="EJ108" s="12">
        <f>IF('Données projet'!$A$192&gt;35,EJ107+EI108-ER107,IF(A108&lt;'Données projet'!$A$192,$EG$205^A108,IF(A108='Données projet'!$A$192,'Données projet'!$B$192,EJ107+EI108-ER107)))</f>
        <v>405.09999999999997</v>
      </c>
      <c r="EK108" s="17">
        <f>EJ108*VLOOKUP('Données projet'!$B$15,Paramètres!$A$1:$I$89,3,0)*VLOOKUP('Données projet'!$B$15,Paramètres!$A$1:$I$89,5,0)</f>
        <v>189.58679999999998</v>
      </c>
      <c r="EL108" s="13">
        <f t="shared" si="99"/>
        <v>47.448588626085396</v>
      </c>
      <c r="EM108" s="20">
        <f t="shared" si="73"/>
        <v>412.83663519043193</v>
      </c>
      <c r="EN108" s="59">
        <f t="shared" si="74"/>
        <v>706.16996852376519</v>
      </c>
      <c r="EO108" s="59">
        <f ca="1">AVERAGE(OFFSET($EN$3,0,0,'Données projet'!$E$15+1,1))-AVERAGE(OFFSET($H$3,0,0,'Données projet'!$E$15+1,1))</f>
        <v>123.60520571614535</v>
      </c>
      <c r="EP108" s="59">
        <f t="shared" si="100"/>
        <v>119.00926870519527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0.19638410744040002</v>
      </c>
      <c r="EW108" s="21">
        <f>EXP(-LN(2)/25)*EW107+(1-EXP(-LN(2)/25))/(LN(2)/25)*Calculateur!ER108*Calculateur!ET108*VLOOKUP('Données projet'!$B$15,Paramètres!$A$1:$I$89,3,0)*0.475*44/12</f>
        <v>0.59709477540468447</v>
      </c>
      <c r="EX108" s="21">
        <f>EXP(-LN(2)/2)*EX107+(1-EXP(-LN(2)/2))/(LN(2)/2)*ER108*EU108*VLOOKUP('Données projet'!$B$15,Paramètres!$A$1:$I$89,3,0)*0.475*44/12</f>
        <v>3.1454300525771435E-11</v>
      </c>
      <c r="EY108" s="22">
        <f t="shared" si="75"/>
        <v>0.79347888287653878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-2.2737367544323206E-13</v>
      </c>
      <c r="FF108" s="17">
        <f>FE108*VLOOKUP('Données projet'!$B$16,Paramètres!$A$1:$I$89,3,0)*VLOOKUP('Données projet'!$B$16,Paramètres!$A$1:$I$89,5,0)</f>
        <v>-1.0936673788819462E-13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197.66963254934603</v>
      </c>
      <c r="FK108" s="59">
        <f t="shared" si="102"/>
        <v>158.08388141976138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0.60392837939895483</v>
      </c>
      <c r="FR108" s="21">
        <f>EXP(-LN(2)/25)*FR107+(1-EXP(-LN(2)/25))/(LN(2)/25)*Calculateur!FM108*Calculateur!FO108*VLOOKUP('Données projet'!$B$16,Paramètres!$A$1:$I$89,3,0)*0.475*44/12</f>
        <v>0.66416558050671948</v>
      </c>
      <c r="FS108" s="21">
        <f>EXP(-LN(2)/2)*FS107+(1-EXP(-LN(2)/2))/(LN(2)/2)*FM108*FP108*VLOOKUP('Données projet'!$B$16,Paramètres!$A$1:$I$89,3,0)*0.475*44/12</f>
        <v>4.2589188605566481E-11</v>
      </c>
      <c r="FT108" s="22">
        <f t="shared" si="78"/>
        <v>1.2680939599482637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5.6843418860808015E-14</v>
      </c>
      <c r="GA108" s="17">
        <f>FZ108*VLOOKUP('Données projet'!$B$17,Paramètres!$A$1:$I$89,3,0)*VLOOKUP('Données projet'!$B$17,Paramètres!$A$1:$I$89,5,0)</f>
        <v>3.3992364478763198E-14</v>
      </c>
      <c r="GB108" s="13">
        <f t="shared" si="103"/>
        <v>5.790027782444094E-13</v>
      </c>
      <c r="GC108" s="20">
        <f t="shared" si="79"/>
        <v>1.0676332069095257E-12</v>
      </c>
      <c r="GD108" s="59">
        <f t="shared" si="80"/>
        <v>293.33333333333439</v>
      </c>
      <c r="GE108" s="59">
        <f ca="1">AVERAGE(OFFSET($GD$3,0,0,'Données projet'!$E$17+1,1))-AVERAGE(OFFSET($H$3,0,0,'Données projet'!$E$17+1,1))</f>
        <v>165.39579887388538</v>
      </c>
      <c r="GF108" s="59">
        <f t="shared" si="104"/>
        <v>155.89639262545802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0.91115564492443402</v>
      </c>
      <c r="GN108" s="21">
        <f>EXP(-LN(2)/2)*GN107+(1-EXP(-LN(2)/2))/(LN(2)/2)*GH108*GK108*VLOOKUP('Données projet'!$B$17,Paramètres!$A$1:$I$89,3,0)*0.475*44/12</f>
        <v>7.1411103938565431E-11</v>
      </c>
      <c r="GO108" s="21">
        <f t="shared" si="81"/>
        <v>0.91115564499584512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3.1</v>
      </c>
      <c r="GU108" s="12">
        <f>IF('Données projet'!$A$270&gt;35,GU107+GT108-HC107,IF(A108&lt;'Données projet'!$A$270,$GR$205^A108,IF(A108='Données projet'!$A$270,'Données projet'!$B$270,GU107+GT108-HC107)))</f>
        <v>217.49999999999994</v>
      </c>
      <c r="GV108" s="17">
        <f>GU108*VLOOKUP('Données projet'!$B$18,Paramètres!$A$1:$I$89,3,0)*VLOOKUP('Données projet'!$B$18,Paramètres!$A$1:$I$89,5,0)</f>
        <v>234.11699999999993</v>
      </c>
      <c r="GW108" s="13">
        <f t="shared" si="105"/>
        <v>57.171951922370177</v>
      </c>
      <c r="GX108" s="20">
        <f t="shared" si="82"/>
        <v>507.32825793146134</v>
      </c>
      <c r="GY108" s="59">
        <f t="shared" si="83"/>
        <v>800.66159126479465</v>
      </c>
      <c r="GZ108" s="59">
        <f ca="1">AVERAGE(OFFSET($GY$3,0,0,'Données projet'!$E$18+1,1))-AVERAGE(OFFSET($H$3,0,0,'Données projet'!$E$18+1,1))</f>
        <v>186.60545265015247</v>
      </c>
      <c r="HA108" s="59">
        <f t="shared" si="106"/>
        <v>69.239647548491234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0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0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3.4106051316484809E-13</v>
      </c>
      <c r="O109" s="13">
        <f>N109*VLOOKUP('Données projet'!$B$9,Paramètres!$A$1:$I$89,3,0)*VLOOKUP('Données projet'!$B$9,Paramètres!$A$1:$I$89,5,0)</f>
        <v>1.9065282685915009E-13</v>
      </c>
      <c r="P109" s="13">
        <f t="shared" si="87"/>
        <v>2.6568987209435707E-12</v>
      </c>
      <c r="Q109" s="20">
        <f t="shared" si="107"/>
        <v>4.959485612423072E-12</v>
      </c>
      <c r="R109" s="59">
        <f t="shared" si="55"/>
        <v>293.33333333333826</v>
      </c>
      <c r="S109" s="59">
        <f ca="1">AVERAGE(OFFSET($R$3,0,0,'Données projet'!$E$9+1,1))-AVERAGE(OFFSET($H$3,0,0,'Données projet'!$E$9+1,1))</f>
        <v>235.10258076192054</v>
      </c>
      <c r="T109" s="59">
        <f t="shared" si="88"/>
        <v>233.47316052603765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0.76053114957568801</v>
      </c>
      <c r="AA109" s="21">
        <f>EXP(-LN(2)/25)*AA108+(1-EXP(-LN(2)/25))/(LN(2)/25)*Calculateur!V109*Calculateur!X109*VLOOKUP('Données projet'!$B$9,Paramètres!$A$1:$I$89,3,0)*0.475*44/12</f>
        <v>2.2413477198290885</v>
      </c>
      <c r="AB109" s="21">
        <f>EXP(-LN(2)/2)*AB108+(1-EXP(-LN(2)/2))/(LN(2)/2)*V109*Y109*VLOOKUP('Données projet'!$B$9,Paramètres!$A$1:$I$89,3,0)*0.475*44/12</f>
        <v>8.7755622090000154E-11</v>
      </c>
      <c r="AC109" s="22">
        <f t="shared" si="57"/>
        <v>3.0018788694925322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2.2737367544323206E-13</v>
      </c>
      <c r="AJ109" s="13">
        <f>AI109*VLOOKUP('Données projet'!$B$10,Paramètres!$A$1:$I$89,3,0)*VLOOKUP('Données projet'!$B$10,Paramètres!$A$1:$I$89,5,0)</f>
        <v>1.2414602679200471E-13</v>
      </c>
      <c r="AK109" s="13">
        <f t="shared" si="89"/>
        <v>1.8186582995804361E-12</v>
      </c>
      <c r="AL109" s="20">
        <f t="shared" si="58"/>
        <v>3.3837175350986671E-12</v>
      </c>
      <c r="AM109" s="59">
        <f t="shared" si="59"/>
        <v>293.33333333333672</v>
      </c>
      <c r="AN109" s="59">
        <f ca="1">AVERAGE(OFFSET($AM$3,0,0,'Données projet'!$E$10+1,1))-AVERAGE(OFFSET($H$3,0,0,'Données projet'!$E$10+1,1))</f>
        <v>168.72306536277267</v>
      </c>
      <c r="AO109" s="59">
        <f t="shared" si="90"/>
        <v>203.35476578922339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0.67531307150483921</v>
      </c>
      <c r="AV109" s="21">
        <f>EXP(-LN(2)/25)*AV108+(1-EXP(-LN(2)/25))/(LN(2)/25)*Calculateur!AQ109*Calculateur!AS109*VLOOKUP('Données projet'!$B$10,Paramètres!$A$1:$I$89,3,0)*0.475*44/12</f>
        <v>2.7945618654340336</v>
      </c>
      <c r="AW109" s="21">
        <f>EXP(-LN(2)/2)*AW108+(1-EXP(-LN(2)/2))/(LN(2)/2)*AQ109*AT109*VLOOKUP('Données projet'!$B$10,Paramètres!$A$1:$I$89,3,0)*0.475*44/12</f>
        <v>7.2846329647615734E-11</v>
      </c>
      <c r="AX109" s="21">
        <f t="shared" si="60"/>
        <v>3.4698749370117192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5.6843418860808015E-14</v>
      </c>
      <c r="BE109" s="13">
        <f>BD109*VLOOKUP('Données projet'!$B$11,Paramètres!$A$1:$I$89,3,0)*VLOOKUP('Données projet'!$B$11,Paramètres!$A$1:$I$89,5,0)</f>
        <v>3.3992364478763198E-14</v>
      </c>
      <c r="BF109" s="13">
        <f t="shared" si="91"/>
        <v>5.790027782444094E-13</v>
      </c>
      <c r="BG109" s="20">
        <f t="shared" si="61"/>
        <v>1.0676332069095257E-12</v>
      </c>
      <c r="BH109" s="59">
        <f t="shared" si="62"/>
        <v>293.33333333333439</v>
      </c>
      <c r="BI109" s="59">
        <f ca="1">AVERAGE(OFFSET($BH$3,0,0,'Données projet'!$E$11+1,1))-AVERAGE(OFFSET($H$3,0,0,'Données projet'!$E$11+1,1))</f>
        <v>165.39579887388538</v>
      </c>
      <c r="BJ109" s="59">
        <f t="shared" si="92"/>
        <v>155.89639262545802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0.88624004589838246</v>
      </c>
      <c r="BR109" s="21">
        <f>EXP(-LN(2)/2)*BR108+(1-EXP(-LN(2)/2))/(LN(2)/2)*BL109*BO109*VLOOKUP('Données projet'!$B$11,Paramètres!$A$1:$I$89,3,0)*0.475*44/12</f>
        <v>5.0495275846976989E-11</v>
      </c>
      <c r="BS109" s="22">
        <f t="shared" si="63"/>
        <v>0.88624004594887773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3.1</v>
      </c>
      <c r="BY109" s="12">
        <f>IF('Données projet'!$A$114&gt;35,BY108+BX109-CG108,IF(A109&lt;'Données projet'!$A$114,$BV$205^A109,IF(A109='Données projet'!$A$114,'Données projet'!$B$114,BY108+BX109-CG108)))</f>
        <v>220.59999999999994</v>
      </c>
      <c r="BZ109" s="13">
        <f>BY109*VLOOKUP('Données projet'!$B$12,Paramètres!$A$1:$I$89,3,0)*VLOOKUP('Données projet'!$B$12,Paramètres!$A$1:$I$89,5,0)</f>
        <v>213.36431999999994</v>
      </c>
      <c r="CA109" s="13">
        <f t="shared" si="93"/>
        <v>52.670092827991724</v>
      </c>
      <c r="CB109" s="20">
        <f t="shared" si="64"/>
        <v>463.3432690087522</v>
      </c>
      <c r="CC109" s="59">
        <f t="shared" si="65"/>
        <v>756.67660234208552</v>
      </c>
      <c r="CD109" s="59">
        <f ca="1">AVERAGE(OFFSET($CC$3,0,0,'Données projet'!$E$12+1,1))-AVERAGE(OFFSET($H$3,0,0,'Données projet'!$E$12+1,1))</f>
        <v>156.26368818265388</v>
      </c>
      <c r="CE109" s="59">
        <f t="shared" si="94"/>
        <v>56.347130462109817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3.1</v>
      </c>
      <c r="CT109" s="12">
        <f>IF('Données projet'!$A$140&gt;35,CT108+CS109-DB108,IF(A109&lt;'Données projet'!$A$140,$CQ$205^A109,IF(A109='Données projet'!$A$140,'Données projet'!$B$140,CT108+CS109-DB108)))</f>
        <v>220.59999999999994</v>
      </c>
      <c r="CU109" s="17">
        <f>CT109*VLOOKUP('Données projet'!$B$13,Paramètres!$A$1:$I$89,3,0)*VLOOKUP('Données projet'!$B$13,Paramètres!$A$1:$I$89,5,0)</f>
        <v>178.95071999999996</v>
      </c>
      <c r="CV109" s="13">
        <f t="shared" si="95"/>
        <v>45.088661325670202</v>
      </c>
      <c r="CW109" s="20">
        <f t="shared" si="67"/>
        <v>390.20192247554218</v>
      </c>
      <c r="CX109" s="59">
        <f t="shared" si="68"/>
        <v>683.53525580887549</v>
      </c>
      <c r="CY109" s="59">
        <f ca="1">AVERAGE(OFFSET($CX$3,0,0,'Données projet'!$E$13+1,1))-AVERAGE(OFFSET($H$3,0,0,'Données projet'!$E$13+1,1))</f>
        <v>112.78807760743126</v>
      </c>
      <c r="CZ109" s="59">
        <f t="shared" si="96"/>
        <v>37.867745922003564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-8.5265128291212022E-14</v>
      </c>
      <c r="DP109" s="17">
        <f>DO109*VLOOKUP('Données projet'!$B$14,Paramètres!$A$1:$I$89,3,0)*VLOOKUP('Données projet'!$B$14,Paramètres!$A$1:$I$89,5,0)</f>
        <v>-5.7195848057745024E-14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107.15837202366862</v>
      </c>
      <c r="DU109" s="59">
        <f t="shared" si="98"/>
        <v>139.67031833740026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0.6891325092843954</v>
      </c>
      <c r="EC109" s="21">
        <f>EXP(-LN(2)/2)*EC108+(1-EXP(-LN(2)/2))/(LN(2)/2)*DW109*DZ109*VLOOKUP('Données projet'!$B$14,Paramètres!$A$1:$I$89,3,0)*0.475*44/12</f>
        <v>2.4554449031004062E-11</v>
      </c>
      <c r="ED109" s="22">
        <f t="shared" si="72"/>
        <v>0.68913250930894987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8.6999999999999993</v>
      </c>
      <c r="EJ109" s="12">
        <f>IF('Données projet'!$A$192&gt;35,EJ108+EI109-ER108,IF(A109&lt;'Données projet'!$A$192,$EG$205^A109,IF(A109='Données projet'!$A$192,'Données projet'!$B$192,EJ108+EI109-ER108)))</f>
        <v>413.79999999999995</v>
      </c>
      <c r="EK109" s="17">
        <f>EJ109*VLOOKUP('Données projet'!$B$15,Paramètres!$A$1:$I$89,3,0)*VLOOKUP('Données projet'!$B$15,Paramètres!$A$1:$I$89,5,0)</f>
        <v>193.6584</v>
      </c>
      <c r="EL109" s="13">
        <f t="shared" si="99"/>
        <v>48.347873192848013</v>
      </c>
      <c r="EM109" s="20">
        <f t="shared" si="73"/>
        <v>421.49425914421028</v>
      </c>
      <c r="EN109" s="59">
        <f t="shared" si="74"/>
        <v>714.82759247754359</v>
      </c>
      <c r="EO109" s="59">
        <f ca="1">AVERAGE(OFFSET($EN$3,0,0,'Données projet'!$E$15+1,1))-AVERAGE(OFFSET($H$3,0,0,'Données projet'!$E$15+1,1))</f>
        <v>123.60520571614535</v>
      </c>
      <c r="EP109" s="59">
        <f t="shared" si="100"/>
        <v>119.00926870519527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0.19253313487597179</v>
      </c>
      <c r="EW109" s="21">
        <f>EXP(-LN(2)/25)*EW108+(1-EXP(-LN(2)/25))/(LN(2)/25)*Calculateur!ER109*Calculateur!ET109*VLOOKUP('Données projet'!$B$15,Paramètres!$A$1:$I$89,3,0)*0.475*44/12</f>
        <v>0.58076718737139377</v>
      </c>
      <c r="EX109" s="21">
        <f>EXP(-LN(2)/2)*EX108+(1-EXP(-LN(2)/2))/(LN(2)/2)*ER109*EU109*VLOOKUP('Données projet'!$B$15,Paramètres!$A$1:$I$89,3,0)*0.475*44/12</f>
        <v>2.2241549199252569E-11</v>
      </c>
      <c r="EY109" s="22">
        <f t="shared" si="75"/>
        <v>0.7733003222696071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-2.2737367544323206E-13</v>
      </c>
      <c r="FF109" s="17">
        <f>FE109*VLOOKUP('Données projet'!$B$16,Paramètres!$A$1:$I$89,3,0)*VLOOKUP('Données projet'!$B$16,Paramètres!$A$1:$I$89,5,0)</f>
        <v>-1.0936673788819462E-13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197.66963254934603</v>
      </c>
      <c r="FK109" s="59">
        <f t="shared" si="102"/>
        <v>158.08388141976138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0.59208571223888018</v>
      </c>
      <c r="FR109" s="21">
        <f>EXP(-LN(2)/25)*FR108+(1-EXP(-LN(2)/25))/(LN(2)/25)*Calculateur!FM109*Calculateur!FO109*VLOOKUP('Données projet'!$B$16,Paramètres!$A$1:$I$89,3,0)*0.475*44/12</f>
        <v>0.64600393778081333</v>
      </c>
      <c r="FS109" s="21">
        <f>EXP(-LN(2)/2)*FS108+(1-EXP(-LN(2)/2))/(LN(2)/2)*FM109*FP109*VLOOKUP('Données projet'!$B$16,Paramètres!$A$1:$I$89,3,0)*0.475*44/12</f>
        <v>3.01151040682289E-11</v>
      </c>
      <c r="FT109" s="22">
        <f t="shared" si="78"/>
        <v>1.2380896500498086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5.6843418860808015E-14</v>
      </c>
      <c r="GA109" s="17">
        <f>FZ109*VLOOKUP('Données projet'!$B$17,Paramètres!$A$1:$I$89,3,0)*VLOOKUP('Données projet'!$B$17,Paramètres!$A$1:$I$89,5,0)</f>
        <v>3.3992364478763198E-14</v>
      </c>
      <c r="GB109" s="13">
        <f t="shared" si="103"/>
        <v>5.790027782444094E-13</v>
      </c>
      <c r="GC109" s="20">
        <f t="shared" si="79"/>
        <v>1.0676332069095257E-12</v>
      </c>
      <c r="GD109" s="59">
        <f t="shared" si="80"/>
        <v>293.33333333333439</v>
      </c>
      <c r="GE109" s="59">
        <f ca="1">AVERAGE(OFFSET($GD$3,0,0,'Données projet'!$E$17+1,1))-AVERAGE(OFFSET($H$3,0,0,'Données projet'!$E$17+1,1))</f>
        <v>165.39579887388538</v>
      </c>
      <c r="GF109" s="59">
        <f t="shared" si="104"/>
        <v>155.89639262545802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0.88624004589838246</v>
      </c>
      <c r="GN109" s="21">
        <f>EXP(-LN(2)/2)*GN108+(1-EXP(-LN(2)/2))/(LN(2)/2)*GH109*GK109*VLOOKUP('Données projet'!$B$17,Paramètres!$A$1:$I$89,3,0)*0.475*44/12</f>
        <v>5.0495275846976989E-11</v>
      </c>
      <c r="GO109" s="21">
        <f t="shared" si="81"/>
        <v>0.88624004594887773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3.1</v>
      </c>
      <c r="GU109" s="12">
        <f>IF('Données projet'!$A$270&gt;35,GU108+GT109-HC108,IF(A109&lt;'Données projet'!$A$270,$GR$205^A109,IF(A109='Données projet'!$A$270,'Données projet'!$B$270,GU108+GT109-HC108)))</f>
        <v>220.59999999999994</v>
      </c>
      <c r="GV109" s="17">
        <f>GU109*VLOOKUP('Données projet'!$B$18,Paramètres!$A$1:$I$89,3,0)*VLOOKUP('Données projet'!$B$18,Paramètres!$A$1:$I$89,5,0)</f>
        <v>237.45383999999993</v>
      </c>
      <c r="GW109" s="13">
        <f t="shared" si="105"/>
        <v>57.89137216466095</v>
      </c>
      <c r="GX109" s="20">
        <f t="shared" si="82"/>
        <v>514.39291118678432</v>
      </c>
      <c r="GY109" s="59">
        <f t="shared" si="83"/>
        <v>807.72624452011769</v>
      </c>
      <c r="GZ109" s="59">
        <f ca="1">AVERAGE(OFFSET($GY$3,0,0,'Données projet'!$E$18+1,1))-AVERAGE(OFFSET($H$3,0,0,'Données projet'!$E$18+1,1))</f>
        <v>186.60545265015247</v>
      </c>
      <c r="HA109" s="59">
        <f t="shared" si="106"/>
        <v>69.239647548491234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0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0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3.4106051316484809E-13</v>
      </c>
      <c r="O110" s="13">
        <f>N110*VLOOKUP('Données projet'!$B$9,Paramètres!$A$1:$I$89,3,0)*VLOOKUP('Données projet'!$B$9,Paramètres!$A$1:$I$89,5,0)</f>
        <v>1.9065282685915009E-13</v>
      </c>
      <c r="P110" s="13">
        <f t="shared" si="87"/>
        <v>2.6568987209435707E-12</v>
      </c>
      <c r="Q110" s="20">
        <f t="shared" si="107"/>
        <v>4.959485612423072E-12</v>
      </c>
      <c r="R110" s="59">
        <f t="shared" si="55"/>
        <v>293.33333333333826</v>
      </c>
      <c r="S110" s="59">
        <f ca="1">AVERAGE(OFFSET($R$3,0,0,'Données projet'!$E$9+1,1))-AVERAGE(OFFSET($H$3,0,0,'Données projet'!$E$9+1,1))</f>
        <v>235.10258076192054</v>
      </c>
      <c r="T110" s="59">
        <f t="shared" si="88"/>
        <v>233.47316052603765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0.7456175976107059</v>
      </c>
      <c r="AA110" s="21">
        <f>EXP(-LN(2)/25)*AA109+(1-EXP(-LN(2)/25))/(LN(2)/25)*Calculateur!V110*Calculateur!X110*VLOOKUP('Données projet'!$B$9,Paramètres!$A$1:$I$89,3,0)*0.475*44/12</f>
        <v>2.1800579485630083</v>
      </c>
      <c r="AB110" s="21">
        <f>EXP(-LN(2)/2)*AB109+(1-EXP(-LN(2)/2))/(LN(2)/2)*V110*Y110*VLOOKUP('Données projet'!$B$9,Paramètres!$A$1:$I$89,3,0)*0.475*44/12</f>
        <v>6.2052595467083095E-11</v>
      </c>
      <c r="AC110" s="22">
        <f t="shared" si="57"/>
        <v>2.9256755462357669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2.2737367544323206E-13</v>
      </c>
      <c r="AJ110" s="13">
        <f>AI110*VLOOKUP('Données projet'!$B$10,Paramètres!$A$1:$I$89,3,0)*VLOOKUP('Données projet'!$B$10,Paramètres!$A$1:$I$89,5,0)</f>
        <v>1.2414602679200471E-13</v>
      </c>
      <c r="AK110" s="13">
        <f t="shared" si="89"/>
        <v>1.8186582995804361E-12</v>
      </c>
      <c r="AL110" s="20">
        <f t="shared" si="58"/>
        <v>3.3837175350986671E-12</v>
      </c>
      <c r="AM110" s="59">
        <f t="shared" si="59"/>
        <v>293.33333333333672</v>
      </c>
      <c r="AN110" s="59">
        <f ca="1">AVERAGE(OFFSET($AM$3,0,0,'Données projet'!$E$10+1,1))-AVERAGE(OFFSET($H$3,0,0,'Données projet'!$E$10+1,1))</f>
        <v>168.72306536277267</v>
      </c>
      <c r="AO110" s="59">
        <f t="shared" si="90"/>
        <v>203.35476578922339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0.66207059407293112</v>
      </c>
      <c r="AV110" s="21">
        <f>EXP(-LN(2)/25)*AV109+(1-EXP(-LN(2)/25))/(LN(2)/25)*Calculateur!AQ110*Calculateur!AS110*VLOOKUP('Données projet'!$B$10,Paramètres!$A$1:$I$89,3,0)*0.475*44/12</f>
        <v>2.7181444242641186</v>
      </c>
      <c r="AW110" s="21">
        <f>EXP(-LN(2)/2)*AW109+(1-EXP(-LN(2)/2))/(LN(2)/2)*AQ110*AT110*VLOOKUP('Données projet'!$B$10,Paramètres!$A$1:$I$89,3,0)*0.475*44/12</f>
        <v>5.151013367837973E-11</v>
      </c>
      <c r="AX110" s="21">
        <f t="shared" si="60"/>
        <v>3.3802150183885602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3.3992364478763198E-14</v>
      </c>
      <c r="BF110" s="13">
        <f t="shared" si="91"/>
        <v>5.790027782444094E-13</v>
      </c>
      <c r="BG110" s="20">
        <f t="shared" si="61"/>
        <v>1.0676332069095257E-12</v>
      </c>
      <c r="BH110" s="59">
        <f t="shared" si="62"/>
        <v>293.33333333333439</v>
      </c>
      <c r="BI110" s="59">
        <f ca="1">AVERAGE(OFFSET($BH$3,0,0,'Données projet'!$E$11+1,1))-AVERAGE(OFFSET($H$3,0,0,'Données projet'!$E$11+1,1))</f>
        <v>165.39579887388538</v>
      </c>
      <c r="BJ110" s="59">
        <f t="shared" si="92"/>
        <v>155.89639262545802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0.86200576523795269</v>
      </c>
      <c r="BR110" s="21">
        <f>EXP(-LN(2)/2)*BR109+(1-EXP(-LN(2)/2))/(LN(2)/2)*BL110*BO110*VLOOKUP('Données projet'!$B$11,Paramètres!$A$1:$I$89,3,0)*0.475*44/12</f>
        <v>3.5705551969282716E-11</v>
      </c>
      <c r="BS110" s="22">
        <f t="shared" si="63"/>
        <v>0.86200576527365824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3.1</v>
      </c>
      <c r="BY110" s="12">
        <f>IF('Données projet'!$A$114&gt;35,BY109+BX110-CG109,IF(A110&lt;'Données projet'!$A$114,$BV$205^A110,IF(A110='Données projet'!$A$114,'Données projet'!$B$114,BY109+BX110-CG109)))</f>
        <v>223.69999999999993</v>
      </c>
      <c r="BZ110" s="13">
        <f>BY110*VLOOKUP('Données projet'!$B$12,Paramètres!$A$1:$I$89,3,0)*VLOOKUP('Données projet'!$B$12,Paramètres!$A$1:$I$89,5,0)</f>
        <v>216.36263999999994</v>
      </c>
      <c r="CA110" s="13">
        <f t="shared" si="93"/>
        <v>53.323558058123105</v>
      </c>
      <c r="CB110" s="20">
        <f t="shared" si="64"/>
        <v>469.70346161789774</v>
      </c>
      <c r="CC110" s="59">
        <f t="shared" si="65"/>
        <v>763.03679495123106</v>
      </c>
      <c r="CD110" s="59">
        <f ca="1">AVERAGE(OFFSET($CC$3,0,0,'Données projet'!$E$12+1,1))-AVERAGE(OFFSET($H$3,0,0,'Données projet'!$E$12+1,1))</f>
        <v>156.26368818265388</v>
      </c>
      <c r="CE110" s="59">
        <f t="shared" si="94"/>
        <v>56.347130462109817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3.1</v>
      </c>
      <c r="CT110" s="12">
        <f>IF('Données projet'!$A$140&gt;35,CT109+CS110-DB109,IF(A110&lt;'Données projet'!$A$140,$CQ$205^A110,IF(A110='Données projet'!$A$140,'Données projet'!$B$140,CT109+CS110-DB109)))</f>
        <v>223.69999999999993</v>
      </c>
      <c r="CU110" s="17">
        <f>CT110*VLOOKUP('Données projet'!$B$13,Paramètres!$A$1:$I$89,3,0)*VLOOKUP('Données projet'!$B$13,Paramètres!$A$1:$I$89,5,0)</f>
        <v>181.46543999999997</v>
      </c>
      <c r="CV110" s="13">
        <f t="shared" si="95"/>
        <v>45.648065550487445</v>
      </c>
      <c r="CW110" s="20">
        <f t="shared" si="67"/>
        <v>395.55602216709894</v>
      </c>
      <c r="CX110" s="59">
        <f t="shared" si="68"/>
        <v>688.8893555004322</v>
      </c>
      <c r="CY110" s="59">
        <f ca="1">AVERAGE(OFFSET($CX$3,0,0,'Données projet'!$E$13+1,1))-AVERAGE(OFFSET($H$3,0,0,'Données projet'!$E$13+1,1))</f>
        <v>112.78807760743126</v>
      </c>
      <c r="CZ110" s="59">
        <f t="shared" si="96"/>
        <v>37.867745922003564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-8.5265128291212022E-14</v>
      </c>
      <c r="DP110" s="17">
        <f>DO110*VLOOKUP('Données projet'!$B$14,Paramètres!$A$1:$I$89,3,0)*VLOOKUP('Données projet'!$B$14,Paramètres!$A$1:$I$89,5,0)</f>
        <v>-5.7195848057745024E-14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107.15837202366862</v>
      </c>
      <c r="DU110" s="59">
        <f t="shared" si="98"/>
        <v>139.67031833740026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0.67028814457810992</v>
      </c>
      <c r="EC110" s="21">
        <f>EXP(-LN(2)/2)*EC109+(1-EXP(-LN(2)/2))/(LN(2)/2)*DW110*DZ110*VLOOKUP('Données projet'!$B$14,Paramètres!$A$1:$I$89,3,0)*0.475*44/12</f>
        <v>1.7362617418122423E-11</v>
      </c>
      <c r="ED110" s="22">
        <f t="shared" si="72"/>
        <v>0.67028814459547259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8.6999999999999993</v>
      </c>
      <c r="EJ110" s="12">
        <f>IF('Données projet'!$A$192&gt;35,EJ109+EI110-ER109,IF(A110&lt;'Données projet'!$A$192,$EG$205^A110,IF(A110='Données projet'!$A$192,'Données projet'!$B$192,EJ109+EI110-ER109)))</f>
        <v>422.49999999999994</v>
      </c>
      <c r="EK110" s="17">
        <f>EJ110*VLOOKUP('Données projet'!$B$15,Paramètres!$A$1:$I$89,3,0)*VLOOKUP('Données projet'!$B$15,Paramètres!$A$1:$I$89,5,0)</f>
        <v>197.72999999999996</v>
      </c>
      <c r="EL110" s="13">
        <f t="shared" si="99"/>
        <v>49.244959487759665</v>
      </c>
      <c r="EM110" s="20">
        <f t="shared" si="73"/>
        <v>430.14805444118133</v>
      </c>
      <c r="EN110" s="59">
        <f t="shared" si="74"/>
        <v>723.48138777451459</v>
      </c>
      <c r="EO110" s="59">
        <f ca="1">AVERAGE(OFFSET($EN$3,0,0,'Données projet'!$E$15+1,1))-AVERAGE(OFFSET($H$3,0,0,'Données projet'!$E$15+1,1))</f>
        <v>123.60520571614535</v>
      </c>
      <c r="EP110" s="59">
        <f t="shared" si="100"/>
        <v>119.00926870519527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0.18875767753467065</v>
      </c>
      <c r="EW110" s="21">
        <f>EXP(-LN(2)/25)*EW109+(1-EXP(-LN(2)/25))/(LN(2)/25)*Calculateur!ER110*Calculateur!ET110*VLOOKUP('Données projet'!$B$15,Paramètres!$A$1:$I$89,3,0)*0.475*44/12</f>
        <v>0.56488607809150393</v>
      </c>
      <c r="EX110" s="21">
        <f>EXP(-LN(2)/2)*EX109+(1-EXP(-LN(2)/2))/(LN(2)/2)*ER110*EU110*VLOOKUP('Données projet'!$B$15,Paramètres!$A$1:$I$89,3,0)*0.475*44/12</f>
        <v>1.5727150262885718E-11</v>
      </c>
      <c r="EY110" s="22">
        <f t="shared" si="75"/>
        <v>0.75364375564190178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-2.2737367544323206E-13</v>
      </c>
      <c r="FF110" s="17">
        <f>FE110*VLOOKUP('Données projet'!$B$16,Paramètres!$A$1:$I$89,3,0)*VLOOKUP('Données projet'!$B$16,Paramètres!$A$1:$I$89,5,0)</f>
        <v>-1.0936673788819462E-13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197.66963254934603</v>
      </c>
      <c r="FK110" s="59">
        <f t="shared" si="102"/>
        <v>158.08388141976138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0.58047527255850095</v>
      </c>
      <c r="FR110" s="21">
        <f>EXP(-LN(2)/25)*FR109+(1-EXP(-LN(2)/25))/(LN(2)/25)*Calculateur!FM110*Calculateur!FO110*VLOOKUP('Données projet'!$B$16,Paramètres!$A$1:$I$89,3,0)*0.475*44/12</f>
        <v>0.62833892613032638</v>
      </c>
      <c r="FS110" s="21">
        <f>EXP(-LN(2)/2)*FS109+(1-EXP(-LN(2)/2))/(LN(2)/2)*FM110*FP110*VLOOKUP('Données projet'!$B$16,Paramètres!$A$1:$I$89,3,0)*0.475*44/12</f>
        <v>2.1294594302783241E-11</v>
      </c>
      <c r="FT110" s="22">
        <f t="shared" si="78"/>
        <v>1.208814198710122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5.6843418860808015E-14</v>
      </c>
      <c r="GA110" s="17">
        <f>FZ110*VLOOKUP('Données projet'!$B$17,Paramètres!$A$1:$I$89,3,0)*VLOOKUP('Données projet'!$B$17,Paramètres!$A$1:$I$89,5,0)</f>
        <v>3.3992364478763198E-14</v>
      </c>
      <c r="GB110" s="13">
        <f t="shared" si="103"/>
        <v>5.790027782444094E-13</v>
      </c>
      <c r="GC110" s="20">
        <f t="shared" si="79"/>
        <v>1.0676332069095257E-12</v>
      </c>
      <c r="GD110" s="59">
        <f t="shared" si="80"/>
        <v>293.33333333333439</v>
      </c>
      <c r="GE110" s="59">
        <f ca="1">AVERAGE(OFFSET($GD$3,0,0,'Données projet'!$E$17+1,1))-AVERAGE(OFFSET($H$3,0,0,'Données projet'!$E$17+1,1))</f>
        <v>165.39579887388538</v>
      </c>
      <c r="GF110" s="59">
        <f t="shared" si="104"/>
        <v>155.89639262545802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0.86200576523795269</v>
      </c>
      <c r="GN110" s="21">
        <f>EXP(-LN(2)/2)*GN109+(1-EXP(-LN(2)/2))/(LN(2)/2)*GH110*GK110*VLOOKUP('Données projet'!$B$17,Paramètres!$A$1:$I$89,3,0)*0.475*44/12</f>
        <v>3.5705551969282716E-11</v>
      </c>
      <c r="GO110" s="21">
        <f t="shared" si="81"/>
        <v>0.86200576527365824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3.1</v>
      </c>
      <c r="GU110" s="12">
        <f>IF('Données projet'!$A$270&gt;35,GU109+GT110-HC109,IF(A110&lt;'Données projet'!$A$270,$GR$205^A110,IF(A110='Données projet'!$A$270,'Données projet'!$B$270,GU109+GT110-HC109)))</f>
        <v>223.69999999999993</v>
      </c>
      <c r="GV110" s="17">
        <f>GU110*VLOOKUP('Données projet'!$B$18,Paramètres!$A$1:$I$89,3,0)*VLOOKUP('Données projet'!$B$18,Paramètres!$A$1:$I$89,5,0)</f>
        <v>240.79067999999992</v>
      </c>
      <c r="GW110" s="13">
        <f t="shared" si="105"/>
        <v>58.609616557313636</v>
      </c>
      <c r="GX110" s="20">
        <f t="shared" si="82"/>
        <v>521.45551650398772</v>
      </c>
      <c r="GY110" s="59">
        <f t="shared" si="83"/>
        <v>814.7888498373211</v>
      </c>
      <c r="GZ110" s="59">
        <f ca="1">AVERAGE(OFFSET($GY$3,0,0,'Données projet'!$E$18+1,1))-AVERAGE(OFFSET($H$3,0,0,'Données projet'!$E$18+1,1))</f>
        <v>186.60545265015247</v>
      </c>
      <c r="HA110" s="59">
        <f t="shared" si="106"/>
        <v>69.239647548491234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0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0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3.4106051316484809E-13</v>
      </c>
      <c r="O111" s="13">
        <f>N111*VLOOKUP('Données projet'!$B$9,Paramètres!$A$1:$I$89,3,0)*VLOOKUP('Données projet'!$B$9,Paramètres!$A$1:$I$89,5,0)</f>
        <v>1.9065282685915009E-13</v>
      </c>
      <c r="P111" s="13">
        <f t="shared" si="87"/>
        <v>2.6568987209435707E-12</v>
      </c>
      <c r="Q111" s="20">
        <f t="shared" si="107"/>
        <v>4.959485612423072E-12</v>
      </c>
      <c r="R111" s="59">
        <f t="shared" si="55"/>
        <v>293.33333333333826</v>
      </c>
      <c r="S111" s="59">
        <f ca="1">AVERAGE(OFFSET($R$3,0,0,'Données projet'!$E$9+1,1))-AVERAGE(OFFSET($H$3,0,0,'Données projet'!$E$9+1,1))</f>
        <v>235.10258076192054</v>
      </c>
      <c r="T111" s="59">
        <f t="shared" si="88"/>
        <v>233.47316052603765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0.73099649130338851</v>
      </c>
      <c r="AA111" s="21">
        <f>EXP(-LN(2)/25)*AA110+(1-EXP(-LN(2)/25))/(LN(2)/25)*Calculateur!V111*Calculateur!X111*VLOOKUP('Données projet'!$B$9,Paramètres!$A$1:$I$89,3,0)*0.475*44/12</f>
        <v>2.1204441493152877</v>
      </c>
      <c r="AB111" s="21">
        <f>EXP(-LN(2)/2)*AB110+(1-EXP(-LN(2)/2))/(LN(2)/2)*V111*Y111*VLOOKUP('Données projet'!$B$9,Paramètres!$A$1:$I$89,3,0)*0.475*44/12</f>
        <v>4.3877811045000077E-11</v>
      </c>
      <c r="AC111" s="22">
        <f t="shared" si="57"/>
        <v>2.8514406406625539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2.2737367544323206E-13</v>
      </c>
      <c r="AJ111" s="13">
        <f>AI111*VLOOKUP('Données projet'!$B$10,Paramètres!$A$1:$I$89,3,0)*VLOOKUP('Données projet'!$B$10,Paramètres!$A$1:$I$89,5,0)</f>
        <v>1.2414602679200471E-13</v>
      </c>
      <c r="AK111" s="13">
        <f t="shared" si="89"/>
        <v>1.8186582995804361E-12</v>
      </c>
      <c r="AL111" s="20">
        <f t="shared" si="58"/>
        <v>3.3837175350986671E-12</v>
      </c>
      <c r="AM111" s="59">
        <f t="shared" si="59"/>
        <v>293.33333333333672</v>
      </c>
      <c r="AN111" s="59">
        <f ca="1">AVERAGE(OFFSET($AM$3,0,0,'Données projet'!$E$10+1,1))-AVERAGE(OFFSET($H$3,0,0,'Données projet'!$E$10+1,1))</f>
        <v>168.72306536277267</v>
      </c>
      <c r="AO111" s="59">
        <f t="shared" si="90"/>
        <v>203.35476578922339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0.64908779354634905</v>
      </c>
      <c r="AV111" s="21">
        <f>EXP(-LN(2)/25)*AV110+(1-EXP(-LN(2)/25))/(LN(2)/25)*Calculateur!AQ111*Calculateur!AS111*VLOOKUP('Données projet'!$B$10,Paramètres!$A$1:$I$89,3,0)*0.475*44/12</f>
        <v>2.6438166220416135</v>
      </c>
      <c r="AW111" s="21">
        <f>EXP(-LN(2)/2)*AW110+(1-EXP(-LN(2)/2))/(LN(2)/2)*AQ111*AT111*VLOOKUP('Données projet'!$B$10,Paramètres!$A$1:$I$89,3,0)*0.475*44/12</f>
        <v>3.6423164823807867E-11</v>
      </c>
      <c r="AX111" s="21">
        <f t="shared" si="60"/>
        <v>3.2929044156243856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3.3992364478763198E-14</v>
      </c>
      <c r="BF111" s="13">
        <f t="shared" si="91"/>
        <v>5.790027782444094E-13</v>
      </c>
      <c r="BG111" s="20">
        <f t="shared" si="61"/>
        <v>1.0676332069095257E-12</v>
      </c>
      <c r="BH111" s="59">
        <f t="shared" si="62"/>
        <v>293.33333333333439</v>
      </c>
      <c r="BI111" s="59">
        <f ca="1">AVERAGE(OFFSET($BH$3,0,0,'Données projet'!$E$11+1,1))-AVERAGE(OFFSET($H$3,0,0,'Données projet'!$E$11+1,1))</f>
        <v>165.39579887388538</v>
      </c>
      <c r="BJ111" s="59">
        <f t="shared" si="92"/>
        <v>155.89639262545802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0.83843417225660777</v>
      </c>
      <c r="BR111" s="21">
        <f>EXP(-LN(2)/2)*BR110+(1-EXP(-LN(2)/2))/(LN(2)/2)*BL111*BO111*VLOOKUP('Données projet'!$B$11,Paramètres!$A$1:$I$89,3,0)*0.475*44/12</f>
        <v>2.5247637923488495E-11</v>
      </c>
      <c r="BS111" s="22">
        <f t="shared" si="63"/>
        <v>0.83843417228185546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3.1</v>
      </c>
      <c r="BY111" s="12">
        <f>IF('Données projet'!$A$114&gt;35,BY110+BX111-CG110,IF(A111&lt;'Données projet'!$A$114,$BV$205^A111,IF(A111='Données projet'!$A$114,'Données projet'!$B$114,BY110+BX111-CG110)))</f>
        <v>226.79999999999993</v>
      </c>
      <c r="BZ111" s="13">
        <f>BY111*VLOOKUP('Données projet'!$B$12,Paramètres!$A$1:$I$89,3,0)*VLOOKUP('Données projet'!$B$12,Paramètres!$A$1:$I$89,5,0)</f>
        <v>219.36095999999995</v>
      </c>
      <c r="CA111" s="13">
        <f t="shared" si="93"/>
        <v>53.975970028112116</v>
      </c>
      <c r="CB111" s="20">
        <f t="shared" si="64"/>
        <v>476.06181979896178</v>
      </c>
      <c r="CC111" s="59">
        <f t="shared" si="65"/>
        <v>769.39515313229504</v>
      </c>
      <c r="CD111" s="59">
        <f ca="1">AVERAGE(OFFSET($CC$3,0,0,'Données projet'!$E$12+1,1))-AVERAGE(OFFSET($H$3,0,0,'Données projet'!$E$12+1,1))</f>
        <v>156.26368818265388</v>
      </c>
      <c r="CE111" s="59">
        <f t="shared" si="94"/>
        <v>56.347130462109817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3.1</v>
      </c>
      <c r="CT111" s="12">
        <f>IF('Données projet'!$A$140&gt;35,CT110+CS111-DB110,IF(A111&lt;'Données projet'!$A$140,$CQ$205^A111,IF(A111='Données projet'!$A$140,'Données projet'!$B$140,CT110+CS111-DB110)))</f>
        <v>226.79999999999993</v>
      </c>
      <c r="CU111" s="17">
        <f>CT111*VLOOKUP('Données projet'!$B$13,Paramètres!$A$1:$I$89,3,0)*VLOOKUP('Données projet'!$B$13,Paramètres!$A$1:$I$89,5,0)</f>
        <v>183.98015999999996</v>
      </c>
      <c r="CV111" s="13">
        <f t="shared" si="95"/>
        <v>46.206568123393723</v>
      </c>
      <c r="CW111" s="20">
        <f t="shared" si="67"/>
        <v>400.90855148157726</v>
      </c>
      <c r="CX111" s="59">
        <f t="shared" si="68"/>
        <v>694.24188481491058</v>
      </c>
      <c r="CY111" s="59">
        <f ca="1">AVERAGE(OFFSET($CX$3,0,0,'Données projet'!$E$13+1,1))-AVERAGE(OFFSET($H$3,0,0,'Données projet'!$E$13+1,1))</f>
        <v>112.78807760743126</v>
      </c>
      <c r="CZ111" s="59">
        <f t="shared" si="96"/>
        <v>37.867745922003564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-8.5265128291212022E-14</v>
      </c>
      <c r="DP111" s="17">
        <f>DO111*VLOOKUP('Données projet'!$B$14,Paramètres!$A$1:$I$89,3,0)*VLOOKUP('Données projet'!$B$14,Paramètres!$A$1:$I$89,5,0)</f>
        <v>-5.7195848057745024E-14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107.15837202366862</v>
      </c>
      <c r="DU111" s="59">
        <f t="shared" si="98"/>
        <v>139.67031833740026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0.65195908001569991</v>
      </c>
      <c r="EC111" s="21">
        <f>EXP(-LN(2)/2)*EC110+(1-EXP(-LN(2)/2))/(LN(2)/2)*DW111*DZ111*VLOOKUP('Données projet'!$B$14,Paramètres!$A$1:$I$89,3,0)*0.475*44/12</f>
        <v>1.2277224515502031E-11</v>
      </c>
      <c r="ED111" s="22">
        <f t="shared" si="72"/>
        <v>0.65195908002797709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8.6999999999999993</v>
      </c>
      <c r="EJ111" s="12">
        <f>IF('Données projet'!$A$192&gt;35,EJ110+EI111-ER110,IF(A111&lt;'Données projet'!$A$192,$EG$205^A111,IF(A111='Données projet'!$A$192,'Données projet'!$B$192,EJ110+EI111-ER110)))</f>
        <v>431.19999999999993</v>
      </c>
      <c r="EK111" s="17">
        <f>EJ111*VLOOKUP('Données projet'!$B$15,Paramètres!$A$1:$I$89,3,0)*VLOOKUP('Données projet'!$B$15,Paramètres!$A$1:$I$89,5,0)</f>
        <v>201.80159999999998</v>
      </c>
      <c r="EL111" s="13">
        <f t="shared" si="99"/>
        <v>50.139897992681668</v>
      </c>
      <c r="EM111" s="20">
        <f t="shared" si="73"/>
        <v>438.7981090039205</v>
      </c>
      <c r="EN111" s="59">
        <f t="shared" si="74"/>
        <v>732.13144233725382</v>
      </c>
      <c r="EO111" s="59">
        <f ca="1">AVERAGE(OFFSET($EN$3,0,0,'Données projet'!$E$15+1,1))-AVERAGE(OFFSET($H$3,0,0,'Données projet'!$E$15+1,1))</f>
        <v>123.60520571614535</v>
      </c>
      <c r="EP111" s="59">
        <f t="shared" si="100"/>
        <v>119.00926870519527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0.18505625460903083</v>
      </c>
      <c r="EW111" s="21">
        <f>EXP(-LN(2)/25)*EW110+(1-EXP(-LN(2)/25))/(LN(2)/25)*Calculateur!ER111*Calculateur!ET111*VLOOKUP('Données projet'!$B$15,Paramètres!$A$1:$I$89,3,0)*0.475*44/12</f>
        <v>0.54943923858002397</v>
      </c>
      <c r="EX111" s="21">
        <f>EXP(-LN(2)/2)*EX110+(1-EXP(-LN(2)/2))/(LN(2)/2)*ER111*EU111*VLOOKUP('Données projet'!$B$15,Paramètres!$A$1:$I$89,3,0)*0.475*44/12</f>
        <v>1.1120774599626285E-11</v>
      </c>
      <c r="EY111" s="22">
        <f t="shared" si="75"/>
        <v>0.7344954932001756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-2.2737367544323206E-13</v>
      </c>
      <c r="FF111" s="17">
        <f>FE111*VLOOKUP('Données projet'!$B$16,Paramètres!$A$1:$I$89,3,0)*VLOOKUP('Données projet'!$B$16,Paramètres!$A$1:$I$89,5,0)</f>
        <v>-1.0936673788819462E-13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197.66963254934603</v>
      </c>
      <c r="FK111" s="59">
        <f t="shared" si="102"/>
        <v>158.08388141976138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0.56909250651858501</v>
      </c>
      <c r="FR111" s="21">
        <f>EXP(-LN(2)/25)*FR110+(1-EXP(-LN(2)/25))/(LN(2)/25)*Calculateur!FM111*Calculateur!FO111*VLOOKUP('Données projet'!$B$16,Paramètres!$A$1:$I$89,3,0)*0.475*44/12</f>
        <v>0.6111569651523846</v>
      </c>
      <c r="FS111" s="21">
        <f>EXP(-LN(2)/2)*FS110+(1-EXP(-LN(2)/2))/(LN(2)/2)*FM111*FP111*VLOOKUP('Données projet'!$B$16,Paramètres!$A$1:$I$89,3,0)*0.475*44/12</f>
        <v>1.505755203411445E-11</v>
      </c>
      <c r="FT111" s="22">
        <f t="shared" si="78"/>
        <v>1.1802494716860272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5.6843418860808015E-14</v>
      </c>
      <c r="GA111" s="17">
        <f>FZ111*VLOOKUP('Données projet'!$B$17,Paramètres!$A$1:$I$89,3,0)*VLOOKUP('Données projet'!$B$17,Paramètres!$A$1:$I$89,5,0)</f>
        <v>3.3992364478763198E-14</v>
      </c>
      <c r="GB111" s="13">
        <f t="shared" si="103"/>
        <v>5.790027782444094E-13</v>
      </c>
      <c r="GC111" s="20">
        <f t="shared" si="79"/>
        <v>1.0676332069095257E-12</v>
      </c>
      <c r="GD111" s="59">
        <f t="shared" si="80"/>
        <v>293.33333333333439</v>
      </c>
      <c r="GE111" s="59">
        <f ca="1">AVERAGE(OFFSET($GD$3,0,0,'Données projet'!$E$17+1,1))-AVERAGE(OFFSET($H$3,0,0,'Données projet'!$E$17+1,1))</f>
        <v>165.39579887388538</v>
      </c>
      <c r="GF111" s="59">
        <f t="shared" si="104"/>
        <v>155.89639262545802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0.83843417225660777</v>
      </c>
      <c r="GN111" s="21">
        <f>EXP(-LN(2)/2)*GN110+(1-EXP(-LN(2)/2))/(LN(2)/2)*GH111*GK111*VLOOKUP('Données projet'!$B$17,Paramètres!$A$1:$I$89,3,0)*0.475*44/12</f>
        <v>2.5247637923488495E-11</v>
      </c>
      <c r="GO111" s="21">
        <f t="shared" si="81"/>
        <v>0.83843417228185546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3.1</v>
      </c>
      <c r="GU111" s="12">
        <f>IF('Données projet'!$A$270&gt;35,GU110+GT111-HC110,IF(A111&lt;'Données projet'!$A$270,$GR$205^A111,IF(A111='Données projet'!$A$270,'Données projet'!$B$270,GU110+GT111-HC110)))</f>
        <v>226.79999999999993</v>
      </c>
      <c r="GV111" s="17">
        <f>GU111*VLOOKUP('Données projet'!$B$18,Paramètres!$A$1:$I$89,3,0)*VLOOKUP('Données projet'!$B$18,Paramètres!$A$1:$I$89,5,0)</f>
        <v>244.12751999999989</v>
      </c>
      <c r="GW111" s="13">
        <f t="shared" si="105"/>
        <v>59.326703278285599</v>
      </c>
      <c r="GX111" s="20">
        <f t="shared" si="82"/>
        <v>528.51610554301385</v>
      </c>
      <c r="GY111" s="59">
        <f t="shared" si="83"/>
        <v>821.84943887634722</v>
      </c>
      <c r="GZ111" s="59">
        <f ca="1">AVERAGE(OFFSET($GY$3,0,0,'Données projet'!$E$18+1,1))-AVERAGE(OFFSET($H$3,0,0,'Données projet'!$E$18+1,1))</f>
        <v>186.60545265015247</v>
      </c>
      <c r="HA111" s="59">
        <f t="shared" si="106"/>
        <v>69.239647548491234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0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0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3.4106051316484809E-13</v>
      </c>
      <c r="O112" s="13">
        <f>N112*VLOOKUP('Données projet'!$B$9,Paramètres!$A$1:$I$89,3,0)*VLOOKUP('Données projet'!$B$9,Paramètres!$A$1:$I$89,5,0)</f>
        <v>1.9065282685915009E-13</v>
      </c>
      <c r="P112" s="13">
        <f t="shared" si="87"/>
        <v>2.6568987209435707E-12</v>
      </c>
      <c r="Q112" s="20">
        <f t="shared" si="107"/>
        <v>4.959485612423072E-12</v>
      </c>
      <c r="R112" s="59">
        <f t="shared" si="55"/>
        <v>293.33333333333826</v>
      </c>
      <c r="S112" s="59">
        <f ca="1">AVERAGE(OFFSET($R$3,0,0,'Données projet'!$E$9+1,1))-AVERAGE(OFFSET($H$3,0,0,'Données projet'!$E$9+1,1))</f>
        <v>235.10258076192054</v>
      </c>
      <c r="T112" s="59">
        <f t="shared" si="88"/>
        <v>233.47316052603765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0.71666209597276331</v>
      </c>
      <c r="AA112" s="21">
        <f>EXP(-LN(2)/25)*AA111+(1-EXP(-LN(2)/25))/(LN(2)/25)*Calculateur!V112*Calculateur!X112*VLOOKUP('Données projet'!$B$9,Paramètres!$A$1:$I$89,3,0)*0.475*44/12</f>
        <v>2.0624604925429497</v>
      </c>
      <c r="AB112" s="21">
        <f>EXP(-LN(2)/2)*AB111+(1-EXP(-LN(2)/2))/(LN(2)/2)*V112*Y112*VLOOKUP('Données projet'!$B$9,Paramètres!$A$1:$I$89,3,0)*0.475*44/12</f>
        <v>3.1026297733541547E-11</v>
      </c>
      <c r="AC112" s="22">
        <f t="shared" si="57"/>
        <v>2.7791225885467394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2.2737367544323206E-13</v>
      </c>
      <c r="AJ112" s="13">
        <f>AI112*VLOOKUP('Données projet'!$B$10,Paramètres!$A$1:$I$89,3,0)*VLOOKUP('Données projet'!$B$10,Paramètres!$A$1:$I$89,5,0)</f>
        <v>1.2414602679200471E-13</v>
      </c>
      <c r="AK112" s="13">
        <f t="shared" si="89"/>
        <v>1.8186582995804361E-12</v>
      </c>
      <c r="AL112" s="20">
        <f t="shared" si="58"/>
        <v>3.3837175350986671E-12</v>
      </c>
      <c r="AM112" s="59">
        <f t="shared" si="59"/>
        <v>293.33333333333672</v>
      </c>
      <c r="AN112" s="59">
        <f ca="1">AVERAGE(OFFSET($AM$3,0,0,'Données projet'!$E$10+1,1))-AVERAGE(OFFSET($H$3,0,0,'Données projet'!$E$10+1,1))</f>
        <v>168.72306536277267</v>
      </c>
      <c r="AO112" s="59">
        <f t="shared" si="90"/>
        <v>203.35476578922339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0.63635957781936692</v>
      </c>
      <c r="AV112" s="21">
        <f>EXP(-LN(2)/25)*AV111+(1-EXP(-LN(2)/25))/(LN(2)/25)*Calculateur!AQ112*Calculateur!AS112*VLOOKUP('Données projet'!$B$10,Paramètres!$A$1:$I$89,3,0)*0.475*44/12</f>
        <v>2.5715213174796121</v>
      </c>
      <c r="AW112" s="21">
        <f>EXP(-LN(2)/2)*AW111+(1-EXP(-LN(2)/2))/(LN(2)/2)*AQ112*AT112*VLOOKUP('Données projet'!$B$10,Paramètres!$A$1:$I$89,3,0)*0.475*44/12</f>
        <v>2.5755066839189865E-11</v>
      </c>
      <c r="AX112" s="21">
        <f t="shared" si="60"/>
        <v>3.2078808953247342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3.3992364478763198E-14</v>
      </c>
      <c r="BF112" s="13">
        <f t="shared" si="91"/>
        <v>5.790027782444094E-13</v>
      </c>
      <c r="BG112" s="20">
        <f t="shared" si="61"/>
        <v>1.0676332069095257E-12</v>
      </c>
      <c r="BH112" s="59">
        <f t="shared" si="62"/>
        <v>293.33333333333439</v>
      </c>
      <c r="BI112" s="59">
        <f ca="1">AVERAGE(OFFSET($BH$3,0,0,'Données projet'!$E$11+1,1))-AVERAGE(OFFSET($H$3,0,0,'Données projet'!$E$11+1,1))</f>
        <v>165.39579887388538</v>
      </c>
      <c r="BJ112" s="59">
        <f t="shared" si="92"/>
        <v>155.89639262545802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0.81550714572491401</v>
      </c>
      <c r="BR112" s="21">
        <f>EXP(-LN(2)/2)*BR111+(1-EXP(-LN(2)/2))/(LN(2)/2)*BL112*BO112*VLOOKUP('Données projet'!$B$11,Paramètres!$A$1:$I$89,3,0)*0.475*44/12</f>
        <v>1.7852775984641358E-11</v>
      </c>
      <c r="BS112" s="22">
        <f t="shared" si="63"/>
        <v>0.81550714574276684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3.1</v>
      </c>
      <c r="BY112" s="12">
        <f>IF('Données projet'!$A$114&gt;35,BY111+BX112-CG111,IF(A112&lt;'Données projet'!$A$114,$BV$205^A112,IF(A112='Données projet'!$A$114,'Données projet'!$B$114,BY111+BX112-CG111)))</f>
        <v>229.89999999999992</v>
      </c>
      <c r="BZ112" s="13">
        <f>BY112*VLOOKUP('Données projet'!$B$12,Paramètres!$A$1:$I$89,3,0)*VLOOKUP('Données projet'!$B$12,Paramètres!$A$1:$I$89,5,0)</f>
        <v>222.35927999999993</v>
      </c>
      <c r="CA112" s="13">
        <f t="shared" si="93"/>
        <v>54.627344798341738</v>
      </c>
      <c r="CB112" s="20">
        <f t="shared" si="64"/>
        <v>482.41837152377838</v>
      </c>
      <c r="CC112" s="59">
        <f t="shared" si="65"/>
        <v>775.75170485711169</v>
      </c>
      <c r="CD112" s="59">
        <f ca="1">AVERAGE(OFFSET($CC$3,0,0,'Données projet'!$E$12+1,1))-AVERAGE(OFFSET($H$3,0,0,'Données projet'!$E$12+1,1))</f>
        <v>156.26368818265388</v>
      </c>
      <c r="CE112" s="59">
        <f t="shared" si="94"/>
        <v>56.347130462109817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3.1</v>
      </c>
      <c r="CT112" s="12">
        <f>IF('Données projet'!$A$140&gt;35,CT111+CS112-DB111,IF(A112&lt;'Données projet'!$A$140,$CQ$205^A112,IF(A112='Données projet'!$A$140,'Données projet'!$B$140,CT111+CS112-DB111)))</f>
        <v>229.89999999999992</v>
      </c>
      <c r="CU112" s="17">
        <f>CT112*VLOOKUP('Données projet'!$B$13,Paramètres!$A$1:$I$89,3,0)*VLOOKUP('Données projet'!$B$13,Paramètres!$A$1:$I$89,5,0)</f>
        <v>186.49487999999994</v>
      </c>
      <c r="CV112" s="13">
        <f t="shared" si="95"/>
        <v>46.764182793010612</v>
      </c>
      <c r="CW112" s="20">
        <f t="shared" si="67"/>
        <v>406.25953436449339</v>
      </c>
      <c r="CX112" s="59">
        <f t="shared" si="68"/>
        <v>699.5928676978267</v>
      </c>
      <c r="CY112" s="59">
        <f ca="1">AVERAGE(OFFSET($CX$3,0,0,'Données projet'!$E$13+1,1))-AVERAGE(OFFSET($H$3,0,0,'Données projet'!$E$13+1,1))</f>
        <v>112.78807760743126</v>
      </c>
      <c r="CZ112" s="59">
        <f t="shared" si="96"/>
        <v>37.867745922003564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-8.5265128291212022E-14</v>
      </c>
      <c r="DP112" s="17">
        <f>DO112*VLOOKUP('Données projet'!$B$14,Paramètres!$A$1:$I$89,3,0)*VLOOKUP('Données projet'!$B$14,Paramètres!$A$1:$I$89,5,0)</f>
        <v>-5.7195848057745024E-14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107.15837202366862</v>
      </c>
      <c r="DU112" s="59">
        <f t="shared" si="98"/>
        <v>139.67031833740026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0.63413122468763261</v>
      </c>
      <c r="EC112" s="21">
        <f>EXP(-LN(2)/2)*EC111+(1-EXP(-LN(2)/2))/(LN(2)/2)*DW112*DZ112*VLOOKUP('Données projet'!$B$14,Paramètres!$A$1:$I$89,3,0)*0.475*44/12</f>
        <v>8.6813087090612114E-12</v>
      </c>
      <c r="ED112" s="22">
        <f t="shared" si="72"/>
        <v>0.63413122469631389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8.6999999999999993</v>
      </c>
      <c r="EJ112" s="12">
        <f>IF('Données projet'!$A$192&gt;35,EJ111+EI112-ER111,IF(A112&lt;'Données projet'!$A$192,$EG$205^A112,IF(A112='Données projet'!$A$192,'Données projet'!$B$192,EJ111+EI112-ER111)))</f>
        <v>439.89999999999992</v>
      </c>
      <c r="EK112" s="17">
        <f>EJ112*VLOOKUP('Données projet'!$B$15,Paramètres!$A$1:$I$89,3,0)*VLOOKUP('Données projet'!$B$15,Paramètres!$A$1:$I$89,5,0)</f>
        <v>205.87319999999997</v>
      </c>
      <c r="EL112" s="13">
        <f t="shared" si="99"/>
        <v>51.03273703593927</v>
      </c>
      <c r="EM112" s="20">
        <f t="shared" si="73"/>
        <v>447.44450700426086</v>
      </c>
      <c r="EN112" s="59">
        <f t="shared" si="74"/>
        <v>740.77784033759417</v>
      </c>
      <c r="EO112" s="59">
        <f ca="1">AVERAGE(OFFSET($EN$3,0,0,'Données projet'!$E$15+1,1))-AVERAGE(OFFSET($H$3,0,0,'Données projet'!$E$15+1,1))</f>
        <v>123.60520571614535</v>
      </c>
      <c r="EP112" s="59">
        <f t="shared" si="100"/>
        <v>119.00926870519527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0.18142741432931775</v>
      </c>
      <c r="EW112" s="21">
        <f>EXP(-LN(2)/25)*EW111+(1-EXP(-LN(2)/25))/(LN(2)/25)*Calculateur!ER112*Calculateur!ET112*VLOOKUP('Données projet'!$B$15,Paramètres!$A$1:$I$89,3,0)*0.475*44/12</f>
        <v>0.53441479370729938</v>
      </c>
      <c r="EX112" s="21">
        <f>EXP(-LN(2)/2)*EX111+(1-EXP(-LN(2)/2))/(LN(2)/2)*ER112*EU112*VLOOKUP('Données projet'!$B$15,Paramètres!$A$1:$I$89,3,0)*0.475*44/12</f>
        <v>7.8635751314428588E-12</v>
      </c>
      <c r="EY112" s="22">
        <f t="shared" si="75"/>
        <v>0.71584220804448073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-2.2737367544323206E-13</v>
      </c>
      <c r="FF112" s="17">
        <f>FE112*VLOOKUP('Données projet'!$B$16,Paramètres!$A$1:$I$89,3,0)*VLOOKUP('Données projet'!$B$16,Paramètres!$A$1:$I$89,5,0)</f>
        <v>-1.0936673788819462E-13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197.66963254934603</v>
      </c>
      <c r="FK112" s="59">
        <f t="shared" si="102"/>
        <v>158.08388141976138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0.55793294957791006</v>
      </c>
      <c r="FR112" s="21">
        <f>EXP(-LN(2)/25)*FR111+(1-EXP(-LN(2)/25))/(LN(2)/25)*Calculateur!FM112*Calculateur!FO112*VLOOKUP('Données projet'!$B$16,Paramètres!$A$1:$I$89,3,0)*0.475*44/12</f>
        <v>0.5944448458009447</v>
      </c>
      <c r="FS112" s="21">
        <f>EXP(-LN(2)/2)*FS111+(1-EXP(-LN(2)/2))/(LN(2)/2)*FM112*FP112*VLOOKUP('Données projet'!$B$16,Paramètres!$A$1:$I$89,3,0)*0.475*44/12</f>
        <v>1.064729715139162E-11</v>
      </c>
      <c r="FT112" s="22">
        <f t="shared" si="78"/>
        <v>1.152377795389502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5.6843418860808015E-14</v>
      </c>
      <c r="GA112" s="17">
        <f>FZ112*VLOOKUP('Données projet'!$B$17,Paramètres!$A$1:$I$89,3,0)*VLOOKUP('Données projet'!$B$17,Paramètres!$A$1:$I$89,5,0)</f>
        <v>3.3992364478763198E-14</v>
      </c>
      <c r="GB112" s="13">
        <f t="shared" si="103"/>
        <v>5.790027782444094E-13</v>
      </c>
      <c r="GC112" s="20">
        <f t="shared" si="79"/>
        <v>1.0676332069095257E-12</v>
      </c>
      <c r="GD112" s="59">
        <f t="shared" si="80"/>
        <v>293.33333333333439</v>
      </c>
      <c r="GE112" s="59">
        <f ca="1">AVERAGE(OFFSET($GD$3,0,0,'Données projet'!$E$17+1,1))-AVERAGE(OFFSET($H$3,0,0,'Données projet'!$E$17+1,1))</f>
        <v>165.39579887388538</v>
      </c>
      <c r="GF112" s="59">
        <f t="shared" si="104"/>
        <v>155.89639262545802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0.81550714572491401</v>
      </c>
      <c r="GN112" s="21">
        <f>EXP(-LN(2)/2)*GN111+(1-EXP(-LN(2)/2))/(LN(2)/2)*GH112*GK112*VLOOKUP('Données projet'!$B$17,Paramètres!$A$1:$I$89,3,0)*0.475*44/12</f>
        <v>1.7852775984641358E-11</v>
      </c>
      <c r="GO112" s="21">
        <f t="shared" si="81"/>
        <v>0.81550714574276684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3.1</v>
      </c>
      <c r="GU112" s="12">
        <f>IF('Données projet'!$A$270&gt;35,GU111+GT112-HC111,IF(A112&lt;'Données projet'!$A$270,$GR$205^A112,IF(A112='Données projet'!$A$270,'Données projet'!$B$270,GU111+GT112-HC111)))</f>
        <v>229.89999999999992</v>
      </c>
      <c r="GV112" s="17">
        <f>GU112*VLOOKUP('Données projet'!$B$18,Paramètres!$A$1:$I$89,3,0)*VLOOKUP('Données projet'!$B$18,Paramètres!$A$1:$I$89,5,0)</f>
        <v>247.46435999999991</v>
      </c>
      <c r="GW112" s="13">
        <f t="shared" si="105"/>
        <v>60.042649980053952</v>
      </c>
      <c r="GX112" s="20">
        <f t="shared" si="82"/>
        <v>535.57470904859372</v>
      </c>
      <c r="GY112" s="59">
        <f t="shared" si="83"/>
        <v>828.90804238192709</v>
      </c>
      <c r="GZ112" s="59">
        <f ca="1">AVERAGE(OFFSET($GY$3,0,0,'Données projet'!$E$18+1,1))-AVERAGE(OFFSET($H$3,0,0,'Données projet'!$E$18+1,1))</f>
        <v>186.60545265015247</v>
      </c>
      <c r="HA112" s="59">
        <f t="shared" si="106"/>
        <v>69.239647548491234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0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0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1.9065282685915009E-13</v>
      </c>
      <c r="P113" s="13">
        <f t="shared" si="87"/>
        <v>2.6568987209435707E-12</v>
      </c>
      <c r="Q113" s="20">
        <f t="shared" si="107"/>
        <v>4.959485612423072E-12</v>
      </c>
      <c r="R113" s="59">
        <f t="shared" si="55"/>
        <v>293.33333333333826</v>
      </c>
      <c r="S113" s="59">
        <f ca="1">AVERAGE(OFFSET($R$3,0,0,'Données projet'!$E$9+1,1))-AVERAGE(OFFSET($H$3,0,0,'Données projet'!$E$9+1,1))</f>
        <v>235.10258076192054</v>
      </c>
      <c r="T113" s="59">
        <f t="shared" si="88"/>
        <v>233.47316052603765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0.70260878939145388</v>
      </c>
      <c r="AA113" s="21">
        <f>EXP(-LN(2)/25)*AA112+(1-EXP(-LN(2)/25))/(LN(2)/25)*Calculateur!V113*Calculateur!X113*VLOOKUP('Données projet'!$B$9,Paramètres!$A$1:$I$89,3,0)*0.475*44/12</f>
        <v>2.0060624019142792</v>
      </c>
      <c r="AB113" s="21">
        <f>EXP(-LN(2)/2)*AB112+(1-EXP(-LN(2)/2))/(LN(2)/2)*V113*Y113*VLOOKUP('Données projet'!$B$9,Paramètres!$A$1:$I$89,3,0)*0.475*44/12</f>
        <v>2.1938905522500039E-11</v>
      </c>
      <c r="AC113" s="22">
        <f t="shared" si="57"/>
        <v>2.7086711913276718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2.2737367544323206E-13</v>
      </c>
      <c r="AJ113" s="13">
        <f>AI113*VLOOKUP('Données projet'!$B$10,Paramètres!$A$1:$I$89,3,0)*VLOOKUP('Données projet'!$B$10,Paramètres!$A$1:$I$89,5,0)</f>
        <v>1.2414602679200471E-13</v>
      </c>
      <c r="AK113" s="13">
        <f t="shared" si="89"/>
        <v>1.8186582995804361E-12</v>
      </c>
      <c r="AL113" s="20">
        <f t="shared" si="58"/>
        <v>3.3837175350986671E-12</v>
      </c>
      <c r="AM113" s="59">
        <f t="shared" si="59"/>
        <v>293.33333333333672</v>
      </c>
      <c r="AN113" s="59">
        <f ca="1">AVERAGE(OFFSET($AM$3,0,0,'Données projet'!$E$10+1,1))-AVERAGE(OFFSET($H$3,0,0,'Données projet'!$E$10+1,1))</f>
        <v>168.72306536277267</v>
      </c>
      <c r="AO113" s="59">
        <f t="shared" si="90"/>
        <v>203.35476578922339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0.6238809546393459</v>
      </c>
      <c r="AV113" s="21">
        <f>EXP(-LN(2)/25)*AV112+(1-EXP(-LN(2)/25))/(LN(2)/25)*Calculateur!AQ113*Calculateur!AS113*VLOOKUP('Données projet'!$B$10,Paramètres!$A$1:$I$89,3,0)*0.475*44/12</f>
        <v>2.5012029318227031</v>
      </c>
      <c r="AW113" s="21">
        <f>EXP(-LN(2)/2)*AW112+(1-EXP(-LN(2)/2))/(LN(2)/2)*AQ113*AT113*VLOOKUP('Données projet'!$B$10,Paramètres!$A$1:$I$89,3,0)*0.475*44/12</f>
        <v>1.8211582411903934E-11</v>
      </c>
      <c r="AX113" s="21">
        <f t="shared" si="60"/>
        <v>3.1250838864802608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3.3992364478763198E-14</v>
      </c>
      <c r="BF113" s="13">
        <f t="shared" si="91"/>
        <v>5.790027782444094E-13</v>
      </c>
      <c r="BG113" s="20">
        <f t="shared" si="61"/>
        <v>1.0676332069095257E-12</v>
      </c>
      <c r="BH113" s="59">
        <f t="shared" si="62"/>
        <v>293.33333333333439</v>
      </c>
      <c r="BI113" s="59">
        <f ca="1">AVERAGE(OFFSET($BH$3,0,0,'Données projet'!$E$11+1,1))-AVERAGE(OFFSET($H$3,0,0,'Données projet'!$E$11+1,1))</f>
        <v>165.39579887388538</v>
      </c>
      <c r="BJ113" s="59">
        <f t="shared" si="92"/>
        <v>155.89639262545802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0.79320705993940932</v>
      </c>
      <c r="BR113" s="21">
        <f>EXP(-LN(2)/2)*BR112+(1-EXP(-LN(2)/2))/(LN(2)/2)*BL113*BO113*VLOOKUP('Données projet'!$B$11,Paramètres!$A$1:$I$89,3,0)*0.475*44/12</f>
        <v>1.2623818961744247E-11</v>
      </c>
      <c r="BS113" s="22">
        <f t="shared" si="63"/>
        <v>0.79320705995203311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233</v>
      </c>
      <c r="BW113" s="12">
        <f>VLOOKUP(A113,'Données projet'!$A$113:$I$133,9,0)</f>
        <v>3.1</v>
      </c>
      <c r="BX113" s="12">
        <f t="array" ref="BX113">INDEX(BW:BW,MIN(IF(ISNUMBER(BW113:BW309),ROW(BW113:BW309),"")))</f>
        <v>3.1</v>
      </c>
      <c r="BY113" s="12">
        <f>IF('Données projet'!$A$114&gt;35,BY112+BX113-CG112,IF(A113&lt;'Données projet'!$A$114,$BV$205^A113,IF(A113='Données projet'!$A$114,'Données projet'!$B$114,BY112+BX113-CG112)))</f>
        <v>232.99999999999991</v>
      </c>
      <c r="BZ113" s="13">
        <f>BY113*VLOOKUP('Données projet'!$B$12,Paramètres!$A$1:$I$89,3,0)*VLOOKUP('Données projet'!$B$12,Paramètres!$A$1:$I$89,5,0)</f>
        <v>225.35759999999993</v>
      </c>
      <c r="CA113" s="13">
        <f t="shared" si="93"/>
        <v>55.277697971185155</v>
      </c>
      <c r="CB113" s="20">
        <f t="shared" si="64"/>
        <v>488.77314396648063</v>
      </c>
      <c r="CC113" s="59">
        <f t="shared" si="65"/>
        <v>782.10647729981395</v>
      </c>
      <c r="CD113" s="59">
        <f ca="1">AVERAGE(OFFSET($CC$3,0,0,'Données projet'!$E$12+1,1))-AVERAGE(OFFSET($H$3,0,0,'Données projet'!$E$12+1,1))</f>
        <v>156.26368818265388</v>
      </c>
      <c r="CE113" s="59">
        <f t="shared" si="94"/>
        <v>56.347130462109817</v>
      </c>
      <c r="CF113" s="15">
        <f>IF(ISNA(VLOOKUP(A113,'Données projet'!$A$113:$I$133,3,0)),0,VLOOKUP(A113,'Données projet'!$A$113:$I$133,3,0))</f>
        <v>8</v>
      </c>
      <c r="CG113" s="15">
        <f>IF(ISNA(VLOOKUP(A113,'Données projet'!$A$113:$I$133,4,0)),0,VLOOKUP(A113,'Données projet'!$A$113:$I$133,4,0))</f>
        <v>27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233</v>
      </c>
      <c r="CR113" s="12">
        <f>VLOOKUP(A113,'Données projet'!$A$139:$I$159,9,0)</f>
        <v>3.1</v>
      </c>
      <c r="CS113" s="12">
        <f t="array" ref="CS113">INDEX(CR:CR,MIN(IF(ISNUMBER(CR113:CR309),ROW(CR113:CR309),"")))</f>
        <v>3.1</v>
      </c>
      <c r="CT113" s="12">
        <f>IF('Données projet'!$A$140&gt;35,CT112+CS113-DB112,IF(A113&lt;'Données projet'!$A$140,$CQ$205^A113,IF(A113='Données projet'!$A$140,'Données projet'!$B$140,CT112+CS113-DB112)))</f>
        <v>232.99999999999991</v>
      </c>
      <c r="CU113" s="17">
        <f>CT113*VLOOKUP('Données projet'!$B$13,Paramètres!$A$1:$I$89,3,0)*VLOOKUP('Données projet'!$B$13,Paramètres!$A$1:$I$89,5,0)</f>
        <v>189.00959999999992</v>
      </c>
      <c r="CV113" s="13">
        <f t="shared" si="95"/>
        <v>47.320922915876466</v>
      </c>
      <c r="CW113" s="20">
        <f t="shared" si="67"/>
        <v>411.60899407848461</v>
      </c>
      <c r="CX113" s="59">
        <f t="shared" si="68"/>
        <v>704.94232741181793</v>
      </c>
      <c r="CY113" s="59">
        <f ca="1">AVERAGE(OFFSET($CX$3,0,0,'Données projet'!$E$13+1,1))-AVERAGE(OFFSET($H$3,0,0,'Données projet'!$E$13+1,1))</f>
        <v>112.78807760743126</v>
      </c>
      <c r="CZ113" s="59">
        <f t="shared" si="96"/>
        <v>37.867745922003564</v>
      </c>
      <c r="DA113" s="15">
        <f>IF(ISNA(VLOOKUP(A113,'Données projet'!$A$139:$I$159,3,0)),0,VLOOKUP(A113,'Données projet'!$A$139:$I$159,3,0))</f>
        <v>8</v>
      </c>
      <c r="DB113" s="15">
        <f>IF(ISNA(VLOOKUP(A113,'Données projet'!$A$139:$I$159,4,0)),0,VLOOKUP(A113,'Données projet'!$A$139:$I$159,4,0))</f>
        <v>27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-8.5265128291212022E-14</v>
      </c>
      <c r="DP113" s="17">
        <f>DO113*VLOOKUP('Données projet'!$B$14,Paramètres!$A$1:$I$89,3,0)*VLOOKUP('Données projet'!$B$14,Paramètres!$A$1:$I$89,5,0)</f>
        <v>-5.7195848057745024E-14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107.15837202366862</v>
      </c>
      <c r="DU113" s="59">
        <f t="shared" si="98"/>
        <v>139.67031833740026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0.61679087300103752</v>
      </c>
      <c r="EC113" s="21">
        <f>EXP(-LN(2)/2)*EC112+(1-EXP(-LN(2)/2))/(LN(2)/2)*DW113*DZ113*VLOOKUP('Données projet'!$B$14,Paramètres!$A$1:$I$89,3,0)*0.475*44/12</f>
        <v>6.1386122577510155E-12</v>
      </c>
      <c r="ED113" s="22">
        <f t="shared" si="72"/>
        <v>0.61679087300717617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448.59999999999997</v>
      </c>
      <c r="EH113" s="12">
        <f>VLOOKUP(A113,'Données projet'!$A$191:$I$211,9,0)</f>
        <v>8.6999999999999993</v>
      </c>
      <c r="EI113" s="12">
        <f t="array" ref="EI113">INDEX(EH:EH,MIN(IF(ISNUMBER(EH113:EH309),ROW(EH113:EH309),"")))</f>
        <v>8.6999999999999993</v>
      </c>
      <c r="EJ113" s="12">
        <f>IF('Données projet'!$A$192&gt;35,EJ112+EI113-ER112,IF(A113&lt;'Données projet'!$A$192,$EG$205^A113,IF(A113='Données projet'!$A$192,'Données projet'!$B$192,EJ112+EI113-ER112)))</f>
        <v>448.59999999999991</v>
      </c>
      <c r="EK113" s="17">
        <f>EJ113*VLOOKUP('Données projet'!$B$15,Paramètres!$A$1:$I$89,3,0)*VLOOKUP('Données projet'!$B$15,Paramètres!$A$1:$I$89,5,0)</f>
        <v>209.94479999999996</v>
      </c>
      <c r="EL113" s="13">
        <f t="shared" si="99"/>
        <v>51.923522924934218</v>
      </c>
      <c r="EM113" s="20">
        <f t="shared" si="73"/>
        <v>456.08732909426044</v>
      </c>
      <c r="EN113" s="59">
        <f t="shared" si="74"/>
        <v>749.4206624275937</v>
      </c>
      <c r="EO113" s="59">
        <f ca="1">AVERAGE(OFFSET($EN$3,0,0,'Données projet'!$E$15+1,1))-AVERAGE(OFFSET($H$3,0,0,'Données projet'!$E$15+1,1))</f>
        <v>123.60520571614535</v>
      </c>
      <c r="EP113" s="59">
        <f t="shared" si="100"/>
        <v>119.00926870519527</v>
      </c>
      <c r="EQ113" s="15">
        <f>IF(ISNA(VLOOKUP(A113,'Données projet'!$A$191:$I$211,3,0)),0,VLOOKUP(A113,'Données projet'!$A$191:$I$211,3,0))</f>
        <v>10</v>
      </c>
      <c r="ER113" s="15">
        <f>IF(ISNA(VLOOKUP(A113,'Données projet'!$A$191:$I$211,4,0)),0,VLOOKUP(A113,'Données projet'!$A$191:$I$211,4,0))</f>
        <v>448.6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0.17786973339411583</v>
      </c>
      <c r="EW113" s="21">
        <f>EXP(-LN(2)/25)*EW112+(1-EXP(-LN(2)/25))/(LN(2)/25)*Calculateur!ER113*Calculateur!ET113*VLOOKUP('Données projet'!$B$15,Paramètres!$A$1:$I$89,3,0)*0.475*44/12</f>
        <v>0.51980119306972072</v>
      </c>
      <c r="EX113" s="21">
        <f>EXP(-LN(2)/2)*EX112+(1-EXP(-LN(2)/2))/(LN(2)/2)*ER113*EU113*VLOOKUP('Données projet'!$B$15,Paramètres!$A$1:$I$89,3,0)*0.475*44/12</f>
        <v>5.5603872998131424E-12</v>
      </c>
      <c r="EY113" s="22">
        <f t="shared" si="75"/>
        <v>0.69767092646939699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-2.2737367544323206E-13</v>
      </c>
      <c r="FF113" s="17">
        <f>FE113*VLOOKUP('Données projet'!$B$16,Paramètres!$A$1:$I$89,3,0)*VLOOKUP('Données projet'!$B$16,Paramètres!$A$1:$I$89,5,0)</f>
        <v>-1.0936673788819462E-13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197.66963254934603</v>
      </c>
      <c r="FK113" s="59">
        <f t="shared" si="102"/>
        <v>158.08388141976138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0.54699222474218412</v>
      </c>
      <c r="FR113" s="21">
        <f>EXP(-LN(2)/25)*FR112+(1-EXP(-LN(2)/25))/(LN(2)/25)*Calculateur!FM113*Calculateur!FO113*VLOOKUP('Données projet'!$B$16,Paramètres!$A$1:$I$89,3,0)*0.475*44/12</f>
        <v>0.57818972023202209</v>
      </c>
      <c r="FS113" s="21">
        <f>EXP(-LN(2)/2)*FS112+(1-EXP(-LN(2)/2))/(LN(2)/2)*FM113*FP113*VLOOKUP('Données projet'!$B$16,Paramètres!$A$1:$I$89,3,0)*0.475*44/12</f>
        <v>7.528776017057225E-12</v>
      </c>
      <c r="FT113" s="22">
        <f t="shared" si="78"/>
        <v>1.1251819449817351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5.6843418860808015E-14</v>
      </c>
      <c r="GA113" s="17">
        <f>FZ113*VLOOKUP('Données projet'!$B$17,Paramètres!$A$1:$I$89,3,0)*VLOOKUP('Données projet'!$B$17,Paramètres!$A$1:$I$89,5,0)</f>
        <v>3.3992364478763198E-14</v>
      </c>
      <c r="GB113" s="13">
        <f t="shared" si="103"/>
        <v>5.790027782444094E-13</v>
      </c>
      <c r="GC113" s="20">
        <f t="shared" si="79"/>
        <v>1.0676332069095257E-12</v>
      </c>
      <c r="GD113" s="59">
        <f t="shared" si="80"/>
        <v>293.33333333333439</v>
      </c>
      <c r="GE113" s="59">
        <f ca="1">AVERAGE(OFFSET($GD$3,0,0,'Données projet'!$E$17+1,1))-AVERAGE(OFFSET($H$3,0,0,'Données projet'!$E$17+1,1))</f>
        <v>165.39579887388538</v>
      </c>
      <c r="GF113" s="59">
        <f t="shared" si="104"/>
        <v>155.89639262545802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0.79320705993940932</v>
      </c>
      <c r="GN113" s="21">
        <f>EXP(-LN(2)/2)*GN112+(1-EXP(-LN(2)/2))/(LN(2)/2)*GH113*GK113*VLOOKUP('Données projet'!$B$17,Paramètres!$A$1:$I$89,3,0)*0.475*44/12</f>
        <v>1.2623818961744247E-11</v>
      </c>
      <c r="GO113" s="21">
        <f t="shared" si="81"/>
        <v>0.79320705995203311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>
        <f>VLOOKUP(A113,'Données projet'!$A$269:$I$289,2,0)</f>
        <v>233</v>
      </c>
      <c r="GS113" s="12">
        <f>VLOOKUP(A113,'Données projet'!$A$269:$I$289,9,0)</f>
        <v>3.1</v>
      </c>
      <c r="GT113" s="12">
        <f t="array" ref="GT113">INDEX(GS:GS,MIN(IF(ISNUMBER(GS113:GS309),ROW(GS113:GS309),"")))</f>
        <v>3.1</v>
      </c>
      <c r="GU113" s="12">
        <f>IF('Données projet'!$A$270&gt;35,GU112+GT113-HC112,IF(A113&lt;'Données projet'!$A$270,$GR$205^A113,IF(A113='Données projet'!$A$270,'Données projet'!$B$270,GU112+GT113-HC112)))</f>
        <v>232.99999999999991</v>
      </c>
      <c r="GV113" s="17">
        <f>GU113*VLOOKUP('Données projet'!$B$18,Paramètres!$A$1:$I$89,3,0)*VLOOKUP('Données projet'!$B$18,Paramètres!$A$1:$I$89,5,0)</f>
        <v>250.80119999999988</v>
      </c>
      <c r="GW113" s="13">
        <f t="shared" si="105"/>
        <v>60.757473811682686</v>
      </c>
      <c r="GX113" s="20">
        <f t="shared" si="82"/>
        <v>542.63135688868044</v>
      </c>
      <c r="GY113" s="59">
        <f t="shared" si="83"/>
        <v>835.96469022201381</v>
      </c>
      <c r="GZ113" s="59">
        <f ca="1">AVERAGE(OFFSET($GY$3,0,0,'Données projet'!$E$18+1,1))-AVERAGE(OFFSET($H$3,0,0,'Données projet'!$E$18+1,1))</f>
        <v>186.60545265015247</v>
      </c>
      <c r="HA113" s="59">
        <f t="shared" si="106"/>
        <v>69.239647548491234</v>
      </c>
      <c r="HB113" s="15">
        <f>IF(ISNA(VLOOKUP(A113,'Données projet'!$A$269:$I$289,3,0)),0,VLOOKUP(A113,'Données projet'!$A$269:$I$289,3,0))</f>
        <v>8</v>
      </c>
      <c r="HC113" s="15">
        <f>IF(ISNA(VLOOKUP(A113,'Données projet'!$A$269:$I$289,4,0)),0,VLOOKUP(A113,'Données projet'!$A$269:$I$289,4,0))</f>
        <v>27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0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0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1.9065282685915009E-13</v>
      </c>
      <c r="P114" s="13">
        <f t="shared" si="87"/>
        <v>2.6568987209435707E-12</v>
      </c>
      <c r="Q114" s="20">
        <f t="shared" si="107"/>
        <v>4.959485612423072E-12</v>
      </c>
      <c r="R114" s="59">
        <f t="shared" si="55"/>
        <v>293.33333333333826</v>
      </c>
      <c r="S114" s="59">
        <f ca="1">AVERAGE(OFFSET($R$3,0,0,'Données projet'!$E$9+1,1))-AVERAGE(OFFSET($H$3,0,0,'Données projet'!$E$9+1,1))</f>
        <v>235.10258076192054</v>
      </c>
      <c r="T114" s="59">
        <f t="shared" si="88"/>
        <v>233.47316052603765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0.68883105958053326</v>
      </c>
      <c r="AA114" s="21">
        <f>EXP(-LN(2)/25)*AA113+(1-EXP(-LN(2)/25))/(LN(2)/25)*Calculateur!V114*Calculateur!X114*VLOOKUP('Données projet'!$B$9,Paramètres!$A$1:$I$89,3,0)*0.475*44/12</f>
        <v>1.9512065200396964</v>
      </c>
      <c r="AB114" s="21">
        <f>EXP(-LN(2)/2)*AB113+(1-EXP(-LN(2)/2))/(LN(2)/2)*V114*Y114*VLOOKUP('Données projet'!$B$9,Paramètres!$A$1:$I$89,3,0)*0.475*44/12</f>
        <v>1.5513148866770774E-11</v>
      </c>
      <c r="AC114" s="22">
        <f t="shared" si="57"/>
        <v>2.6400375796357429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2.2737367544323206E-13</v>
      </c>
      <c r="AJ114" s="13">
        <f>AI114*VLOOKUP('Données projet'!$B$10,Paramètres!$A$1:$I$89,3,0)*VLOOKUP('Données projet'!$B$10,Paramètres!$A$1:$I$89,5,0)</f>
        <v>1.2414602679200471E-13</v>
      </c>
      <c r="AK114" s="13">
        <f t="shared" si="89"/>
        <v>1.8186582995804361E-12</v>
      </c>
      <c r="AL114" s="20">
        <f t="shared" si="58"/>
        <v>3.3837175350986671E-12</v>
      </c>
      <c r="AM114" s="59">
        <f t="shared" si="59"/>
        <v>293.33333333333672</v>
      </c>
      <c r="AN114" s="59">
        <f ca="1">AVERAGE(OFFSET($AM$3,0,0,'Données projet'!$E$10+1,1))-AVERAGE(OFFSET($H$3,0,0,'Données projet'!$E$10+1,1))</f>
        <v>168.72306536277267</v>
      </c>
      <c r="AO114" s="59">
        <f t="shared" si="90"/>
        <v>203.35476578922339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0.61164702964867645</v>
      </c>
      <c r="AV114" s="21">
        <f>EXP(-LN(2)/25)*AV113+(1-EXP(-LN(2)/25))/(LN(2)/25)*Calculateur!AQ114*Calculateur!AS114*VLOOKUP('Données projet'!$B$10,Paramètres!$A$1:$I$89,3,0)*0.475*44/12</f>
        <v>2.4328074061194656</v>
      </c>
      <c r="AW114" s="21">
        <f>EXP(-LN(2)/2)*AW113+(1-EXP(-LN(2)/2))/(LN(2)/2)*AQ114*AT114*VLOOKUP('Données projet'!$B$10,Paramètres!$A$1:$I$89,3,0)*0.475*44/12</f>
        <v>1.2877533419594932E-11</v>
      </c>
      <c r="AX114" s="21">
        <f t="shared" si="60"/>
        <v>3.0444544357810197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3.3992364478763198E-14</v>
      </c>
      <c r="BF114" s="13">
        <f t="shared" si="91"/>
        <v>5.790027782444094E-13</v>
      </c>
      <c r="BG114" s="20">
        <f t="shared" si="61"/>
        <v>1.0676332069095257E-12</v>
      </c>
      <c r="BH114" s="59">
        <f t="shared" si="62"/>
        <v>293.33333333333439</v>
      </c>
      <c r="BI114" s="59">
        <f ca="1">AVERAGE(OFFSET($BH$3,0,0,'Données projet'!$E$11+1,1))-AVERAGE(OFFSET($H$3,0,0,'Données projet'!$E$11+1,1))</f>
        <v>165.39579887388538</v>
      </c>
      <c r="BJ114" s="59">
        <f t="shared" si="92"/>
        <v>155.89639262545802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0.77151677117241979</v>
      </c>
      <c r="BR114" s="21">
        <f>EXP(-LN(2)/2)*BR113+(1-EXP(-LN(2)/2))/(LN(2)/2)*BL114*BO114*VLOOKUP('Données projet'!$B$11,Paramètres!$A$1:$I$89,3,0)*0.475*44/12</f>
        <v>8.9263879923206789E-12</v>
      </c>
      <c r="BS114" s="22">
        <f t="shared" si="63"/>
        <v>0.77151677118134621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2.8</v>
      </c>
      <c r="BY114" s="12">
        <f>IF('Données projet'!$A$114&gt;35,BY113+BX114-CG113,IF(A114&lt;'Données projet'!$A$114,$BV$205^A114,IF(A114='Données projet'!$A$114,'Données projet'!$B$114,BY113+BX114-CG113)))</f>
        <v>208.79999999999993</v>
      </c>
      <c r="BZ114" s="13">
        <f>BY114*VLOOKUP('Données projet'!$B$12,Paramètres!$A$1:$I$89,3,0)*VLOOKUP('Données projet'!$B$12,Paramètres!$A$1:$I$89,5,0)</f>
        <v>201.95135999999994</v>
      </c>
      <c r="CA114" s="13">
        <f t="shared" si="93"/>
        <v>50.172774950657889</v>
      </c>
      <c r="CB114" s="20">
        <f t="shared" si="64"/>
        <v>439.11620170572905</v>
      </c>
      <c r="CC114" s="59">
        <f t="shared" si="65"/>
        <v>732.44953503906231</v>
      </c>
      <c r="CD114" s="59">
        <f ca="1">AVERAGE(OFFSET($CC$3,0,0,'Données projet'!$E$12+1,1))-AVERAGE(OFFSET($H$3,0,0,'Données projet'!$E$12+1,1))</f>
        <v>156.26368818265388</v>
      </c>
      <c r="CE114" s="59">
        <f t="shared" si="94"/>
        <v>56.347130462109817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2.8</v>
      </c>
      <c r="CT114" s="12">
        <f>IF('Données projet'!$A$140&gt;35,CT113+CS114-DB113,IF(A114&lt;'Données projet'!$A$140,$CQ$205^A114,IF(A114='Données projet'!$A$140,'Données projet'!$B$140,CT113+CS114-DB113)))</f>
        <v>208.79999999999993</v>
      </c>
      <c r="CU114" s="17">
        <f>CT114*VLOOKUP('Données projet'!$B$13,Paramètres!$A$1:$I$89,3,0)*VLOOKUP('Données projet'!$B$13,Paramètres!$A$1:$I$89,5,0)</f>
        <v>169.37855999999996</v>
      </c>
      <c r="CV114" s="13">
        <f t="shared" si="95"/>
        <v>42.950812046357697</v>
      </c>
      <c r="CW114" s="20">
        <f t="shared" si="67"/>
        <v>369.80698964740623</v>
      </c>
      <c r="CX114" s="59">
        <f t="shared" si="68"/>
        <v>663.14032298073948</v>
      </c>
      <c r="CY114" s="59">
        <f ca="1">AVERAGE(OFFSET($CX$3,0,0,'Données projet'!$E$13+1,1))-AVERAGE(OFFSET($H$3,0,0,'Données projet'!$E$13+1,1))</f>
        <v>112.78807760743126</v>
      </c>
      <c r="CZ114" s="59">
        <f t="shared" si="96"/>
        <v>37.867745922003564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-8.5265128291212022E-14</v>
      </c>
      <c r="DP114" s="17">
        <f>DO114*VLOOKUP('Données projet'!$B$14,Paramètres!$A$1:$I$89,3,0)*VLOOKUP('Données projet'!$B$14,Paramètres!$A$1:$I$89,5,0)</f>
        <v>-5.7195848057745024E-14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107.15837202366862</v>
      </c>
      <c r="DU114" s="59">
        <f t="shared" si="98"/>
        <v>139.67031833740026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0.59992469414320182</v>
      </c>
      <c r="EC114" s="21">
        <f>EXP(-LN(2)/2)*EC113+(1-EXP(-LN(2)/2))/(LN(2)/2)*DW114*DZ114*VLOOKUP('Données projet'!$B$14,Paramètres!$A$1:$I$89,3,0)*0.475*44/12</f>
        <v>4.3406543545306057E-12</v>
      </c>
      <c r="ED114" s="22">
        <f t="shared" si="72"/>
        <v>0.59992469414754246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-1.1368683772161603E-13</v>
      </c>
      <c r="EK114" s="17">
        <f>EJ114*VLOOKUP('Données projet'!$B$15,Paramètres!$A$1:$I$89,3,0)*VLOOKUP('Données projet'!$B$15,Paramètres!$A$1:$I$89,5,0)</f>
        <v>-5.3205440053716299E-14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123.60520571614535</v>
      </c>
      <c r="EP114" s="59">
        <f t="shared" si="100"/>
        <v>119.00926870519527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0.17438181641208211</v>
      </c>
      <c r="EW114" s="21">
        <f>EXP(-LN(2)/25)*EW113+(1-EXP(-LN(2)/25))/(LN(2)/25)*Calculateur!ER114*Calculateur!ET114*VLOOKUP('Données projet'!$B$15,Paramètres!$A$1:$I$89,3,0)*0.475*44/12</f>
        <v>0.50558720211007246</v>
      </c>
      <c r="EX114" s="21">
        <f>EXP(-LN(2)/2)*EX113+(1-EXP(-LN(2)/2))/(LN(2)/2)*ER114*EU114*VLOOKUP('Données projet'!$B$15,Paramètres!$A$1:$I$89,3,0)*0.475*44/12</f>
        <v>3.9317875657214294E-12</v>
      </c>
      <c r="EY114" s="22">
        <f t="shared" si="75"/>
        <v>0.67996901852608627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-2.2737367544323206E-13</v>
      </c>
      <c r="FF114" s="17">
        <f>FE114*VLOOKUP('Données projet'!$B$16,Paramètres!$A$1:$I$89,3,0)*VLOOKUP('Données projet'!$B$16,Paramètres!$A$1:$I$89,5,0)</f>
        <v>-1.0936673788819462E-13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197.66963254934603</v>
      </c>
      <c r="FK114" s="59">
        <f t="shared" si="102"/>
        <v>158.08388141976138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0.53626604084730356</v>
      </c>
      <c r="FR114" s="21">
        <f>EXP(-LN(2)/25)*FR113+(1-EXP(-LN(2)/25))/(LN(2)/25)*Calculateur!FM114*Calculateur!FO114*VLOOKUP('Données projet'!$B$16,Paramètres!$A$1:$I$89,3,0)*0.475*44/12</f>
        <v>0.56237909192660152</v>
      </c>
      <c r="FS114" s="21">
        <f>EXP(-LN(2)/2)*FS113+(1-EXP(-LN(2)/2))/(LN(2)/2)*FM114*FP114*VLOOKUP('Données projet'!$B$16,Paramètres!$A$1:$I$89,3,0)*0.475*44/12</f>
        <v>5.3236485756958102E-12</v>
      </c>
      <c r="FT114" s="22">
        <f t="shared" si="78"/>
        <v>1.0986451327792288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5.6843418860808015E-14</v>
      </c>
      <c r="GA114" s="17">
        <f>FZ114*VLOOKUP('Données projet'!$B$17,Paramètres!$A$1:$I$89,3,0)*VLOOKUP('Données projet'!$B$17,Paramètres!$A$1:$I$89,5,0)</f>
        <v>3.3992364478763198E-14</v>
      </c>
      <c r="GB114" s="13">
        <f t="shared" si="103"/>
        <v>5.790027782444094E-13</v>
      </c>
      <c r="GC114" s="20">
        <f t="shared" si="79"/>
        <v>1.0676332069095257E-12</v>
      </c>
      <c r="GD114" s="59">
        <f t="shared" si="80"/>
        <v>293.33333333333439</v>
      </c>
      <c r="GE114" s="59">
        <f ca="1">AVERAGE(OFFSET($GD$3,0,0,'Données projet'!$E$17+1,1))-AVERAGE(OFFSET($H$3,0,0,'Données projet'!$E$17+1,1))</f>
        <v>165.39579887388538</v>
      </c>
      <c r="GF114" s="59">
        <f t="shared" si="104"/>
        <v>155.89639262545802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0.77151677117241979</v>
      </c>
      <c r="GN114" s="21">
        <f>EXP(-LN(2)/2)*GN113+(1-EXP(-LN(2)/2))/(LN(2)/2)*GH114*GK114*VLOOKUP('Données projet'!$B$17,Paramètres!$A$1:$I$89,3,0)*0.475*44/12</f>
        <v>8.9263879923206789E-12</v>
      </c>
      <c r="GO114" s="21">
        <f t="shared" si="81"/>
        <v>0.77151677118134621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2.8</v>
      </c>
      <c r="GU114" s="12">
        <f>IF('Données projet'!$A$270&gt;35,GU113+GT114-HC113,IF(A114&lt;'Données projet'!$A$270,$GR$205^A114,IF(A114='Données projet'!$A$270,'Données projet'!$B$270,GU113+GT114-HC113)))</f>
        <v>208.79999999999993</v>
      </c>
      <c r="GV114" s="17">
        <f>GU114*VLOOKUP('Données projet'!$B$18,Paramètres!$A$1:$I$89,3,0)*VLOOKUP('Données projet'!$B$18,Paramètres!$A$1:$I$89,5,0)</f>
        <v>224.75231999999991</v>
      </c>
      <c r="GW114" s="13">
        <f t="shared" si="105"/>
        <v>55.146490754971083</v>
      </c>
      <c r="GX114" s="20">
        <f t="shared" si="82"/>
        <v>487.49042873157447</v>
      </c>
      <c r="GY114" s="59">
        <f t="shared" si="83"/>
        <v>780.82376206490778</v>
      </c>
      <c r="GZ114" s="59">
        <f ca="1">AVERAGE(OFFSET($GY$3,0,0,'Données projet'!$E$18+1,1))-AVERAGE(OFFSET($H$3,0,0,'Données projet'!$E$18+1,1))</f>
        <v>186.60545265015247</v>
      </c>
      <c r="HA114" s="59">
        <f t="shared" si="106"/>
        <v>69.239647548491234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0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0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1.9065282685915009E-13</v>
      </c>
      <c r="P115" s="13">
        <f t="shared" si="87"/>
        <v>2.6568987209435707E-12</v>
      </c>
      <c r="Q115" s="20">
        <f t="shared" si="107"/>
        <v>4.959485612423072E-12</v>
      </c>
      <c r="R115" s="59">
        <f t="shared" si="55"/>
        <v>293.33333333333826</v>
      </c>
      <c r="S115" s="59">
        <f ca="1">AVERAGE(OFFSET($R$3,0,0,'Données projet'!$E$9+1,1))-AVERAGE(OFFSET($H$3,0,0,'Données projet'!$E$9+1,1))</f>
        <v>235.10258076192054</v>
      </c>
      <c r="T115" s="59">
        <f t="shared" si="88"/>
        <v>233.47316052603765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0.67532350264761942</v>
      </c>
      <c r="AA115" s="21">
        <f>EXP(-LN(2)/25)*AA114+(1-EXP(-LN(2)/25))/(LN(2)/25)*Calculateur!V115*Calculateur!X115*VLOOKUP('Données projet'!$B$9,Paramètres!$A$1:$I$89,3,0)*0.475*44/12</f>
        <v>1.8978506751397195</v>
      </c>
      <c r="AB115" s="21">
        <f>EXP(-LN(2)/2)*AB114+(1-EXP(-LN(2)/2))/(LN(2)/2)*V115*Y115*VLOOKUP('Données projet'!$B$9,Paramètres!$A$1:$I$89,3,0)*0.475*44/12</f>
        <v>1.0969452761250019E-11</v>
      </c>
      <c r="AC115" s="22">
        <f t="shared" si="57"/>
        <v>2.5731741777983084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2.2737367544323206E-13</v>
      </c>
      <c r="AJ115" s="13">
        <f>AI115*VLOOKUP('Données projet'!$B$10,Paramètres!$A$1:$I$89,3,0)*VLOOKUP('Données projet'!$B$10,Paramètres!$A$1:$I$89,5,0)</f>
        <v>1.2414602679200471E-13</v>
      </c>
      <c r="AK115" s="13">
        <f t="shared" si="89"/>
        <v>1.8186582995804361E-12</v>
      </c>
      <c r="AL115" s="20">
        <f t="shared" si="58"/>
        <v>3.3837175350986671E-12</v>
      </c>
      <c r="AM115" s="59">
        <f t="shared" si="59"/>
        <v>293.33333333333672</v>
      </c>
      <c r="AN115" s="59">
        <f ca="1">AVERAGE(OFFSET($AM$3,0,0,'Données projet'!$E$10+1,1))-AVERAGE(OFFSET($H$3,0,0,'Données projet'!$E$10+1,1))</f>
        <v>168.72306536277267</v>
      </c>
      <c r="AO115" s="59">
        <f t="shared" si="90"/>
        <v>203.35476578922339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0.5996530044651166</v>
      </c>
      <c r="AV115" s="21">
        <f>EXP(-LN(2)/25)*AV114+(1-EXP(-LN(2)/25))/(LN(2)/25)*Calculateur!AQ115*Calculateur!AS115*VLOOKUP('Données projet'!$B$10,Paramètres!$A$1:$I$89,3,0)*0.475*44/12</f>
        <v>2.3662821596633474</v>
      </c>
      <c r="AW115" s="21">
        <f>EXP(-LN(2)/2)*AW114+(1-EXP(-LN(2)/2))/(LN(2)/2)*AQ115*AT115*VLOOKUP('Données projet'!$B$10,Paramètres!$A$1:$I$89,3,0)*0.475*44/12</f>
        <v>9.1057912059519668E-12</v>
      </c>
      <c r="AX115" s="21">
        <f t="shared" si="60"/>
        <v>2.9659351641375697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3.3992364478763198E-14</v>
      </c>
      <c r="BF115" s="13">
        <f t="shared" si="91"/>
        <v>5.790027782444094E-13</v>
      </c>
      <c r="BG115" s="20">
        <f t="shared" si="61"/>
        <v>1.0676332069095257E-12</v>
      </c>
      <c r="BH115" s="59">
        <f t="shared" si="62"/>
        <v>293.33333333333439</v>
      </c>
      <c r="BI115" s="59">
        <f ca="1">AVERAGE(OFFSET($BH$3,0,0,'Données projet'!$E$11+1,1))-AVERAGE(OFFSET($H$3,0,0,'Données projet'!$E$11+1,1))</f>
        <v>165.39579887388538</v>
      </c>
      <c r="BJ115" s="59">
        <f t="shared" si="92"/>
        <v>155.89639262545802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0.7504196044924063</v>
      </c>
      <c r="BR115" s="21">
        <f>EXP(-LN(2)/2)*BR114+(1-EXP(-LN(2)/2))/(LN(2)/2)*BL115*BO115*VLOOKUP('Données projet'!$B$11,Paramètres!$A$1:$I$89,3,0)*0.475*44/12</f>
        <v>6.3119094808721237E-12</v>
      </c>
      <c r="BS115" s="22">
        <f t="shared" si="63"/>
        <v>0.75041960449871825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2.8</v>
      </c>
      <c r="BY115" s="12">
        <f>IF('Données projet'!$A$114&gt;35,BY114+BX115-CG114,IF(A115&lt;'Données projet'!$A$114,$BV$205^A115,IF(A115='Données projet'!$A$114,'Données projet'!$B$114,BY114+BX115-CG114)))</f>
        <v>211.59999999999994</v>
      </c>
      <c r="BZ115" s="13">
        <f>BY115*VLOOKUP('Données projet'!$B$12,Paramètres!$A$1:$I$89,3,0)*VLOOKUP('Données projet'!$B$12,Paramètres!$A$1:$I$89,5,0)</f>
        <v>204.65951999999993</v>
      </c>
      <c r="CA115" s="13">
        <f t="shared" si="93"/>
        <v>50.766812591921344</v>
      </c>
      <c r="CB115" s="20">
        <f t="shared" si="64"/>
        <v>444.86752926426288</v>
      </c>
      <c r="CC115" s="59">
        <f t="shared" si="65"/>
        <v>738.20086259759614</v>
      </c>
      <c r="CD115" s="59">
        <f ca="1">AVERAGE(OFFSET($CC$3,0,0,'Données projet'!$E$12+1,1))-AVERAGE(OFFSET($H$3,0,0,'Données projet'!$E$12+1,1))</f>
        <v>156.26368818265388</v>
      </c>
      <c r="CE115" s="59">
        <f t="shared" si="94"/>
        <v>56.347130462109817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2.8</v>
      </c>
      <c r="CT115" s="12">
        <f>IF('Données projet'!$A$140&gt;35,CT114+CS115-DB114,IF(A115&lt;'Données projet'!$A$140,$CQ$205^A115,IF(A115='Données projet'!$A$140,'Données projet'!$B$140,CT114+CS115-DB114)))</f>
        <v>211.59999999999994</v>
      </c>
      <c r="CU115" s="17">
        <f>CT115*VLOOKUP('Données projet'!$B$13,Paramètres!$A$1:$I$89,3,0)*VLOOKUP('Données projet'!$B$13,Paramètres!$A$1:$I$89,5,0)</f>
        <v>171.64991999999995</v>
      </c>
      <c r="CV115" s="13">
        <f t="shared" si="95"/>
        <v>43.45934280040629</v>
      </c>
      <c r="CW115" s="20">
        <f t="shared" si="67"/>
        <v>374.64863271070755</v>
      </c>
      <c r="CX115" s="59">
        <f t="shared" si="68"/>
        <v>667.98196604404086</v>
      </c>
      <c r="CY115" s="59">
        <f ca="1">AVERAGE(OFFSET($CX$3,0,0,'Données projet'!$E$13+1,1))-AVERAGE(OFFSET($H$3,0,0,'Données projet'!$E$13+1,1))</f>
        <v>112.78807760743126</v>
      </c>
      <c r="CZ115" s="59">
        <f t="shared" si="96"/>
        <v>37.867745922003564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-8.5265128291212022E-14</v>
      </c>
      <c r="DP115" s="17">
        <f>DO115*VLOOKUP('Données projet'!$B$14,Paramètres!$A$1:$I$89,3,0)*VLOOKUP('Données projet'!$B$14,Paramètres!$A$1:$I$89,5,0)</f>
        <v>-5.7195848057745024E-14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107.15837202366862</v>
      </c>
      <c r="DU115" s="59">
        <f t="shared" si="98"/>
        <v>139.67031833740026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0.58351972183318745</v>
      </c>
      <c r="EC115" s="21">
        <f>EXP(-LN(2)/2)*EC114+(1-EXP(-LN(2)/2))/(LN(2)/2)*DW115*DZ115*VLOOKUP('Données projet'!$B$14,Paramètres!$A$1:$I$89,3,0)*0.475*44/12</f>
        <v>3.0693061288755077E-12</v>
      </c>
      <c r="ED115" s="22">
        <f t="shared" si="72"/>
        <v>0.58351972183625678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-1.1368683772161603E-13</v>
      </c>
      <c r="EK115" s="17">
        <f>EJ115*VLOOKUP('Données projet'!$B$15,Paramètres!$A$1:$I$89,3,0)*VLOOKUP('Données projet'!$B$15,Paramètres!$A$1:$I$89,5,0)</f>
        <v>-5.3205440053716299E-14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123.60520571614535</v>
      </c>
      <c r="EP115" s="59">
        <f t="shared" si="100"/>
        <v>119.00926870519527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0.17096229535464677</v>
      </c>
      <c r="EW115" s="21">
        <f>EXP(-LN(2)/25)*EW114+(1-EXP(-LN(2)/25))/(LN(2)/25)*Calculateur!ER115*Calculateur!ET115*VLOOKUP('Données projet'!$B$15,Paramètres!$A$1:$I$89,3,0)*0.475*44/12</f>
        <v>0.4917618934806971</v>
      </c>
      <c r="EX115" s="21">
        <f>EXP(-LN(2)/2)*EX114+(1-EXP(-LN(2)/2))/(LN(2)/2)*ER115*EU115*VLOOKUP('Données projet'!$B$15,Paramètres!$A$1:$I$89,3,0)*0.475*44/12</f>
        <v>2.7801936499065712E-12</v>
      </c>
      <c r="EY115" s="22">
        <f t="shared" si="75"/>
        <v>0.66272418883812412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-2.2737367544323206E-13</v>
      </c>
      <c r="FF115" s="17">
        <f>FE115*VLOOKUP('Données projet'!$B$16,Paramètres!$A$1:$I$89,3,0)*VLOOKUP('Données projet'!$B$16,Paramètres!$A$1:$I$89,5,0)</f>
        <v>-1.0936673788819462E-13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197.66963254934603</v>
      </c>
      <c r="FK115" s="59">
        <f t="shared" si="102"/>
        <v>158.08388141976138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0.52575019087627539</v>
      </c>
      <c r="FR115" s="21">
        <f>EXP(-LN(2)/25)*FR114+(1-EXP(-LN(2)/25))/(LN(2)/25)*Calculateur!FM115*Calculateur!FO115*VLOOKUP('Données projet'!$B$16,Paramètres!$A$1:$I$89,3,0)*0.475*44/12</f>
        <v>0.54700080608363744</v>
      </c>
      <c r="FS115" s="21">
        <f>EXP(-LN(2)/2)*FS114+(1-EXP(-LN(2)/2))/(LN(2)/2)*FM115*FP115*VLOOKUP('Données projet'!$B$16,Paramètres!$A$1:$I$89,3,0)*0.475*44/12</f>
        <v>3.7643880085286125E-12</v>
      </c>
      <c r="FT115" s="22">
        <f t="shared" si="78"/>
        <v>1.0727509969636773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5.6843418860808015E-14</v>
      </c>
      <c r="GA115" s="17">
        <f>FZ115*VLOOKUP('Données projet'!$B$17,Paramètres!$A$1:$I$89,3,0)*VLOOKUP('Données projet'!$B$17,Paramètres!$A$1:$I$89,5,0)</f>
        <v>3.3992364478763198E-14</v>
      </c>
      <c r="GB115" s="13">
        <f t="shared" si="103"/>
        <v>5.790027782444094E-13</v>
      </c>
      <c r="GC115" s="20">
        <f t="shared" si="79"/>
        <v>1.0676332069095257E-12</v>
      </c>
      <c r="GD115" s="59">
        <f t="shared" si="80"/>
        <v>293.33333333333439</v>
      </c>
      <c r="GE115" s="59">
        <f ca="1">AVERAGE(OFFSET($GD$3,0,0,'Données projet'!$E$17+1,1))-AVERAGE(OFFSET($H$3,0,0,'Données projet'!$E$17+1,1))</f>
        <v>165.39579887388538</v>
      </c>
      <c r="GF115" s="59">
        <f t="shared" si="104"/>
        <v>155.89639262545802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0.7504196044924063</v>
      </c>
      <c r="GN115" s="21">
        <f>EXP(-LN(2)/2)*GN114+(1-EXP(-LN(2)/2))/(LN(2)/2)*GH115*GK115*VLOOKUP('Données projet'!$B$17,Paramètres!$A$1:$I$89,3,0)*0.475*44/12</f>
        <v>6.3119094808721237E-12</v>
      </c>
      <c r="GO115" s="21">
        <f t="shared" si="81"/>
        <v>0.75041960449871825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2.8</v>
      </c>
      <c r="GU115" s="12">
        <f>IF('Données projet'!$A$270&gt;35,GU114+GT115-HC114,IF(A115&lt;'Données projet'!$A$270,$GR$205^A115,IF(A115='Données projet'!$A$270,'Données projet'!$B$270,GU114+GT115-HC114)))</f>
        <v>211.59999999999994</v>
      </c>
      <c r="GV115" s="17">
        <f>GU115*VLOOKUP('Données projet'!$B$18,Paramètres!$A$1:$I$89,3,0)*VLOOKUP('Données projet'!$B$18,Paramètres!$A$1:$I$89,5,0)</f>
        <v>227.7662399999999</v>
      </c>
      <c r="GW115" s="13">
        <f t="shared" si="105"/>
        <v>55.799416396900583</v>
      </c>
      <c r="GX115" s="20">
        <f t="shared" si="82"/>
        <v>493.87685155793497</v>
      </c>
      <c r="GY115" s="59">
        <f t="shared" si="83"/>
        <v>787.21018489126823</v>
      </c>
      <c r="GZ115" s="59">
        <f ca="1">AVERAGE(OFFSET($GY$3,0,0,'Données projet'!$E$18+1,1))-AVERAGE(OFFSET($H$3,0,0,'Données projet'!$E$18+1,1))</f>
        <v>186.60545265015247</v>
      </c>
      <c r="HA115" s="59">
        <f t="shared" si="106"/>
        <v>69.239647548491234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0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0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1.9065282685915009E-13</v>
      </c>
      <c r="P116" s="13">
        <f t="shared" si="87"/>
        <v>2.6568987209435707E-12</v>
      </c>
      <c r="Q116" s="20">
        <f t="shared" si="107"/>
        <v>4.959485612423072E-12</v>
      </c>
      <c r="R116" s="59">
        <f t="shared" si="55"/>
        <v>293.33333333333826</v>
      </c>
      <c r="S116" s="59">
        <f ca="1">AVERAGE(OFFSET($R$3,0,0,'Données projet'!$E$9+1,1))-AVERAGE(OFFSET($H$3,0,0,'Données projet'!$E$9+1,1))</f>
        <v>235.10258076192054</v>
      </c>
      <c r="T116" s="59">
        <f t="shared" si="88"/>
        <v>233.47316052603765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0.66208082066736385</v>
      </c>
      <c r="AA116" s="21">
        <f>EXP(-LN(2)/25)*AA115+(1-EXP(-LN(2)/25))/(LN(2)/25)*Calculateur!V116*Calculateur!X116*VLOOKUP('Données projet'!$B$9,Paramètres!$A$1:$I$89,3,0)*0.475*44/12</f>
        <v>1.8459538486243945</v>
      </c>
      <c r="AB116" s="21">
        <f>EXP(-LN(2)/2)*AB115+(1-EXP(-LN(2)/2))/(LN(2)/2)*V116*Y116*VLOOKUP('Données projet'!$B$9,Paramètres!$A$1:$I$89,3,0)*0.475*44/12</f>
        <v>7.7565744333853868E-12</v>
      </c>
      <c r="AC116" s="22">
        <f t="shared" si="57"/>
        <v>2.5080346692995148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2.2737367544323206E-13</v>
      </c>
      <c r="AJ116" s="13">
        <f>AI116*VLOOKUP('Données projet'!$B$10,Paramètres!$A$1:$I$89,3,0)*VLOOKUP('Données projet'!$B$10,Paramètres!$A$1:$I$89,5,0)</f>
        <v>1.2414602679200471E-13</v>
      </c>
      <c r="AK116" s="13">
        <f t="shared" si="89"/>
        <v>1.8186582995804361E-12</v>
      </c>
      <c r="AL116" s="20">
        <f t="shared" si="58"/>
        <v>3.3837175350986671E-12</v>
      </c>
      <c r="AM116" s="59">
        <f t="shared" si="59"/>
        <v>293.33333333333672</v>
      </c>
      <c r="AN116" s="59">
        <f ca="1">AVERAGE(OFFSET($AM$3,0,0,'Données projet'!$E$10+1,1))-AVERAGE(OFFSET($H$3,0,0,'Données projet'!$E$10+1,1))</f>
        <v>168.72306536277267</v>
      </c>
      <c r="AO116" s="59">
        <f t="shared" si="90"/>
        <v>203.35476578922339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0.58789417479977335</v>
      </c>
      <c r="AV116" s="21">
        <f>EXP(-LN(2)/25)*AV115+(1-EXP(-LN(2)/25))/(LN(2)/25)*Calculateur!AQ116*Calculateur!AS116*VLOOKUP('Données projet'!$B$10,Paramètres!$A$1:$I$89,3,0)*0.475*44/12</f>
        <v>2.3015760495699826</v>
      </c>
      <c r="AW116" s="21">
        <f>EXP(-LN(2)/2)*AW115+(1-EXP(-LN(2)/2))/(LN(2)/2)*AQ116*AT116*VLOOKUP('Données projet'!$B$10,Paramètres!$A$1:$I$89,3,0)*0.475*44/12</f>
        <v>6.4387667097974662E-12</v>
      </c>
      <c r="AX116" s="21">
        <f t="shared" si="60"/>
        <v>2.8894702243761947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3.3992364478763198E-14</v>
      </c>
      <c r="BF116" s="13">
        <f t="shared" si="91"/>
        <v>5.790027782444094E-13</v>
      </c>
      <c r="BG116" s="20">
        <f t="shared" si="61"/>
        <v>1.0676332069095257E-12</v>
      </c>
      <c r="BH116" s="59">
        <f t="shared" si="62"/>
        <v>293.33333333333439</v>
      </c>
      <c r="BI116" s="59">
        <f ca="1">AVERAGE(OFFSET($BH$3,0,0,'Données projet'!$E$11+1,1))-AVERAGE(OFFSET($H$3,0,0,'Données projet'!$E$11+1,1))</f>
        <v>165.39579887388538</v>
      </c>
      <c r="BJ116" s="59">
        <f t="shared" si="92"/>
        <v>155.89639262545802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0.72989934094470954</v>
      </c>
      <c r="BR116" s="21">
        <f>EXP(-LN(2)/2)*BR115+(1-EXP(-LN(2)/2))/(LN(2)/2)*BL116*BO116*VLOOKUP('Données projet'!$B$11,Paramètres!$A$1:$I$89,3,0)*0.475*44/12</f>
        <v>4.4631939961603395E-12</v>
      </c>
      <c r="BS116" s="22">
        <f t="shared" si="63"/>
        <v>0.72989934094917275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2.8</v>
      </c>
      <c r="BY116" s="12">
        <f>IF('Données projet'!$A$114&gt;35,BY115+BX116-CG115,IF(A116&lt;'Données projet'!$A$114,$BV$205^A116,IF(A116='Données projet'!$A$114,'Données projet'!$B$114,BY115+BX116-CG115)))</f>
        <v>214.39999999999995</v>
      </c>
      <c r="BZ116" s="13">
        <f>BY116*VLOOKUP('Données projet'!$B$12,Paramètres!$A$1:$I$89,3,0)*VLOOKUP('Données projet'!$B$12,Paramètres!$A$1:$I$89,5,0)</f>
        <v>207.36767999999995</v>
      </c>
      <c r="CA116" s="13">
        <f t="shared" si="93"/>
        <v>51.359935934080831</v>
      </c>
      <c r="CB116" s="20">
        <f t="shared" si="64"/>
        <v>450.61726441852403</v>
      </c>
      <c r="CC116" s="59">
        <f t="shared" si="65"/>
        <v>743.95059775185734</v>
      </c>
      <c r="CD116" s="59">
        <f ca="1">AVERAGE(OFFSET($CC$3,0,0,'Données projet'!$E$12+1,1))-AVERAGE(OFFSET($H$3,0,0,'Données projet'!$E$12+1,1))</f>
        <v>156.26368818265388</v>
      </c>
      <c r="CE116" s="59">
        <f t="shared" si="94"/>
        <v>56.347130462109817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2.8</v>
      </c>
      <c r="CT116" s="12">
        <f>IF('Données projet'!$A$140&gt;35,CT115+CS116-DB115,IF(A116&lt;'Données projet'!$A$140,$CQ$205^A116,IF(A116='Données projet'!$A$140,'Données projet'!$B$140,CT115+CS116-DB115)))</f>
        <v>214.39999999999995</v>
      </c>
      <c r="CU116" s="17">
        <f>CT116*VLOOKUP('Données projet'!$B$13,Paramètres!$A$1:$I$89,3,0)*VLOOKUP('Données projet'!$B$13,Paramètres!$A$1:$I$89,5,0)</f>
        <v>173.92127999999997</v>
      </c>
      <c r="CV116" s="13">
        <f t="shared" si="95"/>
        <v>43.967090861270989</v>
      </c>
      <c r="CW116" s="20">
        <f t="shared" si="67"/>
        <v>379.48891258338023</v>
      </c>
      <c r="CX116" s="59">
        <f t="shared" si="68"/>
        <v>672.82224591671354</v>
      </c>
      <c r="CY116" s="59">
        <f ca="1">AVERAGE(OFFSET($CX$3,0,0,'Données projet'!$E$13+1,1))-AVERAGE(OFFSET($H$3,0,0,'Données projet'!$E$13+1,1))</f>
        <v>112.78807760743126</v>
      </c>
      <c r="CZ116" s="59">
        <f t="shared" si="96"/>
        <v>37.867745922003564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-8.5265128291212022E-14</v>
      </c>
      <c r="DP116" s="17">
        <f>DO116*VLOOKUP('Données projet'!$B$14,Paramètres!$A$1:$I$89,3,0)*VLOOKUP('Données projet'!$B$14,Paramètres!$A$1:$I$89,5,0)</f>
        <v>-5.7195848057745024E-14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107.15837202366862</v>
      </c>
      <c r="DU116" s="59">
        <f t="shared" si="98"/>
        <v>139.67031833740026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0.56756334435369038</v>
      </c>
      <c r="EC116" s="21">
        <f>EXP(-LN(2)/2)*EC115+(1-EXP(-LN(2)/2))/(LN(2)/2)*DW116*DZ116*VLOOKUP('Données projet'!$B$14,Paramètres!$A$1:$I$89,3,0)*0.475*44/12</f>
        <v>2.1703271772653029E-12</v>
      </c>
      <c r="ED116" s="22">
        <f t="shared" si="72"/>
        <v>0.56756334435586075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-1.1368683772161603E-13</v>
      </c>
      <c r="EK116" s="17">
        <f>EJ116*VLOOKUP('Données projet'!$B$15,Paramètres!$A$1:$I$89,3,0)*VLOOKUP('Données projet'!$B$15,Paramètres!$A$1:$I$89,5,0)</f>
        <v>-5.3205440053716299E-14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123.60520571614535</v>
      </c>
      <c r="EP116" s="59">
        <f t="shared" si="100"/>
        <v>119.00926870519527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0.16760982901944585</v>
      </c>
      <c r="EW116" s="21">
        <f>EXP(-LN(2)/25)*EW115+(1-EXP(-LN(2)/25))/(LN(2)/25)*Calculateur!ER116*Calculateur!ET116*VLOOKUP('Données projet'!$B$15,Paramètres!$A$1:$I$89,3,0)*0.475*44/12</f>
        <v>0.47831463864283341</v>
      </c>
      <c r="EX116" s="21">
        <f>EXP(-LN(2)/2)*EX115+(1-EXP(-LN(2)/2))/(LN(2)/2)*ER116*EU116*VLOOKUP('Données projet'!$B$15,Paramètres!$A$1:$I$89,3,0)*0.475*44/12</f>
        <v>1.9658937828607147E-12</v>
      </c>
      <c r="EY116" s="22">
        <f t="shared" si="75"/>
        <v>0.64592446766424516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-2.2737367544323206E-13</v>
      </c>
      <c r="FF116" s="17">
        <f>FE116*VLOOKUP('Données projet'!$B$16,Paramètres!$A$1:$I$89,3,0)*VLOOKUP('Données projet'!$B$16,Paramètres!$A$1:$I$89,5,0)</f>
        <v>-1.0936673788819462E-13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197.66963254934603</v>
      </c>
      <c r="FK116" s="59">
        <f t="shared" si="102"/>
        <v>158.08388141976138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0.51544055030914393</v>
      </c>
      <c r="FR116" s="21">
        <f>EXP(-LN(2)/25)*FR115+(1-EXP(-LN(2)/25))/(LN(2)/25)*Calculateur!FM116*Calculateur!FO116*VLOOKUP('Données projet'!$B$16,Paramètres!$A$1:$I$89,3,0)*0.475*44/12</f>
        <v>0.53204304027575822</v>
      </c>
      <c r="FS116" s="21">
        <f>EXP(-LN(2)/2)*FS115+(1-EXP(-LN(2)/2))/(LN(2)/2)*FM116*FP116*VLOOKUP('Données projet'!$B$16,Paramètres!$A$1:$I$89,3,0)*0.475*44/12</f>
        <v>2.6618242878479051E-12</v>
      </c>
      <c r="FT116" s="22">
        <f t="shared" si="78"/>
        <v>1.0474835905875639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5.6843418860808015E-14</v>
      </c>
      <c r="GA116" s="17">
        <f>FZ116*VLOOKUP('Données projet'!$B$17,Paramètres!$A$1:$I$89,3,0)*VLOOKUP('Données projet'!$B$17,Paramètres!$A$1:$I$89,5,0)</f>
        <v>3.3992364478763198E-14</v>
      </c>
      <c r="GB116" s="13">
        <f t="shared" si="103"/>
        <v>5.790027782444094E-13</v>
      </c>
      <c r="GC116" s="20">
        <f t="shared" si="79"/>
        <v>1.0676332069095257E-12</v>
      </c>
      <c r="GD116" s="59">
        <f t="shared" si="80"/>
        <v>293.33333333333439</v>
      </c>
      <c r="GE116" s="59">
        <f ca="1">AVERAGE(OFFSET($GD$3,0,0,'Données projet'!$E$17+1,1))-AVERAGE(OFFSET($H$3,0,0,'Données projet'!$E$17+1,1))</f>
        <v>165.39579887388538</v>
      </c>
      <c r="GF116" s="59">
        <f t="shared" si="104"/>
        <v>155.89639262545802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0.72989934094470954</v>
      </c>
      <c r="GN116" s="21">
        <f>EXP(-LN(2)/2)*GN115+(1-EXP(-LN(2)/2))/(LN(2)/2)*GH116*GK116*VLOOKUP('Données projet'!$B$17,Paramètres!$A$1:$I$89,3,0)*0.475*44/12</f>
        <v>4.4631939961603395E-12</v>
      </c>
      <c r="GO116" s="21">
        <f t="shared" si="81"/>
        <v>0.72989934094917275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2.8</v>
      </c>
      <c r="GU116" s="12">
        <f>IF('Données projet'!$A$270&gt;35,GU115+GT116-HC115,IF(A116&lt;'Données projet'!$A$270,$GR$205^A116,IF(A116='Données projet'!$A$270,'Données projet'!$B$270,GU115+GT116-HC115)))</f>
        <v>214.39999999999995</v>
      </c>
      <c r="GV116" s="17">
        <f>GU116*VLOOKUP('Données projet'!$B$18,Paramètres!$A$1:$I$89,3,0)*VLOOKUP('Données projet'!$B$18,Paramètres!$A$1:$I$89,5,0)</f>
        <v>230.78015999999994</v>
      </c>
      <c r="GW116" s="13">
        <f t="shared" si="105"/>
        <v>56.451337103640839</v>
      </c>
      <c r="GX116" s="20">
        <f t="shared" si="82"/>
        <v>500.26152412217442</v>
      </c>
      <c r="GY116" s="59">
        <f t="shared" si="83"/>
        <v>793.59485745550774</v>
      </c>
      <c r="GZ116" s="59">
        <f ca="1">AVERAGE(OFFSET($GY$3,0,0,'Données projet'!$E$18+1,1))-AVERAGE(OFFSET($H$3,0,0,'Données projet'!$E$18+1,1))</f>
        <v>186.60545265015247</v>
      </c>
      <c r="HA116" s="59">
        <f t="shared" si="106"/>
        <v>69.239647548491234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0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0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1.9065282685915009E-13</v>
      </c>
      <c r="P117" s="13">
        <f t="shared" si="87"/>
        <v>2.6568987209435707E-12</v>
      </c>
      <c r="Q117" s="20">
        <f t="shared" si="107"/>
        <v>4.959485612423072E-12</v>
      </c>
      <c r="R117" s="59">
        <f t="shared" si="55"/>
        <v>293.33333333333826</v>
      </c>
      <c r="S117" s="59">
        <f ca="1">AVERAGE(OFFSET($R$3,0,0,'Données projet'!$E$9+1,1))-AVERAGE(OFFSET($H$3,0,0,'Données projet'!$E$9+1,1))</f>
        <v>235.10258076192054</v>
      </c>
      <c r="T117" s="59">
        <f t="shared" si="88"/>
        <v>233.47316052603765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0.64909781960350266</v>
      </c>
      <c r="AA117" s="21">
        <f>EXP(-LN(2)/25)*AA116+(1-EXP(-LN(2)/25))/(LN(2)/25)*Calculateur!V117*Calculateur!X117*VLOOKUP('Données projet'!$B$9,Paramètres!$A$1:$I$89,3,0)*0.475*44/12</f>
        <v>1.7954761435592665</v>
      </c>
      <c r="AB117" s="21">
        <f>EXP(-LN(2)/2)*AB116+(1-EXP(-LN(2)/2))/(LN(2)/2)*V117*Y117*VLOOKUP('Données projet'!$B$9,Paramètres!$A$1:$I$89,3,0)*0.475*44/12</f>
        <v>5.4847263806250096E-12</v>
      </c>
      <c r="AC117" s="22">
        <f t="shared" si="57"/>
        <v>2.4445739631682541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2.2737367544323206E-13</v>
      </c>
      <c r="AJ117" s="13">
        <f>AI117*VLOOKUP('Données projet'!$B$10,Paramètres!$A$1:$I$89,3,0)*VLOOKUP('Données projet'!$B$10,Paramètres!$A$1:$I$89,5,0)</f>
        <v>1.2414602679200471E-13</v>
      </c>
      <c r="AK117" s="13">
        <f t="shared" si="89"/>
        <v>1.8186582995804361E-12</v>
      </c>
      <c r="AL117" s="20">
        <f t="shared" si="58"/>
        <v>3.3837175350986671E-12</v>
      </c>
      <c r="AM117" s="59">
        <f t="shared" si="59"/>
        <v>293.33333333333672</v>
      </c>
      <c r="AN117" s="59">
        <f ca="1">AVERAGE(OFFSET($AM$3,0,0,'Données projet'!$E$10+1,1))-AVERAGE(OFFSET($H$3,0,0,'Données projet'!$E$10+1,1))</f>
        <v>168.72306536277267</v>
      </c>
      <c r="AO117" s="59">
        <f t="shared" si="90"/>
        <v>203.35476578922339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0.57636592861198954</v>
      </c>
      <c r="AV117" s="21">
        <f>EXP(-LN(2)/25)*AV116+(1-EXP(-LN(2)/25))/(LN(2)/25)*Calculateur!AQ117*Calculateur!AS117*VLOOKUP('Données projet'!$B$10,Paramètres!$A$1:$I$89,3,0)*0.475*44/12</f>
        <v>2.2386393314598672</v>
      </c>
      <c r="AW117" s="21">
        <f>EXP(-LN(2)/2)*AW116+(1-EXP(-LN(2)/2))/(LN(2)/2)*AQ117*AT117*VLOOKUP('Données projet'!$B$10,Paramètres!$A$1:$I$89,3,0)*0.475*44/12</f>
        <v>4.5528956029759834E-12</v>
      </c>
      <c r="AX117" s="21">
        <f t="shared" si="60"/>
        <v>2.8150052600764095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3.3992364478763198E-14</v>
      </c>
      <c r="BF117" s="13">
        <f t="shared" si="91"/>
        <v>5.790027782444094E-13</v>
      </c>
      <c r="BG117" s="20">
        <f t="shared" si="61"/>
        <v>1.0676332069095257E-12</v>
      </c>
      <c r="BH117" s="59">
        <f t="shared" si="62"/>
        <v>293.33333333333439</v>
      </c>
      <c r="BI117" s="59">
        <f ca="1">AVERAGE(OFFSET($BH$3,0,0,'Données projet'!$E$11+1,1))-AVERAGE(OFFSET($H$3,0,0,'Données projet'!$E$11+1,1))</f>
        <v>165.39579887388538</v>
      </c>
      <c r="BJ117" s="59">
        <f t="shared" si="92"/>
        <v>155.89639262545802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0.70994020508283828</v>
      </c>
      <c r="BR117" s="21">
        <f>EXP(-LN(2)/2)*BR116+(1-EXP(-LN(2)/2))/(LN(2)/2)*BL117*BO117*VLOOKUP('Données projet'!$B$11,Paramètres!$A$1:$I$89,3,0)*0.475*44/12</f>
        <v>3.1559547404360618E-12</v>
      </c>
      <c r="BS117" s="22">
        <f t="shared" si="63"/>
        <v>0.7099402050859942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2.8</v>
      </c>
      <c r="BY117" s="12">
        <f>IF('Données projet'!$A$114&gt;35,BY116+BX117-CG116,IF(A117&lt;'Données projet'!$A$114,$BV$205^A117,IF(A117='Données projet'!$A$114,'Données projet'!$B$114,BY116+BX117-CG116)))</f>
        <v>217.19999999999996</v>
      </c>
      <c r="BZ117" s="13">
        <f>BY117*VLOOKUP('Données projet'!$B$12,Paramètres!$A$1:$I$89,3,0)*VLOOKUP('Données projet'!$B$12,Paramètres!$A$1:$I$89,5,0)</f>
        <v>210.07584</v>
      </c>
      <c r="CA117" s="13">
        <f t="shared" si="93"/>
        <v>51.952158298115599</v>
      </c>
      <c r="CB117" s="20">
        <f t="shared" si="64"/>
        <v>456.36543036921802</v>
      </c>
      <c r="CC117" s="59">
        <f t="shared" si="65"/>
        <v>749.69876370255133</v>
      </c>
      <c r="CD117" s="59">
        <f ca="1">AVERAGE(OFFSET($CC$3,0,0,'Données projet'!$E$12+1,1))-AVERAGE(OFFSET($H$3,0,0,'Données projet'!$E$12+1,1))</f>
        <v>156.26368818265388</v>
      </c>
      <c r="CE117" s="59">
        <f t="shared" si="94"/>
        <v>56.347130462109817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2.8</v>
      </c>
      <c r="CT117" s="12">
        <f>IF('Données projet'!$A$140&gt;35,CT116+CS117-DB116,IF(A117&lt;'Données projet'!$A$140,$CQ$205^A117,IF(A117='Données projet'!$A$140,'Données projet'!$B$140,CT116+CS117-DB116)))</f>
        <v>217.19999999999996</v>
      </c>
      <c r="CU117" s="17">
        <f>CT117*VLOOKUP('Données projet'!$B$13,Paramètres!$A$1:$I$89,3,0)*VLOOKUP('Données projet'!$B$13,Paramètres!$A$1:$I$89,5,0)</f>
        <v>176.19263999999998</v>
      </c>
      <c r="CV117" s="13">
        <f t="shared" si="95"/>
        <v>44.474067632484505</v>
      </c>
      <c r="CW117" s="20">
        <f t="shared" si="67"/>
        <v>384.32784912657712</v>
      </c>
      <c r="CX117" s="59">
        <f t="shared" si="68"/>
        <v>677.66118245991038</v>
      </c>
      <c r="CY117" s="59">
        <f ca="1">AVERAGE(OFFSET($CX$3,0,0,'Données projet'!$E$13+1,1))-AVERAGE(OFFSET($H$3,0,0,'Données projet'!$E$13+1,1))</f>
        <v>112.78807760743126</v>
      </c>
      <c r="CZ117" s="59">
        <f t="shared" si="96"/>
        <v>37.867745922003564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-8.5265128291212022E-14</v>
      </c>
      <c r="DP117" s="17">
        <f>DO117*VLOOKUP('Données projet'!$B$14,Paramètres!$A$1:$I$89,3,0)*VLOOKUP('Données projet'!$B$14,Paramètres!$A$1:$I$89,5,0)</f>
        <v>-5.7195848057745024E-14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107.15837202366862</v>
      </c>
      <c r="DU117" s="59">
        <f t="shared" si="98"/>
        <v>139.67031833740026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0.55204329485547965</v>
      </c>
      <c r="EC117" s="21">
        <f>EXP(-LN(2)/2)*EC116+(1-EXP(-LN(2)/2))/(LN(2)/2)*DW117*DZ117*VLOOKUP('Données projet'!$B$14,Paramètres!$A$1:$I$89,3,0)*0.475*44/12</f>
        <v>1.5346530644377539E-12</v>
      </c>
      <c r="ED117" s="22">
        <f t="shared" si="72"/>
        <v>0.55204329485701431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-1.1368683772161603E-13</v>
      </c>
      <c r="EK117" s="17">
        <f>EJ117*VLOOKUP('Données projet'!$B$15,Paramètres!$A$1:$I$89,3,0)*VLOOKUP('Données projet'!$B$15,Paramètres!$A$1:$I$89,5,0)</f>
        <v>-5.3205440053716299E-14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123.60520571614535</v>
      </c>
      <c r="EP117" s="59">
        <f t="shared" si="100"/>
        <v>119.00926870519527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0.16432310250427565</v>
      </c>
      <c r="EW117" s="21">
        <f>EXP(-LN(2)/25)*EW116+(1-EXP(-LN(2)/25))/(LN(2)/25)*Calculateur!ER117*Calculateur!ET117*VLOOKUP('Données projet'!$B$15,Paramètres!$A$1:$I$89,3,0)*0.475*44/12</f>
        <v>0.46523509969567151</v>
      </c>
      <c r="EX117" s="21">
        <f>EXP(-LN(2)/2)*EX116+(1-EXP(-LN(2)/2))/(LN(2)/2)*ER117*EU117*VLOOKUP('Données projet'!$B$15,Paramètres!$A$1:$I$89,3,0)*0.475*44/12</f>
        <v>1.3900968249532856E-12</v>
      </c>
      <c r="EY117" s="22">
        <f t="shared" si="75"/>
        <v>0.62955820220133729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-2.2737367544323206E-13</v>
      </c>
      <c r="FF117" s="17">
        <f>FE117*VLOOKUP('Données projet'!$B$16,Paramètres!$A$1:$I$89,3,0)*VLOOKUP('Données projet'!$B$16,Paramètres!$A$1:$I$89,5,0)</f>
        <v>-1.0936673788819462E-13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197.66963254934603</v>
      </c>
      <c r="FK117" s="59">
        <f t="shared" si="102"/>
        <v>158.08388141976138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0.50533307550527407</v>
      </c>
      <c r="FR117" s="21">
        <f>EXP(-LN(2)/25)*FR116+(1-EXP(-LN(2)/25))/(LN(2)/25)*Calculateur!FM117*Calculateur!FO117*VLOOKUP('Données projet'!$B$16,Paramètres!$A$1:$I$89,3,0)*0.475*44/12</f>
        <v>0.51749429536049008</v>
      </c>
      <c r="FS117" s="21">
        <f>EXP(-LN(2)/2)*FS116+(1-EXP(-LN(2)/2))/(LN(2)/2)*FM117*FP117*VLOOKUP('Données projet'!$B$16,Paramètres!$A$1:$I$89,3,0)*0.475*44/12</f>
        <v>1.8821940042643063E-12</v>
      </c>
      <c r="FT117" s="22">
        <f t="shared" si="78"/>
        <v>1.0228273708676465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5.6843418860808015E-14</v>
      </c>
      <c r="GA117" s="17">
        <f>FZ117*VLOOKUP('Données projet'!$B$17,Paramètres!$A$1:$I$89,3,0)*VLOOKUP('Données projet'!$B$17,Paramètres!$A$1:$I$89,5,0)</f>
        <v>3.3992364478763198E-14</v>
      </c>
      <c r="GB117" s="13">
        <f t="shared" si="103"/>
        <v>5.790027782444094E-13</v>
      </c>
      <c r="GC117" s="20">
        <f t="shared" si="79"/>
        <v>1.0676332069095257E-12</v>
      </c>
      <c r="GD117" s="59">
        <f t="shared" si="80"/>
        <v>293.33333333333439</v>
      </c>
      <c r="GE117" s="59">
        <f ca="1">AVERAGE(OFFSET($GD$3,0,0,'Données projet'!$E$17+1,1))-AVERAGE(OFFSET($H$3,0,0,'Données projet'!$E$17+1,1))</f>
        <v>165.39579887388538</v>
      </c>
      <c r="GF117" s="59">
        <f t="shared" si="104"/>
        <v>155.89639262545802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0.70994020508283828</v>
      </c>
      <c r="GN117" s="21">
        <f>EXP(-LN(2)/2)*GN116+(1-EXP(-LN(2)/2))/(LN(2)/2)*GH117*GK117*VLOOKUP('Données projet'!$B$17,Paramètres!$A$1:$I$89,3,0)*0.475*44/12</f>
        <v>3.1559547404360618E-12</v>
      </c>
      <c r="GO117" s="21">
        <f t="shared" si="81"/>
        <v>0.7099402050859942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2.8</v>
      </c>
      <c r="GU117" s="12">
        <f>IF('Données projet'!$A$270&gt;35,GU116+GT117-HC116,IF(A117&lt;'Données projet'!$A$270,$GR$205^A117,IF(A117='Données projet'!$A$270,'Données projet'!$B$270,GU116+GT117-HC116)))</f>
        <v>217.19999999999996</v>
      </c>
      <c r="GV117" s="17">
        <f>GU117*VLOOKUP('Données projet'!$B$18,Paramètres!$A$1:$I$89,3,0)*VLOOKUP('Données projet'!$B$18,Paramètres!$A$1:$I$89,5,0)</f>
        <v>233.79407999999995</v>
      </c>
      <c r="GW117" s="13">
        <f t="shared" si="105"/>
        <v>57.102267516703527</v>
      </c>
      <c r="GX117" s="20">
        <f t="shared" si="82"/>
        <v>506.64447192492526</v>
      </c>
      <c r="GY117" s="59">
        <f t="shared" si="83"/>
        <v>799.97780525825851</v>
      </c>
      <c r="GZ117" s="59">
        <f ca="1">AVERAGE(OFFSET($GY$3,0,0,'Données projet'!$E$18+1,1))-AVERAGE(OFFSET($H$3,0,0,'Données projet'!$E$18+1,1))</f>
        <v>186.60545265015247</v>
      </c>
      <c r="HA117" s="59">
        <f t="shared" si="106"/>
        <v>69.239647548491234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0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0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1.9065282685915009E-13</v>
      </c>
      <c r="P118" s="13">
        <f t="shared" si="87"/>
        <v>2.6568987209435707E-12</v>
      </c>
      <c r="Q118" s="20">
        <f t="shared" si="107"/>
        <v>4.959485612423072E-12</v>
      </c>
      <c r="R118" s="59">
        <f t="shared" si="55"/>
        <v>293.33333333333826</v>
      </c>
      <c r="S118" s="59">
        <f ca="1">AVERAGE(OFFSET($R$3,0,0,'Données projet'!$E$9+1,1))-AVERAGE(OFFSET($H$3,0,0,'Données projet'!$E$9+1,1))</f>
        <v>235.10258076192054</v>
      </c>
      <c r="T118" s="59">
        <f t="shared" si="88"/>
        <v>233.47316052603765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0.63636940727165503</v>
      </c>
      <c r="AA118" s="21">
        <f>EXP(-LN(2)/25)*AA117+(1-EXP(-LN(2)/25))/(LN(2)/25)*Calculateur!V118*Calculateur!X118*VLOOKUP('Données projet'!$B$9,Paramètres!$A$1:$I$89,3,0)*0.475*44/12</f>
        <v>1.7463787539936517</v>
      </c>
      <c r="AB118" s="21">
        <f>EXP(-LN(2)/2)*AB117+(1-EXP(-LN(2)/2))/(LN(2)/2)*V118*Y118*VLOOKUP('Données projet'!$B$9,Paramètres!$A$1:$I$89,3,0)*0.475*44/12</f>
        <v>3.8782872166926934E-12</v>
      </c>
      <c r="AC118" s="22">
        <f t="shared" si="57"/>
        <v>2.382748161269185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2.2737367544323206E-13</v>
      </c>
      <c r="AJ118" s="13">
        <f>AI118*VLOOKUP('Données projet'!$B$10,Paramètres!$A$1:$I$89,3,0)*VLOOKUP('Données projet'!$B$10,Paramètres!$A$1:$I$89,5,0)</f>
        <v>1.2414602679200471E-13</v>
      </c>
      <c r="AK118" s="13">
        <f t="shared" si="89"/>
        <v>1.8186582995804361E-12</v>
      </c>
      <c r="AL118" s="20">
        <f t="shared" si="58"/>
        <v>3.3837175350986671E-12</v>
      </c>
      <c r="AM118" s="59">
        <f t="shared" si="59"/>
        <v>293.33333333333672</v>
      </c>
      <c r="AN118" s="59">
        <f ca="1">AVERAGE(OFFSET($AM$3,0,0,'Données projet'!$E$10+1,1))-AVERAGE(OFFSET($H$3,0,0,'Données projet'!$E$10+1,1))</f>
        <v>168.72306536277267</v>
      </c>
      <c r="AO118" s="59">
        <f t="shared" si="90"/>
        <v>203.35476578922339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0.5650637443004124</v>
      </c>
      <c r="AV118" s="21">
        <f>EXP(-LN(2)/25)*AV117+(1-EXP(-LN(2)/25))/(LN(2)/25)*Calculateur!AQ118*Calculateur!AS118*VLOOKUP('Données projet'!$B$10,Paramètres!$A$1:$I$89,3,0)*0.475*44/12</f>
        <v>2.1774236212161711</v>
      </c>
      <c r="AW118" s="21">
        <f>EXP(-LN(2)/2)*AW117+(1-EXP(-LN(2)/2))/(LN(2)/2)*AQ118*AT118*VLOOKUP('Données projet'!$B$10,Paramètres!$A$1:$I$89,3,0)*0.475*44/12</f>
        <v>3.2193833548987331E-12</v>
      </c>
      <c r="AX118" s="21">
        <f t="shared" si="60"/>
        <v>2.7424873655198025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3.3992364478763198E-14</v>
      </c>
      <c r="BF118" s="13">
        <f t="shared" si="91"/>
        <v>5.790027782444094E-13</v>
      </c>
      <c r="BG118" s="20">
        <f t="shared" si="61"/>
        <v>1.0676332069095257E-12</v>
      </c>
      <c r="BH118" s="59">
        <f t="shared" si="62"/>
        <v>293.33333333333439</v>
      </c>
      <c r="BI118" s="59">
        <f ca="1">AVERAGE(OFFSET($BH$3,0,0,'Données projet'!$E$11+1,1))-AVERAGE(OFFSET($H$3,0,0,'Données projet'!$E$11+1,1))</f>
        <v>165.39579887388538</v>
      </c>
      <c r="BJ118" s="59">
        <f t="shared" si="92"/>
        <v>155.89639262545802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0.69052685284071524</v>
      </c>
      <c r="BR118" s="21">
        <f>EXP(-LN(2)/2)*BR117+(1-EXP(-LN(2)/2))/(LN(2)/2)*BL118*BO118*VLOOKUP('Données projet'!$B$11,Paramètres!$A$1:$I$89,3,0)*0.475*44/12</f>
        <v>2.2315969980801697E-12</v>
      </c>
      <c r="BS118" s="22">
        <f t="shared" si="63"/>
        <v>0.69052685284294679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2.8</v>
      </c>
      <c r="BY118" s="12">
        <f>IF('Données projet'!$A$114&gt;35,BY117+BX118-CG117,IF(A118&lt;'Données projet'!$A$114,$BV$205^A118,IF(A118='Données projet'!$A$114,'Données projet'!$B$114,BY117+BX118-CG117)))</f>
        <v>219.99999999999997</v>
      </c>
      <c r="BZ118" s="13">
        <f>BY118*VLOOKUP('Données projet'!$B$12,Paramètres!$A$1:$I$89,3,0)*VLOOKUP('Données projet'!$B$12,Paramètres!$A$1:$I$89,5,0)</f>
        <v>212.78399999999996</v>
      </c>
      <c r="CA118" s="13">
        <f t="shared" si="93"/>
        <v>52.543492641808065</v>
      </c>
      <c r="CB118" s="20">
        <f t="shared" si="64"/>
        <v>462.11204968448232</v>
      </c>
      <c r="CC118" s="59">
        <f t="shared" si="65"/>
        <v>755.44538301781563</v>
      </c>
      <c r="CD118" s="59">
        <f ca="1">AVERAGE(OFFSET($CC$3,0,0,'Données projet'!$E$12+1,1))-AVERAGE(OFFSET($H$3,0,0,'Données projet'!$E$12+1,1))</f>
        <v>156.26368818265388</v>
      </c>
      <c r="CE118" s="59">
        <f t="shared" si="94"/>
        <v>56.347130462109817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2.8</v>
      </c>
      <c r="CT118" s="12">
        <f>IF('Données projet'!$A$140&gt;35,CT117+CS118-DB117,IF(A118&lt;'Données projet'!$A$140,$CQ$205^A118,IF(A118='Données projet'!$A$140,'Données projet'!$B$140,CT117+CS118-DB117)))</f>
        <v>219.99999999999997</v>
      </c>
      <c r="CU118" s="17">
        <f>CT118*VLOOKUP('Données projet'!$B$13,Paramètres!$A$1:$I$89,3,0)*VLOOKUP('Données projet'!$B$13,Paramètres!$A$1:$I$89,5,0)</f>
        <v>178.464</v>
      </c>
      <c r="CV118" s="13">
        <f t="shared" si="95"/>
        <v>44.980284206661857</v>
      </c>
      <c r="CW118" s="20">
        <f t="shared" si="67"/>
        <v>389.16546165993606</v>
      </c>
      <c r="CX118" s="59">
        <f t="shared" si="68"/>
        <v>682.49879499326937</v>
      </c>
      <c r="CY118" s="59">
        <f ca="1">AVERAGE(OFFSET($CX$3,0,0,'Données projet'!$E$13+1,1))-AVERAGE(OFFSET($H$3,0,0,'Données projet'!$E$13+1,1))</f>
        <v>112.78807760743126</v>
      </c>
      <c r="CZ118" s="59">
        <f t="shared" si="96"/>
        <v>37.867745922003564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-8.5265128291212022E-14</v>
      </c>
      <c r="DP118" s="17">
        <f>DO118*VLOOKUP('Données projet'!$B$14,Paramètres!$A$1:$I$89,3,0)*VLOOKUP('Données projet'!$B$14,Paramètres!$A$1:$I$89,5,0)</f>
        <v>-5.7195848057745024E-14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107.15837202366862</v>
      </c>
      <c r="DU118" s="59">
        <f t="shared" si="98"/>
        <v>139.67031833740026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0.53694764192696143</v>
      </c>
      <c r="EC118" s="21">
        <f>EXP(-LN(2)/2)*EC117+(1-EXP(-LN(2)/2))/(LN(2)/2)*DW118*DZ118*VLOOKUP('Données projet'!$B$14,Paramètres!$A$1:$I$89,3,0)*0.475*44/12</f>
        <v>1.0851635886326514E-12</v>
      </c>
      <c r="ED118" s="22">
        <f t="shared" si="72"/>
        <v>0.53694764192804656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-1.1368683772161603E-13</v>
      </c>
      <c r="EK118" s="17">
        <f>EJ118*VLOOKUP('Données projet'!$B$15,Paramètres!$A$1:$I$89,3,0)*VLOOKUP('Données projet'!$B$15,Paramètres!$A$1:$I$89,5,0)</f>
        <v>-5.3205440053716299E-14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123.60520571614535</v>
      </c>
      <c r="EP118" s="59">
        <f t="shared" si="100"/>
        <v>119.00926870519527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0.16110082669136272</v>
      </c>
      <c r="EW118" s="21">
        <f>EXP(-LN(2)/25)*EW117+(1-EXP(-LN(2)/25))/(LN(2)/25)*Calculateur!ER118*Calculateur!ET118*VLOOKUP('Données projet'!$B$15,Paramètres!$A$1:$I$89,3,0)*0.475*44/12</f>
        <v>0.45251322142884276</v>
      </c>
      <c r="EX118" s="21">
        <f>EXP(-LN(2)/2)*EX117+(1-EXP(-LN(2)/2))/(LN(2)/2)*ER118*EU118*VLOOKUP('Données projet'!$B$15,Paramètres!$A$1:$I$89,3,0)*0.475*44/12</f>
        <v>9.8294689143035735E-13</v>
      </c>
      <c r="EY118" s="22">
        <f t="shared" si="75"/>
        <v>0.61361404812118847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-2.2737367544323206E-13</v>
      </c>
      <c r="FF118" s="17">
        <f>FE118*VLOOKUP('Données projet'!$B$16,Paramètres!$A$1:$I$89,3,0)*VLOOKUP('Données projet'!$B$16,Paramètres!$A$1:$I$89,5,0)</f>
        <v>-1.0936673788819462E-13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197.66963254934603</v>
      </c>
      <c r="FK118" s="59">
        <f t="shared" si="102"/>
        <v>158.08388141976138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0.4954238021173572</v>
      </c>
      <c r="FR118" s="21">
        <f>EXP(-LN(2)/25)*FR117+(1-EXP(-LN(2)/25))/(LN(2)/25)*Calculateur!FM118*Calculateur!FO118*VLOOKUP('Données projet'!$B$16,Paramètres!$A$1:$I$89,3,0)*0.475*44/12</f>
        <v>0.50334338664001521</v>
      </c>
      <c r="FS118" s="21">
        <f>EXP(-LN(2)/2)*FS117+(1-EXP(-LN(2)/2))/(LN(2)/2)*FM118*FP118*VLOOKUP('Données projet'!$B$16,Paramètres!$A$1:$I$89,3,0)*0.475*44/12</f>
        <v>1.3309121439239525E-12</v>
      </c>
      <c r="FT118" s="22">
        <f t="shared" si="78"/>
        <v>0.99876718875870329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5.6843418860808015E-14</v>
      </c>
      <c r="GA118" s="17">
        <f>FZ118*VLOOKUP('Données projet'!$B$17,Paramètres!$A$1:$I$89,3,0)*VLOOKUP('Données projet'!$B$17,Paramètres!$A$1:$I$89,5,0)</f>
        <v>3.3992364478763198E-14</v>
      </c>
      <c r="GB118" s="13">
        <f t="shared" si="103"/>
        <v>5.790027782444094E-13</v>
      </c>
      <c r="GC118" s="20">
        <f t="shared" si="79"/>
        <v>1.0676332069095257E-12</v>
      </c>
      <c r="GD118" s="59">
        <f t="shared" si="80"/>
        <v>293.33333333333439</v>
      </c>
      <c r="GE118" s="59">
        <f ca="1">AVERAGE(OFFSET($GD$3,0,0,'Données projet'!$E$17+1,1))-AVERAGE(OFFSET($H$3,0,0,'Données projet'!$E$17+1,1))</f>
        <v>165.39579887388538</v>
      </c>
      <c r="GF118" s="59">
        <f t="shared" si="104"/>
        <v>155.89639262545802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0.69052685284071524</v>
      </c>
      <c r="GN118" s="21">
        <f>EXP(-LN(2)/2)*GN117+(1-EXP(-LN(2)/2))/(LN(2)/2)*GH118*GK118*VLOOKUP('Données projet'!$B$17,Paramètres!$A$1:$I$89,3,0)*0.475*44/12</f>
        <v>2.2315969980801697E-12</v>
      </c>
      <c r="GO118" s="21">
        <f t="shared" si="81"/>
        <v>0.69052685284294679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2.8</v>
      </c>
      <c r="GU118" s="12">
        <f>IF('Données projet'!$A$270&gt;35,GU117+GT118-HC117,IF(A118&lt;'Données projet'!$A$270,$GR$205^A118,IF(A118='Données projet'!$A$270,'Données projet'!$B$270,GU117+GT118-HC117)))</f>
        <v>219.99999999999997</v>
      </c>
      <c r="GV118" s="17">
        <f>GU118*VLOOKUP('Données projet'!$B$18,Paramètres!$A$1:$I$89,3,0)*VLOOKUP('Données projet'!$B$18,Paramètres!$A$1:$I$89,5,0)</f>
        <v>236.80799999999994</v>
      </c>
      <c r="GW118" s="13">
        <f t="shared" si="105"/>
        <v>57.752221878398714</v>
      </c>
      <c r="GX118" s="20">
        <f t="shared" si="82"/>
        <v>513.02571977154435</v>
      </c>
      <c r="GY118" s="59">
        <f t="shared" si="83"/>
        <v>806.3590531048776</v>
      </c>
      <c r="GZ118" s="59">
        <f ca="1">AVERAGE(OFFSET($GY$3,0,0,'Données projet'!$E$18+1,1))-AVERAGE(OFFSET($H$3,0,0,'Données projet'!$E$18+1,1))</f>
        <v>186.60545265015247</v>
      </c>
      <c r="HA118" s="59">
        <f t="shared" si="106"/>
        <v>69.239647548491234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0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0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1.9065282685915009E-13</v>
      </c>
      <c r="P119" s="13">
        <f t="shared" si="87"/>
        <v>2.6568987209435707E-12</v>
      </c>
      <c r="Q119" s="20">
        <f t="shared" si="107"/>
        <v>4.959485612423072E-12</v>
      </c>
      <c r="R119" s="59">
        <f t="shared" si="55"/>
        <v>293.33333333333826</v>
      </c>
      <c r="S119" s="59">
        <f ca="1">AVERAGE(OFFSET($R$3,0,0,'Données projet'!$E$9+1,1))-AVERAGE(OFFSET($H$3,0,0,'Données projet'!$E$9+1,1))</f>
        <v>235.10258076192054</v>
      </c>
      <c r="T119" s="59">
        <f t="shared" si="88"/>
        <v>233.47316052603765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0.62389059134206992</v>
      </c>
      <c r="AA119" s="21">
        <f>EXP(-LN(2)/25)*AA118+(1-EXP(-LN(2)/25))/(LN(2)/25)*Calculateur!V119*Calculateur!X119*VLOOKUP('Données projet'!$B$9,Paramètres!$A$1:$I$89,3,0)*0.475*44/12</f>
        <v>1.698623935127628</v>
      </c>
      <c r="AB119" s="21">
        <f>EXP(-LN(2)/2)*AB118+(1-EXP(-LN(2)/2))/(LN(2)/2)*V119*Y119*VLOOKUP('Données projet'!$B$9,Paramètres!$A$1:$I$89,3,0)*0.475*44/12</f>
        <v>2.7423631903125048E-12</v>
      </c>
      <c r="AC119" s="22">
        <f t="shared" si="57"/>
        <v>2.3225145264724403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2.2737367544323206E-13</v>
      </c>
      <c r="AJ119" s="13">
        <f>AI119*VLOOKUP('Données projet'!$B$10,Paramètres!$A$1:$I$89,3,0)*VLOOKUP('Données projet'!$B$10,Paramètres!$A$1:$I$89,5,0)</f>
        <v>1.2414602679200471E-13</v>
      </c>
      <c r="AK119" s="13">
        <f t="shared" si="89"/>
        <v>1.8186582995804361E-12</v>
      </c>
      <c r="AL119" s="20">
        <f t="shared" si="58"/>
        <v>3.3837175350986671E-12</v>
      </c>
      <c r="AM119" s="59">
        <f t="shared" si="59"/>
        <v>293.33333333333672</v>
      </c>
      <c r="AN119" s="59">
        <f ca="1">AVERAGE(OFFSET($AM$3,0,0,'Données projet'!$E$10+1,1))-AVERAGE(OFFSET($H$3,0,0,'Données projet'!$E$10+1,1))</f>
        <v>168.72306536277267</v>
      </c>
      <c r="AO119" s="59">
        <f t="shared" si="90"/>
        <v>203.35476578922339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0.55398318892953347</v>
      </c>
      <c r="AV119" s="21">
        <f>EXP(-LN(2)/25)*AV118+(1-EXP(-LN(2)/25))/(LN(2)/25)*Calculateur!AQ119*Calculateur!AS119*VLOOKUP('Données projet'!$B$10,Paramètres!$A$1:$I$89,3,0)*0.475*44/12</f>
        <v>2.1178818577882832</v>
      </c>
      <c r="AW119" s="21">
        <f>EXP(-LN(2)/2)*AW118+(1-EXP(-LN(2)/2))/(LN(2)/2)*AQ119*AT119*VLOOKUP('Données projet'!$B$10,Paramètres!$A$1:$I$89,3,0)*0.475*44/12</f>
        <v>2.2764478014879917E-12</v>
      </c>
      <c r="AX119" s="21">
        <f t="shared" si="60"/>
        <v>2.6718650467200931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3.3992364478763198E-14</v>
      </c>
      <c r="BF119" s="13">
        <f t="shared" si="91"/>
        <v>5.790027782444094E-13</v>
      </c>
      <c r="BG119" s="20">
        <f t="shared" si="61"/>
        <v>1.0676332069095257E-12</v>
      </c>
      <c r="BH119" s="59">
        <f t="shared" si="62"/>
        <v>293.33333333333439</v>
      </c>
      <c r="BI119" s="59">
        <f ca="1">AVERAGE(OFFSET($BH$3,0,0,'Données projet'!$E$11+1,1))-AVERAGE(OFFSET($H$3,0,0,'Données projet'!$E$11+1,1))</f>
        <v>165.39579887388538</v>
      </c>
      <c r="BJ119" s="59">
        <f t="shared" si="92"/>
        <v>155.89639262545802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0.6716443597365569</v>
      </c>
      <c r="BR119" s="21">
        <f>EXP(-LN(2)/2)*BR118+(1-EXP(-LN(2)/2))/(LN(2)/2)*BL119*BO119*VLOOKUP('Données projet'!$B$11,Paramètres!$A$1:$I$89,3,0)*0.475*44/12</f>
        <v>1.5779773702180309E-12</v>
      </c>
      <c r="BS119" s="22">
        <f t="shared" si="63"/>
        <v>0.67164435973813486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2.8</v>
      </c>
      <c r="BY119" s="12">
        <f>IF('Données projet'!$A$114&gt;35,BY118+BX119-CG118,IF(A119&lt;'Données projet'!$A$114,$BV$205^A119,IF(A119='Données projet'!$A$114,'Données projet'!$B$114,BY118+BX119-CG118)))</f>
        <v>222.79999999999998</v>
      </c>
      <c r="BZ119" s="13">
        <f>BY119*VLOOKUP('Données projet'!$B$12,Paramètres!$A$1:$I$89,3,0)*VLOOKUP('Données projet'!$B$12,Paramètres!$A$1:$I$89,5,0)</f>
        <v>215.49216000000001</v>
      </c>
      <c r="CA119" s="13">
        <f t="shared" si="93"/>
        <v>53.133951574140234</v>
      </c>
      <c r="CB119" s="20">
        <f t="shared" si="64"/>
        <v>467.85714432496087</v>
      </c>
      <c r="CC119" s="59">
        <f t="shared" si="65"/>
        <v>761.19047765829418</v>
      </c>
      <c r="CD119" s="59">
        <f ca="1">AVERAGE(OFFSET($CC$3,0,0,'Données projet'!$E$12+1,1))-AVERAGE(OFFSET($H$3,0,0,'Données projet'!$E$12+1,1))</f>
        <v>156.26368818265388</v>
      </c>
      <c r="CE119" s="59">
        <f t="shared" si="94"/>
        <v>56.347130462109817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2.8</v>
      </c>
      <c r="CT119" s="12">
        <f>IF('Données projet'!$A$140&gt;35,CT118+CS119-DB118,IF(A119&lt;'Données projet'!$A$140,$CQ$205^A119,IF(A119='Données projet'!$A$140,'Données projet'!$B$140,CT118+CS119-DB118)))</f>
        <v>222.79999999999998</v>
      </c>
      <c r="CU119" s="17">
        <f>CT119*VLOOKUP('Données projet'!$B$13,Paramètres!$A$1:$I$89,3,0)*VLOOKUP('Données projet'!$B$13,Paramètres!$A$1:$I$89,5,0)</f>
        <v>180.73535999999999</v>
      </c>
      <c r="CV119" s="13">
        <f t="shared" si="95"/>
        <v>45.485751377824521</v>
      </c>
      <c r="CW119" s="20">
        <f t="shared" si="67"/>
        <v>394.00176898304431</v>
      </c>
      <c r="CX119" s="59">
        <f t="shared" si="68"/>
        <v>687.33510231637763</v>
      </c>
      <c r="CY119" s="59">
        <f ca="1">AVERAGE(OFFSET($CX$3,0,0,'Données projet'!$E$13+1,1))-AVERAGE(OFFSET($H$3,0,0,'Données projet'!$E$13+1,1))</f>
        <v>112.78807760743126</v>
      </c>
      <c r="CZ119" s="59">
        <f t="shared" si="96"/>
        <v>37.867745922003564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-8.5265128291212022E-14</v>
      </c>
      <c r="DP119" s="17">
        <f>DO119*VLOOKUP('Données projet'!$B$14,Paramètres!$A$1:$I$89,3,0)*VLOOKUP('Données projet'!$B$14,Paramètres!$A$1:$I$89,5,0)</f>
        <v>-5.7195848057745024E-14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107.15837202366862</v>
      </c>
      <c r="DU119" s="59">
        <f t="shared" si="98"/>
        <v>139.67031833740026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0.52226478042161939</v>
      </c>
      <c r="EC119" s="21">
        <f>EXP(-LN(2)/2)*EC118+(1-EXP(-LN(2)/2))/(LN(2)/2)*DW119*DZ119*VLOOKUP('Données projet'!$B$14,Paramètres!$A$1:$I$89,3,0)*0.475*44/12</f>
        <v>7.6732653221887693E-13</v>
      </c>
      <c r="ED119" s="22">
        <f t="shared" si="72"/>
        <v>0.52226478042238667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-1.1368683772161603E-13</v>
      </c>
      <c r="EK119" s="17">
        <f>EJ119*VLOOKUP('Données projet'!$B$15,Paramètres!$A$1:$I$89,3,0)*VLOOKUP('Données projet'!$B$15,Paramètres!$A$1:$I$89,5,0)</f>
        <v>-5.3205440053716299E-14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123.60520571614535</v>
      </c>
      <c r="EP119" s="59">
        <f t="shared" si="100"/>
        <v>119.00926870519527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0.15794173774174683</v>
      </c>
      <c r="EW119" s="21">
        <f>EXP(-LN(2)/25)*EW118+(1-EXP(-LN(2)/25))/(LN(2)/25)*Calculateur!ER119*Calculateur!ET119*VLOOKUP('Données projet'!$B$15,Paramètres!$A$1:$I$89,3,0)*0.475*44/12</f>
        <v>0.44013922359223495</v>
      </c>
      <c r="EX119" s="21">
        <f>EXP(-LN(2)/2)*EX118+(1-EXP(-LN(2)/2))/(LN(2)/2)*ER119*EU119*VLOOKUP('Données projet'!$B$15,Paramètres!$A$1:$I$89,3,0)*0.475*44/12</f>
        <v>6.9504841247664279E-13</v>
      </c>
      <c r="EY119" s="22">
        <f t="shared" si="75"/>
        <v>0.59808096133467681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-2.2737367544323206E-13</v>
      </c>
      <c r="FF119" s="17">
        <f>FE119*VLOOKUP('Données projet'!$B$16,Paramètres!$A$1:$I$89,3,0)*VLOOKUP('Données projet'!$B$16,Paramètres!$A$1:$I$89,5,0)</f>
        <v>-1.0936673788819462E-13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197.66963254934603</v>
      </c>
      <c r="FK119" s="59">
        <f t="shared" si="102"/>
        <v>158.08388141976138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0.48570884353651744</v>
      </c>
      <c r="FR119" s="21">
        <f>EXP(-LN(2)/25)*FR118+(1-EXP(-LN(2)/25))/(LN(2)/25)*Calculateur!FM119*Calculateur!FO119*VLOOKUP('Données projet'!$B$16,Paramètres!$A$1:$I$89,3,0)*0.475*44/12</f>
        <v>0.48957943526266567</v>
      </c>
      <c r="FS119" s="21">
        <f>EXP(-LN(2)/2)*FS118+(1-EXP(-LN(2)/2))/(LN(2)/2)*FM119*FP119*VLOOKUP('Données projet'!$B$16,Paramètres!$A$1:$I$89,3,0)*0.475*44/12</f>
        <v>9.4109700213215313E-13</v>
      </c>
      <c r="FT119" s="22">
        <f t="shared" si="78"/>
        <v>0.97528827880012425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5.6843418860808015E-14</v>
      </c>
      <c r="GA119" s="17">
        <f>FZ119*VLOOKUP('Données projet'!$B$17,Paramètres!$A$1:$I$89,3,0)*VLOOKUP('Données projet'!$B$17,Paramètres!$A$1:$I$89,5,0)</f>
        <v>3.3992364478763198E-14</v>
      </c>
      <c r="GB119" s="13">
        <f t="shared" si="103"/>
        <v>5.790027782444094E-13</v>
      </c>
      <c r="GC119" s="20">
        <f t="shared" si="79"/>
        <v>1.0676332069095257E-12</v>
      </c>
      <c r="GD119" s="59">
        <f t="shared" si="80"/>
        <v>293.33333333333439</v>
      </c>
      <c r="GE119" s="59">
        <f ca="1">AVERAGE(OFFSET($GD$3,0,0,'Données projet'!$E$17+1,1))-AVERAGE(OFFSET($H$3,0,0,'Données projet'!$E$17+1,1))</f>
        <v>165.39579887388538</v>
      </c>
      <c r="GF119" s="59">
        <f t="shared" si="104"/>
        <v>155.89639262545802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0.6716443597365569</v>
      </c>
      <c r="GN119" s="21">
        <f>EXP(-LN(2)/2)*GN118+(1-EXP(-LN(2)/2))/(LN(2)/2)*GH119*GK119*VLOOKUP('Données projet'!$B$17,Paramètres!$A$1:$I$89,3,0)*0.475*44/12</f>
        <v>1.5779773702180309E-12</v>
      </c>
      <c r="GO119" s="21">
        <f t="shared" si="81"/>
        <v>0.67164435973813486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2.8</v>
      </c>
      <c r="GU119" s="12">
        <f>IF('Données projet'!$A$270&gt;35,GU118+GT119-HC118,IF(A119&lt;'Données projet'!$A$270,$GR$205^A119,IF(A119='Données projet'!$A$270,'Données projet'!$B$270,GU118+GT119-HC118)))</f>
        <v>222.79999999999998</v>
      </c>
      <c r="GV119" s="17">
        <f>GU119*VLOOKUP('Données projet'!$B$18,Paramètres!$A$1:$I$89,3,0)*VLOOKUP('Données projet'!$B$18,Paramètres!$A$1:$I$89,5,0)</f>
        <v>239.82191999999995</v>
      </c>
      <c r="GW119" s="13">
        <f t="shared" si="105"/>
        <v>58.401214047659209</v>
      </c>
      <c r="GX119" s="20">
        <f t="shared" si="82"/>
        <v>519.40529179967302</v>
      </c>
      <c r="GY119" s="59">
        <f t="shared" si="83"/>
        <v>812.73862513300628</v>
      </c>
      <c r="GZ119" s="59">
        <f ca="1">AVERAGE(OFFSET($GY$3,0,0,'Données projet'!$E$18+1,1))-AVERAGE(OFFSET($H$3,0,0,'Données projet'!$E$18+1,1))</f>
        <v>186.60545265015247</v>
      </c>
      <c r="HA119" s="59">
        <f t="shared" si="106"/>
        <v>69.239647548491234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0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0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1.9065282685915009E-13</v>
      </c>
      <c r="P120" s="13">
        <f t="shared" si="87"/>
        <v>2.6568987209435707E-12</v>
      </c>
      <c r="Q120" s="20">
        <f t="shared" si="107"/>
        <v>4.959485612423072E-12</v>
      </c>
      <c r="R120" s="59">
        <f t="shared" si="55"/>
        <v>293.33333333333826</v>
      </c>
      <c r="S120" s="59">
        <f ca="1">AVERAGE(OFFSET($R$3,0,0,'Données projet'!$E$9+1,1))-AVERAGE(OFFSET($H$3,0,0,'Données projet'!$E$9+1,1))</f>
        <v>235.10258076192054</v>
      </c>
      <c r="T120" s="59">
        <f t="shared" si="88"/>
        <v>233.47316052603765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0.61165647738153783</v>
      </c>
      <c r="AA120" s="21">
        <f>EXP(-LN(2)/25)*AA119+(1-EXP(-LN(2)/25))/(LN(2)/25)*Calculateur!V120*Calculateur!X120*VLOOKUP('Données projet'!$B$9,Paramètres!$A$1:$I$89,3,0)*0.475*44/12</f>
        <v>1.6521749742948124</v>
      </c>
      <c r="AB120" s="21">
        <f>EXP(-LN(2)/2)*AB119+(1-EXP(-LN(2)/2))/(LN(2)/2)*V120*Y120*VLOOKUP('Données projet'!$B$9,Paramètres!$A$1:$I$89,3,0)*0.475*44/12</f>
        <v>1.9391436083463467E-12</v>
      </c>
      <c r="AC120" s="22">
        <f t="shared" si="57"/>
        <v>2.2638314516782896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2.2737367544323206E-13</v>
      </c>
      <c r="AJ120" s="13">
        <f>AI120*VLOOKUP('Données projet'!$B$10,Paramètres!$A$1:$I$89,3,0)*VLOOKUP('Données projet'!$B$10,Paramètres!$A$1:$I$89,5,0)</f>
        <v>1.2414602679200471E-13</v>
      </c>
      <c r="AK120" s="13">
        <f t="shared" si="89"/>
        <v>1.8186582995804361E-12</v>
      </c>
      <c r="AL120" s="20">
        <f t="shared" si="58"/>
        <v>3.3837175350986671E-12</v>
      </c>
      <c r="AM120" s="59">
        <f t="shared" si="59"/>
        <v>293.33333333333672</v>
      </c>
      <c r="AN120" s="59">
        <f ca="1">AVERAGE(OFFSET($AM$3,0,0,'Données projet'!$E$10+1,1))-AVERAGE(OFFSET($H$3,0,0,'Données projet'!$E$10+1,1))</f>
        <v>168.72306536277267</v>
      </c>
      <c r="AO120" s="59">
        <f t="shared" si="90"/>
        <v>203.35476578922339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0.54311991649100611</v>
      </c>
      <c r="AV120" s="21">
        <f>EXP(-LN(2)/25)*AV119+(1-EXP(-LN(2)/25))/(LN(2)/25)*Calculateur!AQ120*Calculateur!AS120*VLOOKUP('Données projet'!$B$10,Paramètres!$A$1:$I$89,3,0)*0.475*44/12</f>
        <v>2.0599682670124961</v>
      </c>
      <c r="AW120" s="21">
        <f>EXP(-LN(2)/2)*AW119+(1-EXP(-LN(2)/2))/(LN(2)/2)*AQ120*AT120*VLOOKUP('Données projet'!$B$10,Paramètres!$A$1:$I$89,3,0)*0.475*44/12</f>
        <v>1.6096916774493665E-12</v>
      </c>
      <c r="AX120" s="21">
        <f t="shared" si="60"/>
        <v>2.6030881835051121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3.3992364478763198E-14</v>
      </c>
      <c r="BF120" s="13">
        <f t="shared" si="91"/>
        <v>5.790027782444094E-13</v>
      </c>
      <c r="BG120" s="20">
        <f t="shared" si="61"/>
        <v>1.0676332069095257E-12</v>
      </c>
      <c r="BH120" s="59">
        <f t="shared" si="62"/>
        <v>293.33333333333439</v>
      </c>
      <c r="BI120" s="59">
        <f ca="1">AVERAGE(OFFSET($BH$3,0,0,'Données projet'!$E$11+1,1))-AVERAGE(OFFSET($H$3,0,0,'Données projet'!$E$11+1,1))</f>
        <v>165.39579887388538</v>
      </c>
      <c r="BJ120" s="59">
        <f t="shared" si="92"/>
        <v>155.89639262545802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0.65327820939931891</v>
      </c>
      <c r="BR120" s="21">
        <f>EXP(-LN(2)/2)*BR119+(1-EXP(-LN(2)/2))/(LN(2)/2)*BL120*BO120*VLOOKUP('Données projet'!$B$11,Paramètres!$A$1:$I$89,3,0)*0.475*44/12</f>
        <v>1.1157984990400849E-12</v>
      </c>
      <c r="BS120" s="22">
        <f t="shared" si="63"/>
        <v>0.65327820940043468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2.8</v>
      </c>
      <c r="BY120" s="12">
        <f>IF('Données projet'!$A$114&gt;35,BY119+BX120-CG119,IF(A120&lt;'Données projet'!$A$114,$BV$205^A120,IF(A120='Données projet'!$A$114,'Données projet'!$B$114,BY119+BX120-CG119)))</f>
        <v>225.6</v>
      </c>
      <c r="BZ120" s="13">
        <f>BY120*VLOOKUP('Données projet'!$B$12,Paramètres!$A$1:$I$89,3,0)*VLOOKUP('Données projet'!$B$12,Paramètres!$A$1:$I$89,5,0)</f>
        <v>218.20031999999998</v>
      </c>
      <c r="CA120" s="13">
        <f t="shared" si="93"/>
        <v>53.723547368945667</v>
      </c>
      <c r="CB120" s="20">
        <f t="shared" si="64"/>
        <v>473.6007356675803</v>
      </c>
      <c r="CC120" s="59">
        <f t="shared" si="65"/>
        <v>766.93406900091361</v>
      </c>
      <c r="CD120" s="59">
        <f ca="1">AVERAGE(OFFSET($CC$3,0,0,'Données projet'!$E$12+1,1))-AVERAGE(OFFSET($H$3,0,0,'Données projet'!$E$12+1,1))</f>
        <v>156.26368818265388</v>
      </c>
      <c r="CE120" s="59">
        <f t="shared" si="94"/>
        <v>56.347130462109817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2.8</v>
      </c>
      <c r="CT120" s="12">
        <f>IF('Données projet'!$A$140&gt;35,CT119+CS120-DB119,IF(A120&lt;'Données projet'!$A$140,$CQ$205^A120,IF(A120='Données projet'!$A$140,'Données projet'!$B$140,CT119+CS120-DB119)))</f>
        <v>225.6</v>
      </c>
      <c r="CU120" s="17">
        <f>CT120*VLOOKUP('Données projet'!$B$13,Paramètres!$A$1:$I$89,3,0)*VLOOKUP('Données projet'!$B$13,Paramètres!$A$1:$I$89,5,0)</f>
        <v>183.00672</v>
      </c>
      <c r="CV120" s="13">
        <f t="shared" si="95"/>
        <v>45.990479653087696</v>
      </c>
      <c r="CW120" s="20">
        <f t="shared" si="67"/>
        <v>398.83678939579437</v>
      </c>
      <c r="CX120" s="59">
        <f t="shared" si="68"/>
        <v>692.17012272912768</v>
      </c>
      <c r="CY120" s="59">
        <f ca="1">AVERAGE(OFFSET($CX$3,0,0,'Données projet'!$E$13+1,1))-AVERAGE(OFFSET($H$3,0,0,'Données projet'!$E$13+1,1))</f>
        <v>112.78807760743126</v>
      </c>
      <c r="CZ120" s="59">
        <f t="shared" si="96"/>
        <v>37.867745922003564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-8.5265128291212022E-14</v>
      </c>
      <c r="DP120" s="17">
        <f>DO120*VLOOKUP('Données projet'!$B$14,Paramètres!$A$1:$I$89,3,0)*VLOOKUP('Données projet'!$B$14,Paramètres!$A$1:$I$89,5,0)</f>
        <v>-5.7195848057745024E-14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107.15837202366862</v>
      </c>
      <c r="DU120" s="59">
        <f t="shared" si="98"/>
        <v>139.67031833740026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0.50798342253627904</v>
      </c>
      <c r="EC120" s="21">
        <f>EXP(-LN(2)/2)*EC119+(1-EXP(-LN(2)/2))/(LN(2)/2)*DW120*DZ120*VLOOKUP('Données projet'!$B$14,Paramètres!$A$1:$I$89,3,0)*0.475*44/12</f>
        <v>5.4258179431632571E-13</v>
      </c>
      <c r="ED120" s="22">
        <f t="shared" si="72"/>
        <v>0.5079834225368216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-1.1368683772161603E-13</v>
      </c>
      <c r="EK120" s="17">
        <f>EJ120*VLOOKUP('Données projet'!$B$15,Paramètres!$A$1:$I$89,3,0)*VLOOKUP('Données projet'!$B$15,Paramètres!$A$1:$I$89,5,0)</f>
        <v>-5.3205440053716299E-14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123.60520571614535</v>
      </c>
      <c r="EP120" s="59">
        <f t="shared" si="100"/>
        <v>119.00926870519527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0.15484459659957892</v>
      </c>
      <c r="EW120" s="21">
        <f>EXP(-LN(2)/25)*EW119+(1-EXP(-LN(2)/25))/(LN(2)/25)*Calculateur!ER120*Calculateur!ET120*VLOOKUP('Données projet'!$B$15,Paramètres!$A$1:$I$89,3,0)*0.475*44/12</f>
        <v>0.42810359337718945</v>
      </c>
      <c r="EX120" s="21">
        <f>EXP(-LN(2)/2)*EX119+(1-EXP(-LN(2)/2))/(LN(2)/2)*ER120*EU120*VLOOKUP('Données projet'!$B$15,Paramètres!$A$1:$I$89,3,0)*0.475*44/12</f>
        <v>4.9147344571517868E-13</v>
      </c>
      <c r="EY120" s="22">
        <f t="shared" si="75"/>
        <v>0.58294818997725983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-2.2737367544323206E-13</v>
      </c>
      <c r="FF120" s="17">
        <f>FE120*VLOOKUP('Données projet'!$B$16,Paramètres!$A$1:$I$89,3,0)*VLOOKUP('Données projet'!$B$16,Paramètres!$A$1:$I$89,5,0)</f>
        <v>-1.0936673788819462E-13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197.66963254934603</v>
      </c>
      <c r="FK120" s="59">
        <f t="shared" si="102"/>
        <v>158.08388141976138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0.4761843893679083</v>
      </c>
      <c r="FR120" s="21">
        <f>EXP(-LN(2)/25)*FR119+(1-EXP(-LN(2)/25))/(LN(2)/25)*Calculateur!FM120*Calculateur!FO120*VLOOKUP('Données projet'!$B$16,Paramètres!$A$1:$I$89,3,0)*0.475*44/12</f>
        <v>0.47619185985954454</v>
      </c>
      <c r="FS120" s="21">
        <f>EXP(-LN(2)/2)*FS119+(1-EXP(-LN(2)/2))/(LN(2)/2)*FM120*FP120*VLOOKUP('Données projet'!$B$16,Paramètres!$A$1:$I$89,3,0)*0.475*44/12</f>
        <v>6.6545607196197627E-13</v>
      </c>
      <c r="FT120" s="22">
        <f t="shared" si="78"/>
        <v>0.95237624922811825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5.6843418860808015E-14</v>
      </c>
      <c r="GA120" s="17">
        <f>FZ120*VLOOKUP('Données projet'!$B$17,Paramètres!$A$1:$I$89,3,0)*VLOOKUP('Données projet'!$B$17,Paramètres!$A$1:$I$89,5,0)</f>
        <v>3.3992364478763198E-14</v>
      </c>
      <c r="GB120" s="13">
        <f t="shared" si="103"/>
        <v>5.790027782444094E-13</v>
      </c>
      <c r="GC120" s="20">
        <f t="shared" si="79"/>
        <v>1.0676332069095257E-12</v>
      </c>
      <c r="GD120" s="59">
        <f t="shared" si="80"/>
        <v>293.33333333333439</v>
      </c>
      <c r="GE120" s="59">
        <f ca="1">AVERAGE(OFFSET($GD$3,0,0,'Données projet'!$E$17+1,1))-AVERAGE(OFFSET($H$3,0,0,'Données projet'!$E$17+1,1))</f>
        <v>165.39579887388538</v>
      </c>
      <c r="GF120" s="59">
        <f t="shared" si="104"/>
        <v>155.89639262545802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0.65327820939931891</v>
      </c>
      <c r="GN120" s="21">
        <f>EXP(-LN(2)/2)*GN119+(1-EXP(-LN(2)/2))/(LN(2)/2)*GH120*GK120*VLOOKUP('Données projet'!$B$17,Paramètres!$A$1:$I$89,3,0)*0.475*44/12</f>
        <v>1.1157984990400849E-12</v>
      </c>
      <c r="GO120" s="21">
        <f t="shared" si="81"/>
        <v>0.65327820940043468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2.8</v>
      </c>
      <c r="GU120" s="12">
        <f>IF('Données projet'!$A$270&gt;35,GU119+GT120-HC119,IF(A120&lt;'Données projet'!$A$270,$GR$205^A120,IF(A120='Données projet'!$A$270,'Données projet'!$B$270,GU119+GT120-HC119)))</f>
        <v>225.6</v>
      </c>
      <c r="GV120" s="17">
        <f>GU120*VLOOKUP('Données projet'!$B$18,Paramètres!$A$1:$I$89,3,0)*VLOOKUP('Données projet'!$B$18,Paramètres!$A$1:$I$89,5,0)</f>
        <v>242.83583999999999</v>
      </c>
      <c r="GW120" s="13">
        <f t="shared" si="105"/>
        <v>59.049257515045376</v>
      </c>
      <c r="GX120" s="20">
        <f t="shared" si="82"/>
        <v>525.78321150537067</v>
      </c>
      <c r="GY120" s="59">
        <f t="shared" si="83"/>
        <v>819.11654483870393</v>
      </c>
      <c r="GZ120" s="59">
        <f ca="1">AVERAGE(OFFSET($GY$3,0,0,'Données projet'!$E$18+1,1))-AVERAGE(OFFSET($H$3,0,0,'Données projet'!$E$18+1,1))</f>
        <v>186.60545265015247</v>
      </c>
      <c r="HA120" s="59">
        <f t="shared" si="106"/>
        <v>69.239647548491234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0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0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1.9065282685915009E-13</v>
      </c>
      <c r="P121" s="13">
        <f t="shared" si="87"/>
        <v>2.6568987209435707E-12</v>
      </c>
      <c r="Q121" s="20">
        <f t="shared" si="107"/>
        <v>4.959485612423072E-12</v>
      </c>
      <c r="R121" s="59">
        <f t="shared" si="55"/>
        <v>293.33333333333826</v>
      </c>
      <c r="S121" s="59">
        <f ca="1">AVERAGE(OFFSET($R$3,0,0,'Données projet'!$E$9+1,1))-AVERAGE(OFFSET($H$3,0,0,'Données projet'!$E$9+1,1))</f>
        <v>235.10258076192054</v>
      </c>
      <c r="T121" s="59">
        <f t="shared" si="88"/>
        <v>233.47316052603765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0.59966226693369917</v>
      </c>
      <c r="AA121" s="21">
        <f>EXP(-LN(2)/25)*AA120+(1-EXP(-LN(2)/25))/(LN(2)/25)*Calculateur!V121*Calculateur!X121*VLOOKUP('Données projet'!$B$9,Paramètres!$A$1:$I$89,3,0)*0.475*44/12</f>
        <v>1.6069961627386149</v>
      </c>
      <c r="AB121" s="21">
        <f>EXP(-LN(2)/2)*AB120+(1-EXP(-LN(2)/2))/(LN(2)/2)*V121*Y121*VLOOKUP('Données projet'!$B$9,Paramètres!$A$1:$I$89,3,0)*0.475*44/12</f>
        <v>1.3711815951562524E-12</v>
      </c>
      <c r="AC121" s="22">
        <f t="shared" si="57"/>
        <v>2.2066584296736855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2.2737367544323206E-13</v>
      </c>
      <c r="AJ121" s="13">
        <f>AI121*VLOOKUP('Données projet'!$B$10,Paramètres!$A$1:$I$89,3,0)*VLOOKUP('Données projet'!$B$10,Paramètres!$A$1:$I$89,5,0)</f>
        <v>1.2414602679200471E-13</v>
      </c>
      <c r="AK121" s="13">
        <f t="shared" si="89"/>
        <v>1.8186582995804361E-12</v>
      </c>
      <c r="AL121" s="20">
        <f t="shared" si="58"/>
        <v>3.3837175350986671E-12</v>
      </c>
      <c r="AM121" s="59">
        <f t="shared" si="59"/>
        <v>293.33333333333672</v>
      </c>
      <c r="AN121" s="59">
        <f ca="1">AVERAGE(OFFSET($AM$3,0,0,'Données projet'!$E$10+1,1))-AVERAGE(OFFSET($H$3,0,0,'Données projet'!$E$10+1,1))</f>
        <v>168.72306536277267</v>
      </c>
      <c r="AO121" s="59">
        <f t="shared" si="90"/>
        <v>203.35476578922339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0.53246966619905634</v>
      </c>
      <c r="AV121" s="21">
        <f>EXP(-LN(2)/25)*AV120+(1-EXP(-LN(2)/25))/(LN(2)/25)*Calculateur!AQ121*Calculateur!AS121*VLOOKUP('Données projet'!$B$10,Paramètres!$A$1:$I$89,3,0)*0.475*44/12</f>
        <v>2.0036383264220166</v>
      </c>
      <c r="AW121" s="21">
        <f>EXP(-LN(2)/2)*AW120+(1-EXP(-LN(2)/2))/(LN(2)/2)*AQ121*AT121*VLOOKUP('Données projet'!$B$10,Paramètres!$A$1:$I$89,3,0)*0.475*44/12</f>
        <v>1.1382239007439958E-12</v>
      </c>
      <c r="AX121" s="21">
        <f t="shared" si="60"/>
        <v>2.536107992622211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3.3992364478763198E-14</v>
      </c>
      <c r="BF121" s="13">
        <f t="shared" si="91"/>
        <v>5.790027782444094E-13</v>
      </c>
      <c r="BG121" s="20">
        <f t="shared" si="61"/>
        <v>1.0676332069095257E-12</v>
      </c>
      <c r="BH121" s="59">
        <f t="shared" si="62"/>
        <v>293.33333333333439</v>
      </c>
      <c r="BI121" s="59">
        <f ca="1">AVERAGE(OFFSET($BH$3,0,0,'Données projet'!$E$11+1,1))-AVERAGE(OFFSET($H$3,0,0,'Données projet'!$E$11+1,1))</f>
        <v>165.39579887388538</v>
      </c>
      <c r="BJ121" s="59">
        <f t="shared" si="92"/>
        <v>155.89639262545802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0.63541428240888664</v>
      </c>
      <c r="BR121" s="21">
        <f>EXP(-LN(2)/2)*BR120+(1-EXP(-LN(2)/2))/(LN(2)/2)*BL121*BO121*VLOOKUP('Données projet'!$B$11,Paramètres!$A$1:$I$89,3,0)*0.475*44/12</f>
        <v>7.8898868510901546E-13</v>
      </c>
      <c r="BS121" s="22">
        <f t="shared" si="63"/>
        <v>0.63541428240967568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2.8</v>
      </c>
      <c r="BY121" s="12">
        <f>IF('Données projet'!$A$114&gt;35,BY120+BX121-CG120,IF(A121&lt;'Données projet'!$A$114,$BV$205^A121,IF(A121='Données projet'!$A$114,'Données projet'!$B$114,BY120+BX121-CG120)))</f>
        <v>228.4</v>
      </c>
      <c r="BZ121" s="13">
        <f>BY121*VLOOKUP('Données projet'!$B$12,Paramètres!$A$1:$I$89,3,0)*VLOOKUP('Données projet'!$B$12,Paramètres!$A$1:$I$89,5,0)</f>
        <v>220.90848000000003</v>
      </c>
      <c r="CA121" s="13">
        <f t="shared" si="93"/>
        <v>54.312291977864867</v>
      </c>
      <c r="CB121" s="20">
        <f t="shared" si="64"/>
        <v>479.34284452811465</v>
      </c>
      <c r="CC121" s="59">
        <f t="shared" si="65"/>
        <v>772.67617786144797</v>
      </c>
      <c r="CD121" s="59">
        <f ca="1">AVERAGE(OFFSET($CC$3,0,0,'Données projet'!$E$12+1,1))-AVERAGE(OFFSET($H$3,0,0,'Données projet'!$E$12+1,1))</f>
        <v>156.26368818265388</v>
      </c>
      <c r="CE121" s="59">
        <f t="shared" si="94"/>
        <v>56.347130462109817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2.8</v>
      </c>
      <c r="CT121" s="12">
        <f>IF('Données projet'!$A$140&gt;35,CT120+CS121-DB120,IF(A121&lt;'Données projet'!$A$140,$CQ$205^A121,IF(A121='Données projet'!$A$140,'Données projet'!$B$140,CT120+CS121-DB120)))</f>
        <v>228.4</v>
      </c>
      <c r="CU121" s="17">
        <f>CT121*VLOOKUP('Données projet'!$B$13,Paramètres!$A$1:$I$89,3,0)*VLOOKUP('Données projet'!$B$13,Paramètres!$A$1:$I$89,5,0)</f>
        <v>185.27808000000002</v>
      </c>
      <c r="CV121" s="13">
        <f t="shared" si="95"/>
        <v>46.494479263750279</v>
      </c>
      <c r="CW121" s="20">
        <f t="shared" si="67"/>
        <v>403.67054071769843</v>
      </c>
      <c r="CX121" s="59">
        <f t="shared" si="68"/>
        <v>697.00387405103174</v>
      </c>
      <c r="CY121" s="59">
        <f ca="1">AVERAGE(OFFSET($CX$3,0,0,'Données projet'!$E$13+1,1))-AVERAGE(OFFSET($H$3,0,0,'Données projet'!$E$13+1,1))</f>
        <v>112.78807760743126</v>
      </c>
      <c r="CZ121" s="59">
        <f t="shared" si="96"/>
        <v>37.867745922003564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-8.5265128291212022E-14</v>
      </c>
      <c r="DP121" s="17">
        <f>DO121*VLOOKUP('Données projet'!$B$14,Paramètres!$A$1:$I$89,3,0)*VLOOKUP('Données projet'!$B$14,Paramètres!$A$1:$I$89,5,0)</f>
        <v>-5.7195848057745024E-14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107.15837202366862</v>
      </c>
      <c r="DU121" s="59">
        <f t="shared" si="98"/>
        <v>139.67031833740026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0.49409258913333731</v>
      </c>
      <c r="EC121" s="21">
        <f>EXP(-LN(2)/2)*EC120+(1-EXP(-LN(2)/2))/(LN(2)/2)*DW121*DZ121*VLOOKUP('Données projet'!$B$14,Paramètres!$A$1:$I$89,3,0)*0.475*44/12</f>
        <v>3.8366326610943847E-13</v>
      </c>
      <c r="ED121" s="22">
        <f t="shared" si="72"/>
        <v>0.49409258913372095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-1.1368683772161603E-13</v>
      </c>
      <c r="EK121" s="17">
        <f>EJ121*VLOOKUP('Données projet'!$B$15,Paramètres!$A$1:$I$89,3,0)*VLOOKUP('Données projet'!$B$15,Paramètres!$A$1:$I$89,5,0)</f>
        <v>-5.3205440053716299E-14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123.60520571614535</v>
      </c>
      <c r="EP121" s="59">
        <f t="shared" si="100"/>
        <v>119.00926870519527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0.15180818850613934</v>
      </c>
      <c r="EW121" s="21">
        <f>EXP(-LN(2)/25)*EW120+(1-EXP(-LN(2)/25))/(LN(2)/25)*Calculateur!ER121*Calculateur!ET121*VLOOKUP('Données projet'!$B$15,Paramètres!$A$1:$I$89,3,0)*0.475*44/12</f>
        <v>0.41639707810330068</v>
      </c>
      <c r="EX121" s="21">
        <f>EXP(-LN(2)/2)*EX120+(1-EXP(-LN(2)/2))/(LN(2)/2)*ER121*EU121*VLOOKUP('Données projet'!$B$15,Paramètres!$A$1:$I$89,3,0)*0.475*44/12</f>
        <v>3.475242062383214E-13</v>
      </c>
      <c r="EY121" s="22">
        <f t="shared" si="75"/>
        <v>0.56820526660978754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-2.2737367544323206E-13</v>
      </c>
      <c r="FF121" s="17">
        <f>FE121*VLOOKUP('Données projet'!$B$16,Paramètres!$A$1:$I$89,3,0)*VLOOKUP('Données projet'!$B$16,Paramètres!$A$1:$I$89,5,0)</f>
        <v>-1.0936673788819462E-13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197.66963254934603</v>
      </c>
      <c r="FK121" s="59">
        <f t="shared" si="102"/>
        <v>158.08388141976138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0.4668467039362022</v>
      </c>
      <c r="FR121" s="21">
        <f>EXP(-LN(2)/25)*FR120+(1-EXP(-LN(2)/25))/(LN(2)/25)*Calculateur!FM121*Calculateur!FO121*VLOOKUP('Données projet'!$B$16,Paramètres!$A$1:$I$89,3,0)*0.475*44/12</f>
        <v>0.46317036840984371</v>
      </c>
      <c r="FS121" s="21">
        <f>EXP(-LN(2)/2)*FS120+(1-EXP(-LN(2)/2))/(LN(2)/2)*FM121*FP121*VLOOKUP('Données projet'!$B$16,Paramètres!$A$1:$I$89,3,0)*0.475*44/12</f>
        <v>4.7054850106607656E-13</v>
      </c>
      <c r="FT121" s="22">
        <f t="shared" si="78"/>
        <v>0.93001707234651643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5.6843418860808015E-14</v>
      </c>
      <c r="GA121" s="17">
        <f>FZ121*VLOOKUP('Données projet'!$B$17,Paramètres!$A$1:$I$89,3,0)*VLOOKUP('Données projet'!$B$17,Paramètres!$A$1:$I$89,5,0)</f>
        <v>3.3992364478763198E-14</v>
      </c>
      <c r="GB121" s="13">
        <f t="shared" si="103"/>
        <v>5.790027782444094E-13</v>
      </c>
      <c r="GC121" s="20">
        <f t="shared" si="79"/>
        <v>1.0676332069095257E-12</v>
      </c>
      <c r="GD121" s="59">
        <f t="shared" si="80"/>
        <v>293.33333333333439</v>
      </c>
      <c r="GE121" s="59">
        <f ca="1">AVERAGE(OFFSET($GD$3,0,0,'Données projet'!$E$17+1,1))-AVERAGE(OFFSET($H$3,0,0,'Données projet'!$E$17+1,1))</f>
        <v>165.39579887388538</v>
      </c>
      <c r="GF121" s="59">
        <f t="shared" si="104"/>
        <v>155.89639262545802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0.63541428240888664</v>
      </c>
      <c r="GN121" s="21">
        <f>EXP(-LN(2)/2)*GN120+(1-EXP(-LN(2)/2))/(LN(2)/2)*GH121*GK121*VLOOKUP('Données projet'!$B$17,Paramètres!$A$1:$I$89,3,0)*0.475*44/12</f>
        <v>7.8898868510901546E-13</v>
      </c>
      <c r="GO121" s="21">
        <f t="shared" si="81"/>
        <v>0.63541428240967568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2.8</v>
      </c>
      <c r="GU121" s="12">
        <f>IF('Données projet'!$A$270&gt;35,GU120+GT121-HC120,IF(A121&lt;'Données projet'!$A$270,$GR$205^A121,IF(A121='Données projet'!$A$270,'Données projet'!$B$270,GU120+GT121-HC120)))</f>
        <v>228.4</v>
      </c>
      <c r="GV121" s="17">
        <f>GU121*VLOOKUP('Données projet'!$B$18,Paramètres!$A$1:$I$89,3,0)*VLOOKUP('Données projet'!$B$18,Paramètres!$A$1:$I$89,5,0)</f>
        <v>245.84976</v>
      </c>
      <c r="GW121" s="13">
        <f t="shared" si="105"/>
        <v>59.696365416984804</v>
      </c>
      <c r="GX121" s="20">
        <f t="shared" si="82"/>
        <v>532.15950176791523</v>
      </c>
      <c r="GY121" s="59">
        <f t="shared" si="83"/>
        <v>825.4928351012486</v>
      </c>
      <c r="GZ121" s="59">
        <f ca="1">AVERAGE(OFFSET($GY$3,0,0,'Données projet'!$E$18+1,1))-AVERAGE(OFFSET($H$3,0,0,'Données projet'!$E$18+1,1))</f>
        <v>186.60545265015247</v>
      </c>
      <c r="HA121" s="59">
        <f t="shared" si="106"/>
        <v>69.239647548491234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0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0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1.9065282685915009E-13</v>
      </c>
      <c r="P122" s="13">
        <f t="shared" si="87"/>
        <v>2.6568987209435707E-12</v>
      </c>
      <c r="Q122" s="20">
        <f t="shared" si="107"/>
        <v>4.959485612423072E-12</v>
      </c>
      <c r="R122" s="59">
        <f t="shared" si="55"/>
        <v>293.33333333333826</v>
      </c>
      <c r="S122" s="59">
        <f ca="1">AVERAGE(OFFSET($R$3,0,0,'Données projet'!$E$9+1,1))-AVERAGE(OFFSET($H$3,0,0,'Données projet'!$E$9+1,1))</f>
        <v>235.10258076192054</v>
      </c>
      <c r="T122" s="59">
        <f t="shared" si="88"/>
        <v>233.47316052603765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0.58790325563699652</v>
      </c>
      <c r="AA122" s="21">
        <f>EXP(-LN(2)/25)*AA121+(1-EXP(-LN(2)/25))/(LN(2)/25)*Calculateur!V122*Calculateur!X122*VLOOKUP('Données projet'!$B$9,Paramètres!$A$1:$I$89,3,0)*0.475*44/12</f>
        <v>1.5630527681602722</v>
      </c>
      <c r="AB122" s="21">
        <f>EXP(-LN(2)/2)*AB121+(1-EXP(-LN(2)/2))/(LN(2)/2)*V122*Y122*VLOOKUP('Données projet'!$B$9,Paramètres!$A$1:$I$89,3,0)*0.475*44/12</f>
        <v>9.6957180417317335E-13</v>
      </c>
      <c r="AC122" s="22">
        <f t="shared" si="57"/>
        <v>2.1509560237982384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2.2737367544323206E-13</v>
      </c>
      <c r="AJ122" s="13">
        <f>AI122*VLOOKUP('Données projet'!$B$10,Paramètres!$A$1:$I$89,3,0)*VLOOKUP('Données projet'!$B$10,Paramètres!$A$1:$I$89,5,0)</f>
        <v>1.2414602679200471E-13</v>
      </c>
      <c r="AK122" s="13">
        <f t="shared" si="89"/>
        <v>1.8186582995804361E-12</v>
      </c>
      <c r="AL122" s="20">
        <f t="shared" si="58"/>
        <v>3.3837175350986671E-12</v>
      </c>
      <c r="AM122" s="59">
        <f t="shared" si="59"/>
        <v>293.33333333333672</v>
      </c>
      <c r="AN122" s="59">
        <f ca="1">AVERAGE(OFFSET($AM$3,0,0,'Données projet'!$E$10+1,1))-AVERAGE(OFFSET($H$3,0,0,'Données projet'!$E$10+1,1))</f>
        <v>168.72306536277267</v>
      </c>
      <c r="AO122" s="59">
        <f t="shared" si="90"/>
        <v>203.35476578922339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0.52202826081932041</v>
      </c>
      <c r="AV122" s="21">
        <f>EXP(-LN(2)/25)*AV121+(1-EXP(-LN(2)/25))/(LN(2)/25)*Calculateur!AQ122*Calculateur!AS122*VLOOKUP('Données projet'!$B$10,Paramètres!$A$1:$I$89,3,0)*0.475*44/12</f>
        <v>1.9488487310192464</v>
      </c>
      <c r="AW122" s="21">
        <f>EXP(-LN(2)/2)*AW121+(1-EXP(-LN(2)/2))/(LN(2)/2)*AQ122*AT122*VLOOKUP('Données projet'!$B$10,Paramètres!$A$1:$I$89,3,0)*0.475*44/12</f>
        <v>8.0484583872468327E-13</v>
      </c>
      <c r="AX122" s="21">
        <f t="shared" si="60"/>
        <v>2.4708769918393716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3.3992364478763198E-14</v>
      </c>
      <c r="BF122" s="13">
        <f t="shared" si="91"/>
        <v>5.790027782444094E-13</v>
      </c>
      <c r="BG122" s="20">
        <f t="shared" si="61"/>
        <v>1.0676332069095257E-12</v>
      </c>
      <c r="BH122" s="59">
        <f t="shared" si="62"/>
        <v>293.33333333333439</v>
      </c>
      <c r="BI122" s="59">
        <f ca="1">AVERAGE(OFFSET($BH$3,0,0,'Données projet'!$E$11+1,1))-AVERAGE(OFFSET($H$3,0,0,'Données projet'!$E$11+1,1))</f>
        <v>165.39579887388538</v>
      </c>
      <c r="BJ122" s="59">
        <f t="shared" si="92"/>
        <v>155.89639262545802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0.61803884544143084</v>
      </c>
      <c r="BR122" s="21">
        <f>EXP(-LN(2)/2)*BR121+(1-EXP(-LN(2)/2))/(LN(2)/2)*BL122*BO122*VLOOKUP('Données projet'!$B$11,Paramètres!$A$1:$I$89,3,0)*0.475*44/12</f>
        <v>5.5789924952004243E-13</v>
      </c>
      <c r="BS122" s="22">
        <f t="shared" si="63"/>
        <v>0.61803884544198873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2.8</v>
      </c>
      <c r="BY122" s="12">
        <f>IF('Données projet'!$A$114&gt;35,BY121+BX122-CG121,IF(A122&lt;'Données projet'!$A$114,$BV$205^A122,IF(A122='Données projet'!$A$114,'Données projet'!$B$114,BY121+BX122-CG121)))</f>
        <v>231.20000000000002</v>
      </c>
      <c r="BZ122" s="13">
        <f>BY122*VLOOKUP('Données projet'!$B$12,Paramètres!$A$1:$I$89,3,0)*VLOOKUP('Données projet'!$B$12,Paramètres!$A$1:$I$89,5,0)</f>
        <v>223.61664000000005</v>
      </c>
      <c r="CA122" s="13">
        <f t="shared" si="93"/>
        <v>54.900197042646539</v>
      </c>
      <c r="CB122" s="20">
        <f t="shared" si="64"/>
        <v>485.08349118260935</v>
      </c>
      <c r="CC122" s="59">
        <f t="shared" si="65"/>
        <v>778.41682451594261</v>
      </c>
      <c r="CD122" s="59">
        <f ca="1">AVERAGE(OFFSET($CC$3,0,0,'Données projet'!$E$12+1,1))-AVERAGE(OFFSET($H$3,0,0,'Données projet'!$E$12+1,1))</f>
        <v>156.26368818265388</v>
      </c>
      <c r="CE122" s="59">
        <f t="shared" si="94"/>
        <v>56.347130462109817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2.8</v>
      </c>
      <c r="CT122" s="12">
        <f>IF('Données projet'!$A$140&gt;35,CT121+CS122-DB121,IF(A122&lt;'Données projet'!$A$140,$CQ$205^A122,IF(A122='Données projet'!$A$140,'Données projet'!$B$140,CT121+CS122-DB121)))</f>
        <v>231.20000000000002</v>
      </c>
      <c r="CU122" s="17">
        <f>CT122*VLOOKUP('Données projet'!$B$13,Paramètres!$A$1:$I$89,3,0)*VLOOKUP('Données projet'!$B$13,Paramètres!$A$1:$I$89,5,0)</f>
        <v>187.54944000000003</v>
      </c>
      <c r="CV122" s="13">
        <f t="shared" si="95"/>
        <v>46.997760175826045</v>
      </c>
      <c r="CW122" s="20">
        <f t="shared" si="67"/>
        <v>408.50304030623039</v>
      </c>
      <c r="CX122" s="59">
        <f t="shared" si="68"/>
        <v>701.8363736395637</v>
      </c>
      <c r="CY122" s="59">
        <f ca="1">AVERAGE(OFFSET($CX$3,0,0,'Données projet'!$E$13+1,1))-AVERAGE(OFFSET($H$3,0,0,'Données projet'!$E$13+1,1))</f>
        <v>112.78807760743126</v>
      </c>
      <c r="CZ122" s="59">
        <f t="shared" si="96"/>
        <v>37.867745922003564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-8.5265128291212022E-14</v>
      </c>
      <c r="DP122" s="17">
        <f>DO122*VLOOKUP('Données projet'!$B$14,Paramètres!$A$1:$I$89,3,0)*VLOOKUP('Données projet'!$B$14,Paramètres!$A$1:$I$89,5,0)</f>
        <v>-5.7195848057745024E-14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107.15837202366862</v>
      </c>
      <c r="DU122" s="59">
        <f t="shared" si="98"/>
        <v>139.67031833740026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0.48058160130028621</v>
      </c>
      <c r="EC122" s="21">
        <f>EXP(-LN(2)/2)*EC121+(1-EXP(-LN(2)/2))/(LN(2)/2)*DW122*DZ122*VLOOKUP('Données projet'!$B$14,Paramètres!$A$1:$I$89,3,0)*0.475*44/12</f>
        <v>2.7129089715816286E-13</v>
      </c>
      <c r="ED122" s="22">
        <f t="shared" si="72"/>
        <v>0.48058160130055749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-1.1368683772161603E-13</v>
      </c>
      <c r="EK122" s="17">
        <f>EJ122*VLOOKUP('Données projet'!$B$15,Paramètres!$A$1:$I$89,3,0)*VLOOKUP('Données projet'!$B$15,Paramètres!$A$1:$I$89,5,0)</f>
        <v>-5.3205440053716299E-14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123.60520571614535</v>
      </c>
      <c r="EP122" s="59">
        <f t="shared" si="100"/>
        <v>119.00926870519527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0.14883132252338604</v>
      </c>
      <c r="EW122" s="21">
        <f>EXP(-LN(2)/25)*EW121+(1-EXP(-LN(2)/25))/(LN(2)/25)*Calculateur!ER122*Calculateur!ET122*VLOOKUP('Données projet'!$B$15,Paramètres!$A$1:$I$89,3,0)*0.475*44/12</f>
        <v>0.40501067810519525</v>
      </c>
      <c r="EX122" s="21">
        <f>EXP(-LN(2)/2)*EX121+(1-EXP(-LN(2)/2))/(LN(2)/2)*ER122*EU122*VLOOKUP('Données projet'!$B$15,Paramètres!$A$1:$I$89,3,0)*0.475*44/12</f>
        <v>2.4573672285758934E-13</v>
      </c>
      <c r="EY122" s="22">
        <f t="shared" si="75"/>
        <v>0.55384200062882705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-2.2737367544323206E-13</v>
      </c>
      <c r="FF122" s="17">
        <f>FE122*VLOOKUP('Données projet'!$B$16,Paramètres!$A$1:$I$89,3,0)*VLOOKUP('Données projet'!$B$16,Paramètres!$A$1:$I$89,5,0)</f>
        <v>-1.0936673788819462E-13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197.66963254934603</v>
      </c>
      <c r="FK122" s="59">
        <f t="shared" si="102"/>
        <v>158.08388141976138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0.45769212482038613</v>
      </c>
      <c r="FR122" s="21">
        <f>EXP(-LN(2)/25)*FR121+(1-EXP(-LN(2)/25))/(LN(2)/25)*Calculateur!FM122*Calculateur!FO122*VLOOKUP('Données projet'!$B$16,Paramètres!$A$1:$I$89,3,0)*0.475*44/12</f>
        <v>0.45050495032860544</v>
      </c>
      <c r="FS122" s="21">
        <f>EXP(-LN(2)/2)*FS121+(1-EXP(-LN(2)/2))/(LN(2)/2)*FM122*FP122*VLOOKUP('Données projet'!$B$16,Paramètres!$A$1:$I$89,3,0)*0.475*44/12</f>
        <v>3.3272803598098814E-13</v>
      </c>
      <c r="FT122" s="22">
        <f t="shared" si="78"/>
        <v>0.90819707514932435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5.6843418860808015E-14</v>
      </c>
      <c r="GA122" s="17">
        <f>FZ122*VLOOKUP('Données projet'!$B$17,Paramètres!$A$1:$I$89,3,0)*VLOOKUP('Données projet'!$B$17,Paramètres!$A$1:$I$89,5,0)</f>
        <v>3.3992364478763198E-14</v>
      </c>
      <c r="GB122" s="13">
        <f t="shared" si="103"/>
        <v>5.790027782444094E-13</v>
      </c>
      <c r="GC122" s="20">
        <f t="shared" si="79"/>
        <v>1.0676332069095257E-12</v>
      </c>
      <c r="GD122" s="59">
        <f t="shared" si="80"/>
        <v>293.33333333333439</v>
      </c>
      <c r="GE122" s="59">
        <f ca="1">AVERAGE(OFFSET($GD$3,0,0,'Données projet'!$E$17+1,1))-AVERAGE(OFFSET($H$3,0,0,'Données projet'!$E$17+1,1))</f>
        <v>165.39579887388538</v>
      </c>
      <c r="GF122" s="59">
        <f t="shared" si="104"/>
        <v>155.89639262545802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0.61803884544143084</v>
      </c>
      <c r="GN122" s="21">
        <f>EXP(-LN(2)/2)*GN121+(1-EXP(-LN(2)/2))/(LN(2)/2)*GH122*GK122*VLOOKUP('Données projet'!$B$17,Paramètres!$A$1:$I$89,3,0)*0.475*44/12</f>
        <v>5.5789924952004243E-13</v>
      </c>
      <c r="GO122" s="21">
        <f t="shared" si="81"/>
        <v>0.61803884544198873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2.8</v>
      </c>
      <c r="GU122" s="12">
        <f>IF('Données projet'!$A$270&gt;35,GU121+GT122-HC121,IF(A122&lt;'Données projet'!$A$270,$GR$205^A122,IF(A122='Données projet'!$A$270,'Données projet'!$B$270,GU121+GT122-HC121)))</f>
        <v>231.20000000000002</v>
      </c>
      <c r="GV122" s="17">
        <f>GU122*VLOOKUP('Données projet'!$B$18,Paramètres!$A$1:$I$89,3,0)*VLOOKUP('Données projet'!$B$18,Paramètres!$A$1:$I$89,5,0)</f>
        <v>248.86367999999999</v>
      </c>
      <c r="GW122" s="13">
        <f t="shared" si="105"/>
        <v>60.342550549293399</v>
      </c>
      <c r="GX122" s="20">
        <f t="shared" si="82"/>
        <v>538.53418487335261</v>
      </c>
      <c r="GY122" s="59">
        <f t="shared" si="83"/>
        <v>831.86751820668587</v>
      </c>
      <c r="GZ122" s="59">
        <f ca="1">AVERAGE(OFFSET($GY$3,0,0,'Données projet'!$E$18+1,1))-AVERAGE(OFFSET($H$3,0,0,'Données projet'!$E$18+1,1))</f>
        <v>186.60545265015247</v>
      </c>
      <c r="HA122" s="59">
        <f t="shared" si="106"/>
        <v>69.239647548491234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0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0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1.9065282685915009E-13</v>
      </c>
      <c r="P123" s="13">
        <f t="shared" si="87"/>
        <v>2.6568987209435707E-12</v>
      </c>
      <c r="Q123" s="20">
        <f t="shared" si="107"/>
        <v>4.959485612423072E-12</v>
      </c>
      <c r="R123" s="59">
        <f t="shared" si="55"/>
        <v>293.33333333333826</v>
      </c>
      <c r="S123" s="59">
        <f ca="1">AVERAGE(OFFSET($R$3,0,0,'Données projet'!$E$9+1,1))-AVERAGE(OFFSET($H$3,0,0,'Données projet'!$E$9+1,1))</f>
        <v>235.10258076192054</v>
      </c>
      <c r="T123" s="59">
        <f t="shared" si="88"/>
        <v>233.47316052603765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0.5763748313795336</v>
      </c>
      <c r="AA123" s="21">
        <f>EXP(-LN(2)/25)*AA122+(1-EXP(-LN(2)/25))/(LN(2)/25)*Calculateur!V123*Calculateur!X123*VLOOKUP('Données projet'!$B$9,Paramètres!$A$1:$I$89,3,0)*0.475*44/12</f>
        <v>1.5203110080175568</v>
      </c>
      <c r="AB123" s="21">
        <f>EXP(-LN(2)/2)*AB122+(1-EXP(-LN(2)/2))/(LN(2)/2)*V123*Y123*VLOOKUP('Données projet'!$B$9,Paramètres!$A$1:$I$89,3,0)*0.475*44/12</f>
        <v>6.855907975781262E-13</v>
      </c>
      <c r="AC123" s="22">
        <f t="shared" si="57"/>
        <v>2.0966858393977761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2.2737367544323206E-13</v>
      </c>
      <c r="AJ123" s="13">
        <f>AI123*VLOOKUP('Données projet'!$B$10,Paramètres!$A$1:$I$89,3,0)*VLOOKUP('Données projet'!$B$10,Paramètres!$A$1:$I$89,5,0)</f>
        <v>1.2414602679200471E-13</v>
      </c>
      <c r="AK123" s="13">
        <f t="shared" si="89"/>
        <v>1.8186582995804361E-12</v>
      </c>
      <c r="AL123" s="20">
        <f t="shared" si="58"/>
        <v>3.3837175350986671E-12</v>
      </c>
      <c r="AM123" s="59">
        <f t="shared" si="59"/>
        <v>293.33333333333672</v>
      </c>
      <c r="AN123" s="59">
        <f ca="1">AVERAGE(OFFSET($AM$3,0,0,'Données projet'!$E$10+1,1))-AVERAGE(OFFSET($H$3,0,0,'Données projet'!$E$10+1,1))</f>
        <v>168.72306536277267</v>
      </c>
      <c r="AO123" s="59">
        <f t="shared" si="90"/>
        <v>203.35476578922339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0.51179160503045262</v>
      </c>
      <c r="AV123" s="21">
        <f>EXP(-LN(2)/25)*AV122+(1-EXP(-LN(2)/25))/(LN(2)/25)*Calculateur!AQ123*Calculateur!AS123*VLOOKUP('Données projet'!$B$10,Paramètres!$A$1:$I$89,3,0)*0.475*44/12</f>
        <v>1.8955573599840245</v>
      </c>
      <c r="AW123" s="21">
        <f>EXP(-LN(2)/2)*AW122+(1-EXP(-LN(2)/2))/(LN(2)/2)*AQ123*AT123*VLOOKUP('Données projet'!$B$10,Paramètres!$A$1:$I$89,3,0)*0.475*44/12</f>
        <v>5.6911195037199792E-13</v>
      </c>
      <c r="AX123" s="21">
        <f t="shared" si="60"/>
        <v>2.4073489650150464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3.3992364478763198E-14</v>
      </c>
      <c r="BF123" s="13">
        <f t="shared" si="91"/>
        <v>5.790027782444094E-13</v>
      </c>
      <c r="BG123" s="20">
        <f t="shared" si="61"/>
        <v>1.0676332069095257E-12</v>
      </c>
      <c r="BH123" s="59">
        <f t="shared" si="62"/>
        <v>293.33333333333439</v>
      </c>
      <c r="BI123" s="59">
        <f ca="1">AVERAGE(OFFSET($BH$3,0,0,'Données projet'!$E$11+1,1))-AVERAGE(OFFSET($H$3,0,0,'Données projet'!$E$11+1,1))</f>
        <v>165.39579887388538</v>
      </c>
      <c r="BJ123" s="59">
        <f t="shared" si="92"/>
        <v>155.89639262545802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0.60113854071158457</v>
      </c>
      <c r="BR123" s="21">
        <f>EXP(-LN(2)/2)*BR122+(1-EXP(-LN(2)/2))/(LN(2)/2)*BL123*BO123*VLOOKUP('Données projet'!$B$11,Paramètres!$A$1:$I$89,3,0)*0.475*44/12</f>
        <v>3.9449434255450773E-13</v>
      </c>
      <c r="BS123" s="22">
        <f t="shared" si="63"/>
        <v>0.60113854071197903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234</v>
      </c>
      <c r="BW123" s="12">
        <f>VLOOKUP(A123,'Données projet'!$A$113:$I$133,9,0)</f>
        <v>2.8</v>
      </c>
      <c r="BX123" s="12">
        <f t="array" ref="BX123">INDEX(BW:BW,MIN(IF(ISNUMBER(BW123:BW319),ROW(BW123:BW319),"")))</f>
        <v>2.8</v>
      </c>
      <c r="BY123" s="12">
        <f>IF('Données projet'!$A$114&gt;35,BY122+BX123-CG122,IF(A123&lt;'Données projet'!$A$114,$BV$205^A123,IF(A123='Données projet'!$A$114,'Données projet'!$B$114,BY122+BX123-CG122)))</f>
        <v>234.00000000000003</v>
      </c>
      <c r="BZ123" s="13">
        <f>BY123*VLOOKUP('Données projet'!$B$12,Paramètres!$A$1:$I$89,3,0)*VLOOKUP('Données projet'!$B$12,Paramètres!$A$1:$I$89,5,0)</f>
        <v>226.32480000000004</v>
      </c>
      <c r="CA123" s="13">
        <f t="shared" si="93"/>
        <v>55.48727390683672</v>
      </c>
      <c r="CB123" s="20">
        <f t="shared" si="64"/>
        <v>490.82269538774068</v>
      </c>
      <c r="CC123" s="59">
        <f t="shared" si="65"/>
        <v>784.15602872107399</v>
      </c>
      <c r="CD123" s="59">
        <f ca="1">AVERAGE(OFFSET($CC$3,0,0,'Données projet'!$E$12+1,1))-AVERAGE(OFFSET($H$3,0,0,'Données projet'!$E$12+1,1))</f>
        <v>156.26368818265388</v>
      </c>
      <c r="CE123" s="59">
        <f t="shared" si="94"/>
        <v>56.347130462109817</v>
      </c>
      <c r="CF123" s="15">
        <f>IF(ISNA(VLOOKUP(A123,'Données projet'!$A$113:$I$133,3,0)),0,VLOOKUP(A123,'Données projet'!$A$113:$I$133,3,0))</f>
        <v>9</v>
      </c>
      <c r="CG123" s="15">
        <f>IF(ISNA(VLOOKUP(A123,'Données projet'!$A$113:$I$133,4,0)),0,VLOOKUP(A123,'Données projet'!$A$113:$I$133,4,0))</f>
        <v>234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234</v>
      </c>
      <c r="CR123" s="12">
        <f>VLOOKUP(A123,'Données projet'!$A$139:$I$159,9,0)</f>
        <v>2.8</v>
      </c>
      <c r="CS123" s="12">
        <f t="array" ref="CS123">INDEX(CR:CR,MIN(IF(ISNUMBER(CR123:CR319),ROW(CR123:CR319),"")))</f>
        <v>2.8</v>
      </c>
      <c r="CT123" s="12">
        <f>IF('Données projet'!$A$140&gt;35,CT122+CS123-DB122,IF(A123&lt;'Données projet'!$A$140,$CQ$205^A123,IF(A123='Données projet'!$A$140,'Données projet'!$B$140,CT122+CS123-DB122)))</f>
        <v>234.00000000000003</v>
      </c>
      <c r="CU123" s="17">
        <f>CT123*VLOOKUP('Données projet'!$B$13,Paramètres!$A$1:$I$89,3,0)*VLOOKUP('Données projet'!$B$13,Paramètres!$A$1:$I$89,5,0)</f>
        <v>189.82080000000005</v>
      </c>
      <c r="CV123" s="13">
        <f t="shared" si="95"/>
        <v>47.500332100049796</v>
      </c>
      <c r="CW123" s="20">
        <f t="shared" si="67"/>
        <v>413.33430507425345</v>
      </c>
      <c r="CX123" s="59">
        <f t="shared" si="68"/>
        <v>706.66763840758676</v>
      </c>
      <c r="CY123" s="59">
        <f ca="1">AVERAGE(OFFSET($CX$3,0,0,'Données projet'!$E$13+1,1))-AVERAGE(OFFSET($H$3,0,0,'Données projet'!$E$13+1,1))</f>
        <v>112.78807760743126</v>
      </c>
      <c r="CZ123" s="59">
        <f t="shared" si="96"/>
        <v>37.867745922003564</v>
      </c>
      <c r="DA123" s="15">
        <f>IF(ISNA(VLOOKUP(A123,'Données projet'!$A$139:$I$159,3,0)),0,VLOOKUP(A123,'Données projet'!$A$139:$I$159,3,0))</f>
        <v>9</v>
      </c>
      <c r="DB123" s="15">
        <f>IF(ISNA(VLOOKUP(A123,'Données projet'!$A$139:$I$159,4,0)),0,VLOOKUP(A123,'Données projet'!$A$139:$I$159,4,0))</f>
        <v>234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-8.5265128291212022E-14</v>
      </c>
      <c r="DP123" s="17">
        <f>DO123*VLOOKUP('Données projet'!$B$14,Paramètres!$A$1:$I$89,3,0)*VLOOKUP('Données projet'!$B$14,Paramètres!$A$1:$I$89,5,0)</f>
        <v>-5.7195848057745024E-14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107.15837202366862</v>
      </c>
      <c r="DU123" s="59">
        <f t="shared" si="98"/>
        <v>139.67031833740026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0.46744007214004185</v>
      </c>
      <c r="EC123" s="21">
        <f>EXP(-LN(2)/2)*EC122+(1-EXP(-LN(2)/2))/(LN(2)/2)*DW123*DZ123*VLOOKUP('Données projet'!$B$14,Paramètres!$A$1:$I$89,3,0)*0.475*44/12</f>
        <v>1.9183163305471923E-13</v>
      </c>
      <c r="ED123" s="22">
        <f t="shared" si="72"/>
        <v>0.4674400721402337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-1.1368683772161603E-13</v>
      </c>
      <c r="EK123" s="17">
        <f>EJ123*VLOOKUP('Données projet'!$B$15,Paramètres!$A$1:$I$89,3,0)*VLOOKUP('Données projet'!$B$15,Paramètres!$A$1:$I$89,5,0)</f>
        <v>-5.3205440053716299E-14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123.60520571614535</v>
      </c>
      <c r="EP123" s="59">
        <f t="shared" si="100"/>
        <v>119.00926870519527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0.14591283106684558</v>
      </c>
      <c r="EW123" s="21">
        <f>EXP(-LN(2)/25)*EW122+(1-EXP(-LN(2)/25))/(LN(2)/25)*Calculateur!ER123*Calculateur!ET123*VLOOKUP('Données projet'!$B$15,Paramètres!$A$1:$I$89,3,0)*0.475*44/12</f>
        <v>0.39393563981382279</v>
      </c>
      <c r="EX123" s="21">
        <f>EXP(-LN(2)/2)*EX122+(1-EXP(-LN(2)/2))/(LN(2)/2)*ER123*EU123*VLOOKUP('Données projet'!$B$15,Paramètres!$A$1:$I$89,3,0)*0.475*44/12</f>
        <v>1.737621031191607E-13</v>
      </c>
      <c r="EY123" s="22">
        <f t="shared" si="75"/>
        <v>0.53984847088084209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-2.2737367544323206E-13</v>
      </c>
      <c r="FF123" s="17">
        <f>FE123*VLOOKUP('Données projet'!$B$16,Paramètres!$A$1:$I$89,3,0)*VLOOKUP('Données projet'!$B$16,Paramètres!$A$1:$I$89,5,0)</f>
        <v>-1.0936673788819462E-13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197.66963254934603</v>
      </c>
      <c r="FK123" s="59">
        <f t="shared" si="102"/>
        <v>158.08388141976138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0.44871706141728929</v>
      </c>
      <c r="FR123" s="21">
        <f>EXP(-LN(2)/25)*FR122+(1-EXP(-LN(2)/25))/(LN(2)/25)*Calculateur!FM123*Calculateur!FO123*VLOOKUP('Données projet'!$B$16,Paramètres!$A$1:$I$89,3,0)*0.475*44/12</f>
        <v>0.43818586877084403</v>
      </c>
      <c r="FS123" s="21">
        <f>EXP(-LN(2)/2)*FS122+(1-EXP(-LN(2)/2))/(LN(2)/2)*FM123*FP123*VLOOKUP('Données projet'!$B$16,Paramètres!$A$1:$I$89,3,0)*0.475*44/12</f>
        <v>2.3527425053303828E-13</v>
      </c>
      <c r="FT123" s="22">
        <f t="shared" si="78"/>
        <v>0.88690293018836852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5.6843418860808015E-14</v>
      </c>
      <c r="GA123" s="17">
        <f>FZ123*VLOOKUP('Données projet'!$B$17,Paramètres!$A$1:$I$89,3,0)*VLOOKUP('Données projet'!$B$17,Paramètres!$A$1:$I$89,5,0)</f>
        <v>3.3992364478763198E-14</v>
      </c>
      <c r="GB123" s="13">
        <f t="shared" si="103"/>
        <v>5.790027782444094E-13</v>
      </c>
      <c r="GC123" s="20">
        <f t="shared" si="79"/>
        <v>1.0676332069095257E-12</v>
      </c>
      <c r="GD123" s="59">
        <f t="shared" si="80"/>
        <v>293.33333333333439</v>
      </c>
      <c r="GE123" s="59">
        <f ca="1">AVERAGE(OFFSET($GD$3,0,0,'Données projet'!$E$17+1,1))-AVERAGE(OFFSET($H$3,0,0,'Données projet'!$E$17+1,1))</f>
        <v>165.39579887388538</v>
      </c>
      <c r="GF123" s="59">
        <f t="shared" si="104"/>
        <v>155.89639262545802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0.60113854071158457</v>
      </c>
      <c r="GN123" s="21">
        <f>EXP(-LN(2)/2)*GN122+(1-EXP(-LN(2)/2))/(LN(2)/2)*GH123*GK123*VLOOKUP('Données projet'!$B$17,Paramètres!$A$1:$I$89,3,0)*0.475*44/12</f>
        <v>3.9449434255450773E-13</v>
      </c>
      <c r="GO123" s="21">
        <f t="shared" si="81"/>
        <v>0.60113854071197903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>
        <f>VLOOKUP(A123,'Données projet'!$A$269:$I$289,2,0)</f>
        <v>234</v>
      </c>
      <c r="GS123" s="12">
        <f>VLOOKUP(A123,'Données projet'!$A$269:$I$289,9,0)</f>
        <v>2.8</v>
      </c>
      <c r="GT123" s="12">
        <f t="array" ref="GT123">INDEX(GS:GS,MIN(IF(ISNUMBER(GS123:GS319),ROW(GS123:GS319),"")))</f>
        <v>2.8</v>
      </c>
      <c r="GU123" s="12">
        <f>IF('Données projet'!$A$270&gt;35,GU122+GT123-HC122,IF(A123&lt;'Données projet'!$A$270,$GR$205^A123,IF(A123='Données projet'!$A$270,'Données projet'!$B$270,GU122+GT123-HC122)))</f>
        <v>234.00000000000003</v>
      </c>
      <c r="GV123" s="17">
        <f>GU123*VLOOKUP('Données projet'!$B$18,Paramètres!$A$1:$I$89,3,0)*VLOOKUP('Données projet'!$B$18,Paramètres!$A$1:$I$89,5,0)</f>
        <v>251.87760000000003</v>
      </c>
      <c r="GW123" s="13">
        <f t="shared" si="105"/>
        <v>60.987825380023075</v>
      </c>
      <c r="GX123" s="20">
        <f t="shared" si="82"/>
        <v>544.90728253687359</v>
      </c>
      <c r="GY123" s="59">
        <f t="shared" si="83"/>
        <v>838.24061587020697</v>
      </c>
      <c r="GZ123" s="59">
        <f ca="1">AVERAGE(OFFSET($GY$3,0,0,'Données projet'!$E$18+1,1))-AVERAGE(OFFSET($H$3,0,0,'Données projet'!$E$18+1,1))</f>
        <v>186.60545265015247</v>
      </c>
      <c r="HA123" s="59">
        <f t="shared" si="106"/>
        <v>69.239647548491234</v>
      </c>
      <c r="HB123" s="15">
        <f>IF(ISNA(VLOOKUP(A123,'Données projet'!$A$269:$I$289,3,0)),0,VLOOKUP(A123,'Données projet'!$A$269:$I$289,3,0))</f>
        <v>9</v>
      </c>
      <c r="HC123" s="15">
        <f>IF(ISNA(VLOOKUP(A123,'Données projet'!$A$269:$I$289,4,0)),0,VLOOKUP(A123,'Données projet'!$A$269:$I$289,4,0))</f>
        <v>234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0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0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1.9065282685915009E-13</v>
      </c>
      <c r="P124" s="13">
        <f t="shared" si="87"/>
        <v>2.6568987209435707E-12</v>
      </c>
      <c r="Q124" s="20">
        <f t="shared" si="107"/>
        <v>4.959485612423072E-12</v>
      </c>
      <c r="R124" s="59">
        <f t="shared" si="55"/>
        <v>293.33333333333826</v>
      </c>
      <c r="S124" s="59">
        <f ca="1">AVERAGE(OFFSET($R$3,0,0,'Données projet'!$E$9+1,1))-AVERAGE(OFFSET($H$3,0,0,'Données projet'!$E$9+1,1))</f>
        <v>235.10258076192054</v>
      </c>
      <c r="T124" s="59">
        <f t="shared" si="88"/>
        <v>233.47316052603765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0.56507247249011505</v>
      </c>
      <c r="AA124" s="21">
        <f>EXP(-LN(2)/25)*AA123+(1-EXP(-LN(2)/25))/(LN(2)/25)*Calculateur!V124*Calculateur!X124*VLOOKUP('Données projet'!$B$9,Paramètres!$A$1:$I$89,3,0)*0.475*44/12</f>
        <v>1.4787380235536356</v>
      </c>
      <c r="AB124" s="21">
        <f>EXP(-LN(2)/2)*AB123+(1-EXP(-LN(2)/2))/(LN(2)/2)*V124*Y124*VLOOKUP('Données projet'!$B$9,Paramètres!$A$1:$I$89,3,0)*0.475*44/12</f>
        <v>4.8478590208658668E-13</v>
      </c>
      <c r="AC124" s="22">
        <f t="shared" si="57"/>
        <v>2.0438104960442356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2.2737367544323206E-13</v>
      </c>
      <c r="AJ124" s="13">
        <f>AI124*VLOOKUP('Données projet'!$B$10,Paramètres!$A$1:$I$89,3,0)*VLOOKUP('Données projet'!$B$10,Paramètres!$A$1:$I$89,5,0)</f>
        <v>1.2414602679200471E-13</v>
      </c>
      <c r="AK124" s="13">
        <f t="shared" si="89"/>
        <v>1.8186582995804361E-12</v>
      </c>
      <c r="AL124" s="20">
        <f t="shared" si="58"/>
        <v>3.3837175350986671E-12</v>
      </c>
      <c r="AM124" s="59">
        <f t="shared" si="59"/>
        <v>293.33333333333672</v>
      </c>
      <c r="AN124" s="59">
        <f ca="1">AVERAGE(OFFSET($AM$3,0,0,'Données projet'!$E$10+1,1))-AVERAGE(OFFSET($H$3,0,0,'Données projet'!$E$10+1,1))</f>
        <v>168.72306536277267</v>
      </c>
      <c r="AO124" s="59">
        <f t="shared" si="90"/>
        <v>203.35476578922339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0.50175568381786106</v>
      </c>
      <c r="AV124" s="21">
        <f>EXP(-LN(2)/25)*AV123+(1-EXP(-LN(2)/25))/(LN(2)/25)*Calculateur!AQ124*Calculateur!AS124*VLOOKUP('Données projet'!$B$10,Paramètres!$A$1:$I$89,3,0)*0.475*44/12</f>
        <v>1.8437232442922322</v>
      </c>
      <c r="AW124" s="21">
        <f>EXP(-LN(2)/2)*AW123+(1-EXP(-LN(2)/2))/(LN(2)/2)*AQ124*AT124*VLOOKUP('Données projet'!$B$10,Paramètres!$A$1:$I$89,3,0)*0.475*44/12</f>
        <v>4.0242291936234164E-13</v>
      </c>
      <c r="AX124" s="21">
        <f t="shared" si="60"/>
        <v>2.3454789281104955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3.3992364478763198E-14</v>
      </c>
      <c r="BF124" s="13">
        <f t="shared" si="91"/>
        <v>5.790027782444094E-13</v>
      </c>
      <c r="BG124" s="20">
        <f t="shared" si="61"/>
        <v>1.0676332069095257E-12</v>
      </c>
      <c r="BH124" s="59">
        <f t="shared" si="62"/>
        <v>293.33333333333439</v>
      </c>
      <c r="BI124" s="59">
        <f ca="1">AVERAGE(OFFSET($BH$3,0,0,'Données projet'!$E$11+1,1))-AVERAGE(OFFSET($H$3,0,0,'Données projet'!$E$11+1,1))</f>
        <v>165.39579887388538</v>
      </c>
      <c r="BJ124" s="59">
        <f t="shared" si="92"/>
        <v>155.89639262545802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0.58470037570332434</v>
      </c>
      <c r="BR124" s="21">
        <f>EXP(-LN(2)/2)*BR123+(1-EXP(-LN(2)/2))/(LN(2)/2)*BL124*BO124*VLOOKUP('Données projet'!$B$11,Paramètres!$A$1:$I$89,3,0)*0.475*44/12</f>
        <v>2.7894962476002122E-13</v>
      </c>
      <c r="BS124" s="22">
        <f t="shared" si="63"/>
        <v>0.58470037570360334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2.8421709430404007E-14</v>
      </c>
      <c r="BZ124" s="13">
        <f>BY124*VLOOKUP('Données projet'!$B$12,Paramètres!$A$1:$I$89,3,0)*VLOOKUP('Données projet'!$B$12,Paramètres!$A$1:$I$89,5,0)</f>
        <v>2.7489477361086758E-14</v>
      </c>
      <c r="CA124" s="13">
        <f t="shared" si="93"/>
        <v>4.7995394886724981E-13</v>
      </c>
      <c r="CB124" s="20">
        <f t="shared" si="64"/>
        <v>8.8379730068101964E-13</v>
      </c>
      <c r="CC124" s="59">
        <f t="shared" si="65"/>
        <v>293.33333333333422</v>
      </c>
      <c r="CD124" s="59">
        <f ca="1">AVERAGE(OFFSET($CC$3,0,0,'Données projet'!$E$12+1,1))-AVERAGE(OFFSET($H$3,0,0,'Données projet'!$E$12+1,1))</f>
        <v>156.26368818265388</v>
      </c>
      <c r="CE124" s="59">
        <f t="shared" si="94"/>
        <v>56.347130462109817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2.8421709430404007E-14</v>
      </c>
      <c r="CU124" s="17">
        <f>CT124*VLOOKUP('Données projet'!$B$13,Paramètres!$A$1:$I$89,3,0)*VLOOKUP('Données projet'!$B$13,Paramètres!$A$1:$I$89,5,0)</f>
        <v>2.3055690689943732E-14</v>
      </c>
      <c r="CV124" s="13">
        <f t="shared" si="95"/>
        <v>4.10868481342271E-13</v>
      </c>
      <c r="CW124" s="20">
        <f t="shared" si="67"/>
        <v>7.5575126628944061E-13</v>
      </c>
      <c r="CX124" s="59">
        <f t="shared" si="68"/>
        <v>293.33333333333405</v>
      </c>
      <c r="CY124" s="59">
        <f ca="1">AVERAGE(OFFSET($CX$3,0,0,'Données projet'!$E$13+1,1))-AVERAGE(OFFSET($H$3,0,0,'Données projet'!$E$13+1,1))</f>
        <v>112.78807760743126</v>
      </c>
      <c r="CZ124" s="59">
        <f t="shared" si="96"/>
        <v>37.867745922003564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-8.5265128291212022E-14</v>
      </c>
      <c r="DP124" s="17">
        <f>DO124*VLOOKUP('Données projet'!$B$14,Paramètres!$A$1:$I$89,3,0)*VLOOKUP('Données projet'!$B$14,Paramètres!$A$1:$I$89,5,0)</f>
        <v>-5.7195848057745024E-14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107.15837202366862</v>
      </c>
      <c r="DU124" s="59">
        <f t="shared" si="98"/>
        <v>139.67031833740026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0.45465789878576734</v>
      </c>
      <c r="EC124" s="21">
        <f>EXP(-LN(2)/2)*EC123+(1-EXP(-LN(2)/2))/(LN(2)/2)*DW124*DZ124*VLOOKUP('Données projet'!$B$14,Paramètres!$A$1:$I$89,3,0)*0.475*44/12</f>
        <v>1.3564544857908143E-13</v>
      </c>
      <c r="ED124" s="22">
        <f t="shared" si="72"/>
        <v>0.45465789878590301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-1.1368683772161603E-13</v>
      </c>
      <c r="EK124" s="17">
        <f>EJ124*VLOOKUP('Données projet'!$B$15,Paramètres!$A$1:$I$89,3,0)*VLOOKUP('Données projet'!$B$15,Paramètres!$A$1:$I$89,5,0)</f>
        <v>-5.3205440053716299E-14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123.60520571614535</v>
      </c>
      <c r="EP124" s="59">
        <f t="shared" si="100"/>
        <v>119.00926870519527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0.14305156944766387</v>
      </c>
      <c r="EW124" s="21">
        <f>EXP(-LN(2)/25)*EW123+(1-EXP(-LN(2)/25))/(LN(2)/25)*Calculateur!ER124*Calculateur!ET124*VLOOKUP('Données projet'!$B$15,Paramètres!$A$1:$I$89,3,0)*0.475*44/12</f>
        <v>0.38316344902693888</v>
      </c>
      <c r="EX124" s="21">
        <f>EXP(-LN(2)/2)*EX123+(1-EXP(-LN(2)/2))/(LN(2)/2)*ER124*EU124*VLOOKUP('Données projet'!$B$15,Paramètres!$A$1:$I$89,3,0)*0.475*44/12</f>
        <v>1.2286836142879467E-13</v>
      </c>
      <c r="EY124" s="22">
        <f t="shared" si="75"/>
        <v>0.52621501847472563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-2.2737367544323206E-13</v>
      </c>
      <c r="FF124" s="17">
        <f>FE124*VLOOKUP('Données projet'!$B$16,Paramètres!$A$1:$I$89,3,0)*VLOOKUP('Données projet'!$B$16,Paramètres!$A$1:$I$89,5,0)</f>
        <v>-1.0936673788819462E-13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197.66963254934603</v>
      </c>
      <c r="FK124" s="59">
        <f t="shared" si="102"/>
        <v>158.08388141976138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0.43991799353327904</v>
      </c>
      <c r="FR124" s="21">
        <f>EXP(-LN(2)/25)*FR123+(1-EXP(-LN(2)/25))/(LN(2)/25)*Calculateur!FM124*Calculateur!FO124*VLOOKUP('Données projet'!$B$16,Paramètres!$A$1:$I$89,3,0)*0.475*44/12</f>
        <v>0.42620365314611197</v>
      </c>
      <c r="FS124" s="21">
        <f>EXP(-LN(2)/2)*FS123+(1-EXP(-LN(2)/2))/(LN(2)/2)*FM124*FP124*VLOOKUP('Données projet'!$B$16,Paramètres!$A$1:$I$89,3,0)*0.475*44/12</f>
        <v>1.6636401799049407E-13</v>
      </c>
      <c r="FT124" s="22">
        <f t="shared" si="78"/>
        <v>0.86612164667955738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5.6843418860808015E-14</v>
      </c>
      <c r="GA124" s="17">
        <f>FZ124*VLOOKUP('Données projet'!$B$17,Paramètres!$A$1:$I$89,3,0)*VLOOKUP('Données projet'!$B$17,Paramètres!$A$1:$I$89,5,0)</f>
        <v>3.3992364478763198E-14</v>
      </c>
      <c r="GB124" s="13">
        <f t="shared" si="103"/>
        <v>5.790027782444094E-13</v>
      </c>
      <c r="GC124" s="20">
        <f t="shared" si="79"/>
        <v>1.0676332069095257E-12</v>
      </c>
      <c r="GD124" s="59">
        <f t="shared" si="80"/>
        <v>293.33333333333439</v>
      </c>
      <c r="GE124" s="59">
        <f ca="1">AVERAGE(OFFSET($GD$3,0,0,'Données projet'!$E$17+1,1))-AVERAGE(OFFSET($H$3,0,0,'Données projet'!$E$17+1,1))</f>
        <v>165.39579887388538</v>
      </c>
      <c r="GF124" s="59">
        <f t="shared" si="104"/>
        <v>155.89639262545802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0.58470037570332434</v>
      </c>
      <c r="GN124" s="21">
        <f>EXP(-LN(2)/2)*GN123+(1-EXP(-LN(2)/2))/(LN(2)/2)*GH124*GK124*VLOOKUP('Données projet'!$B$17,Paramètres!$A$1:$I$89,3,0)*0.475*44/12</f>
        <v>2.7894962476002122E-13</v>
      </c>
      <c r="GO124" s="21">
        <f t="shared" si="81"/>
        <v>0.58470037570360334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2.8421709430404007E-14</v>
      </c>
      <c r="GV124" s="17">
        <f>GU124*VLOOKUP('Données projet'!$B$18,Paramètres!$A$1:$I$89,3,0)*VLOOKUP('Données projet'!$B$18,Paramètres!$A$1:$I$89,5,0)</f>
        <v>3.0593128030886874E-14</v>
      </c>
      <c r="GW124" s="13">
        <f t="shared" si="105"/>
        <v>5.2753263159251616E-13</v>
      </c>
      <c r="GX124" s="20">
        <f t="shared" si="82"/>
        <v>9.7206903134409357E-13</v>
      </c>
      <c r="GY124" s="59">
        <f t="shared" si="83"/>
        <v>293.33333333333428</v>
      </c>
      <c r="GZ124" s="59">
        <f ca="1">AVERAGE(OFFSET($GY$3,0,0,'Données projet'!$E$18+1,1))-AVERAGE(OFFSET($H$3,0,0,'Données projet'!$E$18+1,1))</f>
        <v>186.60545265015247</v>
      </c>
      <c r="HA124" s="59">
        <f t="shared" si="106"/>
        <v>69.239647548491234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0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0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1.9065282685915009E-13</v>
      </c>
      <c r="P125" s="13">
        <f t="shared" si="87"/>
        <v>2.6568987209435707E-12</v>
      </c>
      <c r="Q125" s="20">
        <f t="shared" si="107"/>
        <v>4.959485612423072E-12</v>
      </c>
      <c r="R125" s="59">
        <f t="shared" si="55"/>
        <v>293.33333333333826</v>
      </c>
      <c r="S125" s="59">
        <f ca="1">AVERAGE(OFFSET($R$3,0,0,'Données projet'!$E$9+1,1))-AVERAGE(OFFSET($H$3,0,0,'Données projet'!$E$9+1,1))</f>
        <v>235.10258076192054</v>
      </c>
      <c r="T125" s="59">
        <f t="shared" si="88"/>
        <v>233.47316052603765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0.55399174596475975</v>
      </c>
      <c r="AA125" s="21">
        <f>EXP(-LN(2)/25)*AA124+(1-EXP(-LN(2)/25))/(LN(2)/25)*Calculateur!V125*Calculateur!X125*VLOOKUP('Données projet'!$B$9,Paramètres!$A$1:$I$89,3,0)*0.475*44/12</f>
        <v>1.4383018545361084</v>
      </c>
      <c r="AB125" s="21">
        <f>EXP(-LN(2)/2)*AB124+(1-EXP(-LN(2)/2))/(LN(2)/2)*V125*Y125*VLOOKUP('Données projet'!$B$9,Paramètres!$A$1:$I$89,3,0)*0.475*44/12</f>
        <v>3.427953987890631E-13</v>
      </c>
      <c r="AC125" s="22">
        <f t="shared" si="57"/>
        <v>1.9922936005012111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2.2737367544323206E-13</v>
      </c>
      <c r="AJ125" s="13">
        <f>AI125*VLOOKUP('Données projet'!$B$10,Paramètres!$A$1:$I$89,3,0)*VLOOKUP('Données projet'!$B$10,Paramètres!$A$1:$I$89,5,0)</f>
        <v>1.2414602679200471E-13</v>
      </c>
      <c r="AK125" s="13">
        <f t="shared" si="89"/>
        <v>1.8186582995804361E-12</v>
      </c>
      <c r="AL125" s="20">
        <f t="shared" si="58"/>
        <v>3.3837175350986671E-12</v>
      </c>
      <c r="AM125" s="59">
        <f t="shared" si="59"/>
        <v>293.33333333333672</v>
      </c>
      <c r="AN125" s="59">
        <f ca="1">AVERAGE(OFFSET($AM$3,0,0,'Données projet'!$E$10+1,1))-AVERAGE(OFFSET($H$3,0,0,'Données projet'!$E$10+1,1))</f>
        <v>168.72306536277267</v>
      </c>
      <c r="AO125" s="59">
        <f t="shared" si="90"/>
        <v>203.35476578922339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0.49191656089894092</v>
      </c>
      <c r="AV125" s="21">
        <f>EXP(-LN(2)/25)*AV124+(1-EXP(-LN(2)/25))/(LN(2)/25)*Calculateur!AQ125*Calculateur!AS125*VLOOKUP('Données projet'!$B$10,Paramètres!$A$1:$I$89,3,0)*0.475*44/12</f>
        <v>1.7933065352198696</v>
      </c>
      <c r="AW125" s="21">
        <f>EXP(-LN(2)/2)*AW124+(1-EXP(-LN(2)/2))/(LN(2)/2)*AQ125*AT125*VLOOKUP('Données projet'!$B$10,Paramètres!$A$1:$I$89,3,0)*0.475*44/12</f>
        <v>2.8455597518599896E-13</v>
      </c>
      <c r="AX125" s="21">
        <f t="shared" si="60"/>
        <v>2.2852230961190951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3.3992364478763198E-14</v>
      </c>
      <c r="BF125" s="13">
        <f t="shared" si="91"/>
        <v>5.790027782444094E-13</v>
      </c>
      <c r="BG125" s="20">
        <f t="shared" si="61"/>
        <v>1.0676332069095257E-12</v>
      </c>
      <c r="BH125" s="59">
        <f t="shared" si="62"/>
        <v>293.33333333333439</v>
      </c>
      <c r="BI125" s="59">
        <f ca="1">AVERAGE(OFFSET($BH$3,0,0,'Données projet'!$E$11+1,1))-AVERAGE(OFFSET($H$3,0,0,'Données projet'!$E$11+1,1))</f>
        <v>165.39579887388538</v>
      </c>
      <c r="BJ125" s="59">
        <f t="shared" si="92"/>
        <v>155.89639262545802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0.56871171318166047</v>
      </c>
      <c r="BR125" s="21">
        <f>EXP(-LN(2)/2)*BR124+(1-EXP(-LN(2)/2))/(LN(2)/2)*BL125*BO125*VLOOKUP('Données projet'!$B$11,Paramètres!$A$1:$I$89,3,0)*0.475*44/12</f>
        <v>1.9724717127725386E-13</v>
      </c>
      <c r="BS125" s="22">
        <f t="shared" si="63"/>
        <v>0.56871171318185776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2.8421709430404007E-14</v>
      </c>
      <c r="BZ125" s="13">
        <f>BY125*VLOOKUP('Données projet'!$B$12,Paramètres!$A$1:$I$89,3,0)*VLOOKUP('Données projet'!$B$12,Paramètres!$A$1:$I$89,5,0)</f>
        <v>2.7489477361086758E-14</v>
      </c>
      <c r="CA125" s="13">
        <f t="shared" si="93"/>
        <v>4.7995394886724981E-13</v>
      </c>
      <c r="CB125" s="20">
        <f t="shared" si="64"/>
        <v>8.8379730068101964E-13</v>
      </c>
      <c r="CC125" s="59">
        <f t="shared" si="65"/>
        <v>293.33333333333422</v>
      </c>
      <c r="CD125" s="59">
        <f ca="1">AVERAGE(OFFSET($CC$3,0,0,'Données projet'!$E$12+1,1))-AVERAGE(OFFSET($H$3,0,0,'Données projet'!$E$12+1,1))</f>
        <v>156.26368818265388</v>
      </c>
      <c r="CE125" s="59">
        <f t="shared" si="94"/>
        <v>56.347130462109817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2.8421709430404007E-14</v>
      </c>
      <c r="CU125" s="17">
        <f>CT125*VLOOKUP('Données projet'!$B$13,Paramètres!$A$1:$I$89,3,0)*VLOOKUP('Données projet'!$B$13,Paramètres!$A$1:$I$89,5,0)</f>
        <v>2.3055690689943732E-14</v>
      </c>
      <c r="CV125" s="13">
        <f t="shared" si="95"/>
        <v>4.10868481342271E-13</v>
      </c>
      <c r="CW125" s="20">
        <f t="shared" si="67"/>
        <v>7.5575126628944061E-13</v>
      </c>
      <c r="CX125" s="59">
        <f t="shared" si="68"/>
        <v>293.33333333333405</v>
      </c>
      <c r="CY125" s="59">
        <f ca="1">AVERAGE(OFFSET($CX$3,0,0,'Données projet'!$E$13+1,1))-AVERAGE(OFFSET($H$3,0,0,'Données projet'!$E$13+1,1))</f>
        <v>112.78807760743126</v>
      </c>
      <c r="CZ125" s="59">
        <f t="shared" si="96"/>
        <v>37.867745922003564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-8.5265128291212022E-14</v>
      </c>
      <c r="DP125" s="17">
        <f>DO125*VLOOKUP('Données projet'!$B$14,Paramètres!$A$1:$I$89,3,0)*VLOOKUP('Données projet'!$B$14,Paramètres!$A$1:$I$89,5,0)</f>
        <v>-5.7195848057745024E-14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107.15837202366862</v>
      </c>
      <c r="DU125" s="59">
        <f t="shared" si="98"/>
        <v>139.67031833740026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0.44222525463405077</v>
      </c>
      <c r="EC125" s="21">
        <f>EXP(-LN(2)/2)*EC124+(1-EXP(-LN(2)/2))/(LN(2)/2)*DW125*DZ125*VLOOKUP('Données projet'!$B$14,Paramètres!$A$1:$I$89,3,0)*0.475*44/12</f>
        <v>9.5915816527359617E-14</v>
      </c>
      <c r="ED125" s="22">
        <f t="shared" si="72"/>
        <v>0.44222525463414669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-1.1368683772161603E-13</v>
      </c>
      <c r="EK125" s="17">
        <f>EJ125*VLOOKUP('Données projet'!$B$15,Paramètres!$A$1:$I$89,3,0)*VLOOKUP('Données projet'!$B$15,Paramètres!$A$1:$I$89,5,0)</f>
        <v>-5.3205440053716299E-14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123.60520571614535</v>
      </c>
      <c r="EP125" s="59">
        <f t="shared" si="100"/>
        <v>119.00926870519527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0.14024641542363703</v>
      </c>
      <c r="EW125" s="21">
        <f>EXP(-LN(2)/25)*EW124+(1-EXP(-LN(2)/25))/(LN(2)/25)*Calculateur!ER125*Calculateur!ET125*VLOOKUP('Données projet'!$B$15,Paramètres!$A$1:$I$89,3,0)*0.475*44/12</f>
        <v>0.3726858243636072</v>
      </c>
      <c r="EX125" s="21">
        <f>EXP(-LN(2)/2)*EX124+(1-EXP(-LN(2)/2))/(LN(2)/2)*ER125*EU125*VLOOKUP('Données projet'!$B$15,Paramètres!$A$1:$I$89,3,0)*0.475*44/12</f>
        <v>8.6881051559580349E-14</v>
      </c>
      <c r="EY125" s="22">
        <f t="shared" si="75"/>
        <v>0.51293223978733116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-2.2737367544323206E-13</v>
      </c>
      <c r="FF125" s="17">
        <f>FE125*VLOOKUP('Données projet'!$B$16,Paramètres!$A$1:$I$89,3,0)*VLOOKUP('Données projet'!$B$16,Paramètres!$A$1:$I$89,5,0)</f>
        <v>-1.0936673788819462E-13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197.66963254934603</v>
      </c>
      <c r="FK125" s="59">
        <f t="shared" si="102"/>
        <v>158.08388141976138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0.43129147000357276</v>
      </c>
      <c r="FR125" s="21">
        <f>EXP(-LN(2)/25)*FR124+(1-EXP(-LN(2)/25))/(LN(2)/25)*Calculateur!FM125*Calculateur!FO125*VLOOKUP('Données projet'!$B$16,Paramètres!$A$1:$I$89,3,0)*0.475*44/12</f>
        <v>0.41454909183775551</v>
      </c>
      <c r="FS125" s="21">
        <f>EXP(-LN(2)/2)*FS124+(1-EXP(-LN(2)/2))/(LN(2)/2)*FM125*FP125*VLOOKUP('Données projet'!$B$16,Paramètres!$A$1:$I$89,3,0)*0.475*44/12</f>
        <v>1.1763712526651914E-13</v>
      </c>
      <c r="FT125" s="22">
        <f t="shared" si="78"/>
        <v>0.84584056184144596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5.6843418860808015E-14</v>
      </c>
      <c r="GA125" s="17">
        <f>FZ125*VLOOKUP('Données projet'!$B$17,Paramètres!$A$1:$I$89,3,0)*VLOOKUP('Données projet'!$B$17,Paramètres!$A$1:$I$89,5,0)</f>
        <v>3.3992364478763198E-14</v>
      </c>
      <c r="GB125" s="13">
        <f t="shared" si="103"/>
        <v>5.790027782444094E-13</v>
      </c>
      <c r="GC125" s="20">
        <f t="shared" si="79"/>
        <v>1.0676332069095257E-12</v>
      </c>
      <c r="GD125" s="59">
        <f t="shared" si="80"/>
        <v>293.33333333333439</v>
      </c>
      <c r="GE125" s="59">
        <f ca="1">AVERAGE(OFFSET($GD$3,0,0,'Données projet'!$E$17+1,1))-AVERAGE(OFFSET($H$3,0,0,'Données projet'!$E$17+1,1))</f>
        <v>165.39579887388538</v>
      </c>
      <c r="GF125" s="59">
        <f t="shared" si="104"/>
        <v>155.89639262545802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0.56871171318166047</v>
      </c>
      <c r="GN125" s="21">
        <f>EXP(-LN(2)/2)*GN124+(1-EXP(-LN(2)/2))/(LN(2)/2)*GH125*GK125*VLOOKUP('Données projet'!$B$17,Paramètres!$A$1:$I$89,3,0)*0.475*44/12</f>
        <v>1.9724717127725386E-13</v>
      </c>
      <c r="GO125" s="21">
        <f t="shared" si="81"/>
        <v>0.56871171318185776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2.8421709430404007E-14</v>
      </c>
      <c r="GV125" s="17">
        <f>GU125*VLOOKUP('Données projet'!$B$18,Paramètres!$A$1:$I$89,3,0)*VLOOKUP('Données projet'!$B$18,Paramètres!$A$1:$I$89,5,0)</f>
        <v>3.0593128030886874E-14</v>
      </c>
      <c r="GW125" s="13">
        <f t="shared" si="105"/>
        <v>5.2753263159251616E-13</v>
      </c>
      <c r="GX125" s="20">
        <f t="shared" si="82"/>
        <v>9.7206903134409357E-13</v>
      </c>
      <c r="GY125" s="59">
        <f t="shared" si="83"/>
        <v>293.33333333333428</v>
      </c>
      <c r="GZ125" s="59">
        <f ca="1">AVERAGE(OFFSET($GY$3,0,0,'Données projet'!$E$18+1,1))-AVERAGE(OFFSET($H$3,0,0,'Données projet'!$E$18+1,1))</f>
        <v>186.60545265015247</v>
      </c>
      <c r="HA125" s="59">
        <f t="shared" si="106"/>
        <v>69.239647548491234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0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0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1.9065282685915009E-13</v>
      </c>
      <c r="P126" s="13">
        <f t="shared" si="87"/>
        <v>2.6568987209435707E-12</v>
      </c>
      <c r="Q126" s="20">
        <f t="shared" si="107"/>
        <v>4.959485612423072E-12</v>
      </c>
      <c r="R126" s="59">
        <f t="shared" si="55"/>
        <v>293.33333333333826</v>
      </c>
      <c r="S126" s="59">
        <f ca="1">AVERAGE(OFFSET($R$3,0,0,'Données projet'!$E$9+1,1))-AVERAGE(OFFSET($H$3,0,0,'Données projet'!$E$9+1,1))</f>
        <v>235.10258076192054</v>
      </c>
      <c r="T126" s="59">
        <f t="shared" si="88"/>
        <v>233.47316052603765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0.54312830572799087</v>
      </c>
      <c r="AA126" s="21">
        <f>EXP(-LN(2)/25)*AA125+(1-EXP(-LN(2)/25))/(LN(2)/25)*Calculateur!V126*Calculateur!X126*VLOOKUP('Données projet'!$B$9,Paramètres!$A$1:$I$89,3,0)*0.475*44/12</f>
        <v>1.3989714146868113</v>
      </c>
      <c r="AB126" s="21">
        <f>EXP(-LN(2)/2)*AB125+(1-EXP(-LN(2)/2))/(LN(2)/2)*V126*Y126*VLOOKUP('Données projet'!$B$9,Paramètres!$A$1:$I$89,3,0)*0.475*44/12</f>
        <v>2.4239295104329334E-13</v>
      </c>
      <c r="AC126" s="22">
        <f t="shared" si="57"/>
        <v>1.9420997204150448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2.2737367544323206E-13</v>
      </c>
      <c r="AJ126" s="13">
        <f>AI126*VLOOKUP('Données projet'!$B$10,Paramètres!$A$1:$I$89,3,0)*VLOOKUP('Données projet'!$B$10,Paramètres!$A$1:$I$89,5,0)</f>
        <v>1.2414602679200471E-13</v>
      </c>
      <c r="AK126" s="13">
        <f t="shared" si="89"/>
        <v>1.8186582995804361E-12</v>
      </c>
      <c r="AL126" s="20">
        <f t="shared" si="58"/>
        <v>3.3837175350986671E-12</v>
      </c>
      <c r="AM126" s="59">
        <f t="shared" si="59"/>
        <v>293.33333333333672</v>
      </c>
      <c r="AN126" s="59">
        <f ca="1">AVERAGE(OFFSET($AM$3,0,0,'Données projet'!$E$10+1,1))-AVERAGE(OFFSET($H$3,0,0,'Données projet'!$E$10+1,1))</f>
        <v>168.72306536277267</v>
      </c>
      <c r="AO126" s="59">
        <f t="shared" si="90"/>
        <v>203.35476578922339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0.48227037717918841</v>
      </c>
      <c r="AV126" s="21">
        <f>EXP(-LN(2)/25)*AV125+(1-EXP(-LN(2)/25))/(LN(2)/25)*Calculateur!AQ126*Calculateur!AS126*VLOOKUP('Données projet'!$B$10,Paramètres!$A$1:$I$89,3,0)*0.475*44/12</f>
        <v>1.7442684737083902</v>
      </c>
      <c r="AW126" s="21">
        <f>EXP(-LN(2)/2)*AW125+(1-EXP(-LN(2)/2))/(LN(2)/2)*AQ126*AT126*VLOOKUP('Données projet'!$B$10,Paramètres!$A$1:$I$89,3,0)*0.475*44/12</f>
        <v>2.0121145968117082E-13</v>
      </c>
      <c r="AX126" s="21">
        <f t="shared" si="60"/>
        <v>2.2265388508877799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3.3992364478763198E-14</v>
      </c>
      <c r="BF126" s="13">
        <f t="shared" si="91"/>
        <v>5.790027782444094E-13</v>
      </c>
      <c r="BG126" s="20">
        <f t="shared" si="61"/>
        <v>1.0676332069095257E-12</v>
      </c>
      <c r="BH126" s="59">
        <f t="shared" si="62"/>
        <v>293.33333333333439</v>
      </c>
      <c r="BI126" s="59">
        <f ca="1">AVERAGE(OFFSET($BH$3,0,0,'Données projet'!$E$11+1,1))-AVERAGE(OFFSET($H$3,0,0,'Données projet'!$E$11+1,1))</f>
        <v>165.39579887388538</v>
      </c>
      <c r="BJ126" s="59">
        <f t="shared" si="92"/>
        <v>155.89639262545802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0.55316026147745878</v>
      </c>
      <c r="BR126" s="21">
        <f>EXP(-LN(2)/2)*BR125+(1-EXP(-LN(2)/2))/(LN(2)/2)*BL126*BO126*VLOOKUP('Données projet'!$B$11,Paramètres!$A$1:$I$89,3,0)*0.475*44/12</f>
        <v>1.3947481238001061E-13</v>
      </c>
      <c r="BS126" s="22">
        <f t="shared" si="63"/>
        <v>0.55316026147759823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2.8421709430404007E-14</v>
      </c>
      <c r="BZ126" s="13">
        <f>BY126*VLOOKUP('Données projet'!$B$12,Paramètres!$A$1:$I$89,3,0)*VLOOKUP('Données projet'!$B$12,Paramètres!$A$1:$I$89,5,0)</f>
        <v>2.7489477361086758E-14</v>
      </c>
      <c r="CA126" s="13">
        <f t="shared" si="93"/>
        <v>4.7995394886724981E-13</v>
      </c>
      <c r="CB126" s="20">
        <f t="shared" si="64"/>
        <v>8.8379730068101964E-13</v>
      </c>
      <c r="CC126" s="59">
        <f t="shared" si="65"/>
        <v>293.33333333333422</v>
      </c>
      <c r="CD126" s="59">
        <f ca="1">AVERAGE(OFFSET($CC$3,0,0,'Données projet'!$E$12+1,1))-AVERAGE(OFFSET($H$3,0,0,'Données projet'!$E$12+1,1))</f>
        <v>156.26368818265388</v>
      </c>
      <c r="CE126" s="59">
        <f t="shared" si="94"/>
        <v>56.347130462109817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2.8421709430404007E-14</v>
      </c>
      <c r="CU126" s="17">
        <f>CT126*VLOOKUP('Données projet'!$B$13,Paramètres!$A$1:$I$89,3,0)*VLOOKUP('Données projet'!$B$13,Paramètres!$A$1:$I$89,5,0)</f>
        <v>2.3055690689943732E-14</v>
      </c>
      <c r="CV126" s="13">
        <f t="shared" si="95"/>
        <v>4.10868481342271E-13</v>
      </c>
      <c r="CW126" s="20">
        <f t="shared" si="67"/>
        <v>7.5575126628944061E-13</v>
      </c>
      <c r="CX126" s="59">
        <f t="shared" si="68"/>
        <v>293.33333333333405</v>
      </c>
      <c r="CY126" s="59">
        <f ca="1">AVERAGE(OFFSET($CX$3,0,0,'Données projet'!$E$13+1,1))-AVERAGE(OFFSET($H$3,0,0,'Données projet'!$E$13+1,1))</f>
        <v>112.78807760743126</v>
      </c>
      <c r="CZ126" s="59">
        <f t="shared" si="96"/>
        <v>37.867745922003564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-8.5265128291212022E-14</v>
      </c>
      <c r="DP126" s="17">
        <f>DO126*VLOOKUP('Données projet'!$B$14,Paramètres!$A$1:$I$89,3,0)*VLOOKUP('Données projet'!$B$14,Paramètres!$A$1:$I$89,5,0)</f>
        <v>-5.7195848057745024E-14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107.15837202366862</v>
      </c>
      <c r="DU126" s="59">
        <f t="shared" si="98"/>
        <v>139.67031833740026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0.43013258179046721</v>
      </c>
      <c r="EC126" s="21">
        <f>EXP(-LN(2)/2)*EC125+(1-EXP(-LN(2)/2))/(LN(2)/2)*DW126*DZ126*VLOOKUP('Données projet'!$B$14,Paramètres!$A$1:$I$89,3,0)*0.475*44/12</f>
        <v>6.7822724289540714E-14</v>
      </c>
      <c r="ED126" s="22">
        <f t="shared" si="72"/>
        <v>0.43013258179053504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-1.1368683772161603E-13</v>
      </c>
      <c r="EK126" s="17">
        <f>EJ126*VLOOKUP('Données projet'!$B$15,Paramètres!$A$1:$I$89,3,0)*VLOOKUP('Données projet'!$B$15,Paramètres!$A$1:$I$89,5,0)</f>
        <v>-5.3205440053716299E-14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123.60520571614535</v>
      </c>
      <c r="EP126" s="59">
        <f t="shared" si="100"/>
        <v>119.00926870519527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0.13749626875904636</v>
      </c>
      <c r="EW126" s="21">
        <f>EXP(-LN(2)/25)*EW125+(1-EXP(-LN(2)/25))/(LN(2)/25)*Calculateur!ER126*Calculateur!ET126*VLOOKUP('Données projet'!$B$15,Paramètres!$A$1:$I$89,3,0)*0.475*44/12</f>
        <v>0.36249471089768864</v>
      </c>
      <c r="EX126" s="21">
        <f>EXP(-LN(2)/2)*EX125+(1-EXP(-LN(2)/2))/(LN(2)/2)*ER126*EU126*VLOOKUP('Données projet'!$B$15,Paramètres!$A$1:$I$89,3,0)*0.475*44/12</f>
        <v>6.1434180714397334E-14</v>
      </c>
      <c r="EY126" s="22">
        <f t="shared" si="75"/>
        <v>0.49999097965679645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-2.2737367544323206E-13</v>
      </c>
      <c r="FF126" s="17">
        <f>FE126*VLOOKUP('Données projet'!$B$16,Paramètres!$A$1:$I$89,3,0)*VLOOKUP('Données projet'!$B$16,Paramètres!$A$1:$I$89,5,0)</f>
        <v>-1.0936673788819462E-13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197.66963254934603</v>
      </c>
      <c r="FK126" s="59">
        <f t="shared" si="102"/>
        <v>158.08388141976138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0.4228341073386242</v>
      </c>
      <c r="FR126" s="21">
        <f>EXP(-LN(2)/25)*FR125+(1-EXP(-LN(2)/25))/(LN(2)/25)*Calculateur!FM126*Calculateur!FO126*VLOOKUP('Données projet'!$B$16,Paramètres!$A$1:$I$89,3,0)*0.475*44/12</f>
        <v>0.40321322512126279</v>
      </c>
      <c r="FS126" s="21">
        <f>EXP(-LN(2)/2)*FS125+(1-EXP(-LN(2)/2))/(LN(2)/2)*FM126*FP126*VLOOKUP('Données projet'!$B$16,Paramètres!$A$1:$I$89,3,0)*0.475*44/12</f>
        <v>8.3182008995247034E-14</v>
      </c>
      <c r="FT126" s="22">
        <f t="shared" si="78"/>
        <v>0.82604733245997009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5.6843418860808015E-14</v>
      </c>
      <c r="GA126" s="17">
        <f>FZ126*VLOOKUP('Données projet'!$B$17,Paramètres!$A$1:$I$89,3,0)*VLOOKUP('Données projet'!$B$17,Paramètres!$A$1:$I$89,5,0)</f>
        <v>3.3992364478763198E-14</v>
      </c>
      <c r="GB126" s="13">
        <f t="shared" si="103"/>
        <v>5.790027782444094E-13</v>
      </c>
      <c r="GC126" s="20">
        <f t="shared" si="79"/>
        <v>1.0676332069095257E-12</v>
      </c>
      <c r="GD126" s="59">
        <f t="shared" si="80"/>
        <v>293.33333333333439</v>
      </c>
      <c r="GE126" s="59">
        <f ca="1">AVERAGE(OFFSET($GD$3,0,0,'Données projet'!$E$17+1,1))-AVERAGE(OFFSET($H$3,0,0,'Données projet'!$E$17+1,1))</f>
        <v>165.39579887388538</v>
      </c>
      <c r="GF126" s="59">
        <f t="shared" si="104"/>
        <v>155.89639262545802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0.55316026147745878</v>
      </c>
      <c r="GN126" s="21">
        <f>EXP(-LN(2)/2)*GN125+(1-EXP(-LN(2)/2))/(LN(2)/2)*GH126*GK126*VLOOKUP('Données projet'!$B$17,Paramètres!$A$1:$I$89,3,0)*0.475*44/12</f>
        <v>1.3947481238001061E-13</v>
      </c>
      <c r="GO126" s="21">
        <f t="shared" si="81"/>
        <v>0.55316026147759823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2.8421709430404007E-14</v>
      </c>
      <c r="GV126" s="17">
        <f>GU126*VLOOKUP('Données projet'!$B$18,Paramètres!$A$1:$I$89,3,0)*VLOOKUP('Données projet'!$B$18,Paramètres!$A$1:$I$89,5,0)</f>
        <v>3.0593128030886874E-14</v>
      </c>
      <c r="GW126" s="13">
        <f t="shared" si="105"/>
        <v>5.2753263159251616E-13</v>
      </c>
      <c r="GX126" s="20">
        <f t="shared" si="82"/>
        <v>9.7206903134409357E-13</v>
      </c>
      <c r="GY126" s="59">
        <f t="shared" si="83"/>
        <v>293.33333333333428</v>
      </c>
      <c r="GZ126" s="59">
        <f ca="1">AVERAGE(OFFSET($GY$3,0,0,'Données projet'!$E$18+1,1))-AVERAGE(OFFSET($H$3,0,0,'Données projet'!$E$18+1,1))</f>
        <v>186.60545265015247</v>
      </c>
      <c r="HA126" s="59">
        <f t="shared" si="106"/>
        <v>69.239647548491234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0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0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1.9065282685915009E-13</v>
      </c>
      <c r="P127" s="13">
        <f t="shared" si="87"/>
        <v>2.6568987209435707E-12</v>
      </c>
      <c r="Q127" s="20">
        <f t="shared" si="107"/>
        <v>4.959485612423072E-12</v>
      </c>
      <c r="R127" s="59">
        <f t="shared" si="55"/>
        <v>293.33333333333826</v>
      </c>
      <c r="S127" s="59">
        <f ca="1">AVERAGE(OFFSET($R$3,0,0,'Données projet'!$E$9+1,1))-AVERAGE(OFFSET($H$3,0,0,'Données projet'!$E$9+1,1))</f>
        <v>235.10258076192054</v>
      </c>
      <c r="T127" s="59">
        <f t="shared" si="88"/>
        <v>233.47316052603765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0.53247789092822073</v>
      </c>
      <c r="AA127" s="21">
        <f>EXP(-LN(2)/25)*AA126+(1-EXP(-LN(2)/25))/(LN(2)/25)*Calculateur!V127*Calculateur!X127*VLOOKUP('Données projet'!$B$9,Paramètres!$A$1:$I$89,3,0)*0.475*44/12</f>
        <v>1.3607164677834911</v>
      </c>
      <c r="AB127" s="21">
        <f>EXP(-LN(2)/2)*AB126+(1-EXP(-LN(2)/2))/(LN(2)/2)*V127*Y127*VLOOKUP('Données projet'!$B$9,Paramètres!$A$1:$I$89,3,0)*0.475*44/12</f>
        <v>1.7139769939453155E-13</v>
      </c>
      <c r="AC127" s="22">
        <f t="shared" si="57"/>
        <v>1.8931943587118831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2.2737367544323206E-13</v>
      </c>
      <c r="AJ127" s="13">
        <f>AI127*VLOOKUP('Données projet'!$B$10,Paramètres!$A$1:$I$89,3,0)*VLOOKUP('Données projet'!$B$10,Paramètres!$A$1:$I$89,5,0)</f>
        <v>1.2414602679200471E-13</v>
      </c>
      <c r="AK127" s="13">
        <f t="shared" si="89"/>
        <v>1.8186582995804361E-12</v>
      </c>
      <c r="AL127" s="20">
        <f t="shared" si="58"/>
        <v>3.3837175350986671E-12</v>
      </c>
      <c r="AM127" s="59">
        <f t="shared" si="59"/>
        <v>293.33333333333672</v>
      </c>
      <c r="AN127" s="59">
        <f ca="1">AVERAGE(OFFSET($AM$3,0,0,'Données projet'!$E$10+1,1))-AVERAGE(OFFSET($H$3,0,0,'Données projet'!$E$10+1,1))</f>
        <v>168.72306536277267</v>
      </c>
      <c r="AO127" s="59">
        <f t="shared" si="90"/>
        <v>203.35476578922339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0.47281334923858914</v>
      </c>
      <c r="AV127" s="21">
        <f>EXP(-LN(2)/25)*AV126+(1-EXP(-LN(2)/25))/(LN(2)/25)*Calculateur!AQ127*Calculateur!AS127*VLOOKUP('Données projet'!$B$10,Paramètres!$A$1:$I$89,3,0)*0.475*44/12</f>
        <v>1.6965713605677419</v>
      </c>
      <c r="AW127" s="21">
        <f>EXP(-LN(2)/2)*AW126+(1-EXP(-LN(2)/2))/(LN(2)/2)*AQ127*AT127*VLOOKUP('Données projet'!$B$10,Paramètres!$A$1:$I$89,3,0)*0.475*44/12</f>
        <v>1.4227798759299948E-13</v>
      </c>
      <c r="AX127" s="21">
        <f t="shared" si="60"/>
        <v>2.1693847098064731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3.3992364478763198E-14</v>
      </c>
      <c r="BF127" s="13">
        <f t="shared" si="91"/>
        <v>5.790027782444094E-13</v>
      </c>
      <c r="BG127" s="20">
        <f t="shared" si="61"/>
        <v>1.0676332069095257E-12</v>
      </c>
      <c r="BH127" s="59">
        <f t="shared" si="62"/>
        <v>293.33333333333439</v>
      </c>
      <c r="BI127" s="59">
        <f ca="1">AVERAGE(OFFSET($BH$3,0,0,'Données projet'!$E$11+1,1))-AVERAGE(OFFSET($H$3,0,0,'Données projet'!$E$11+1,1))</f>
        <v>165.39579887388538</v>
      </c>
      <c r="BJ127" s="59">
        <f t="shared" si="92"/>
        <v>155.89639262545802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0.53803406503792384</v>
      </c>
      <c r="BR127" s="21">
        <f>EXP(-LN(2)/2)*BR126+(1-EXP(-LN(2)/2))/(LN(2)/2)*BL127*BO127*VLOOKUP('Données projet'!$B$11,Paramètres!$A$1:$I$89,3,0)*0.475*44/12</f>
        <v>9.8623585638626932E-14</v>
      </c>
      <c r="BS127" s="22">
        <f t="shared" si="63"/>
        <v>0.53803406503802242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2.8421709430404007E-14</v>
      </c>
      <c r="BZ127" s="13">
        <f>BY127*VLOOKUP('Données projet'!$B$12,Paramètres!$A$1:$I$89,3,0)*VLOOKUP('Données projet'!$B$12,Paramètres!$A$1:$I$89,5,0)</f>
        <v>2.7489477361086758E-14</v>
      </c>
      <c r="CA127" s="13">
        <f t="shared" si="93"/>
        <v>4.7995394886724981E-13</v>
      </c>
      <c r="CB127" s="20">
        <f t="shared" si="64"/>
        <v>8.8379730068101964E-13</v>
      </c>
      <c r="CC127" s="59">
        <f t="shared" si="65"/>
        <v>293.33333333333422</v>
      </c>
      <c r="CD127" s="59">
        <f ca="1">AVERAGE(OFFSET($CC$3,0,0,'Données projet'!$E$12+1,1))-AVERAGE(OFFSET($H$3,0,0,'Données projet'!$E$12+1,1))</f>
        <v>156.26368818265388</v>
      </c>
      <c r="CE127" s="59">
        <f t="shared" si="94"/>
        <v>56.347130462109817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2.8421709430404007E-14</v>
      </c>
      <c r="CU127" s="17">
        <f>CT127*VLOOKUP('Données projet'!$B$13,Paramètres!$A$1:$I$89,3,0)*VLOOKUP('Données projet'!$B$13,Paramètres!$A$1:$I$89,5,0)</f>
        <v>2.3055690689943732E-14</v>
      </c>
      <c r="CV127" s="13">
        <f t="shared" si="95"/>
        <v>4.10868481342271E-13</v>
      </c>
      <c r="CW127" s="20">
        <f t="shared" si="67"/>
        <v>7.5575126628944061E-13</v>
      </c>
      <c r="CX127" s="59">
        <f t="shared" si="68"/>
        <v>293.33333333333405</v>
      </c>
      <c r="CY127" s="59">
        <f ca="1">AVERAGE(OFFSET($CX$3,0,0,'Données projet'!$E$13+1,1))-AVERAGE(OFFSET($H$3,0,0,'Données projet'!$E$13+1,1))</f>
        <v>112.78807760743126</v>
      </c>
      <c r="CZ127" s="59">
        <f t="shared" si="96"/>
        <v>37.867745922003564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-8.5265128291212022E-14</v>
      </c>
      <c r="DP127" s="17">
        <f>DO127*VLOOKUP('Données projet'!$B$14,Paramètres!$A$1:$I$89,3,0)*VLOOKUP('Données projet'!$B$14,Paramètres!$A$1:$I$89,5,0)</f>
        <v>-5.7195848057745024E-14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107.15837202366862</v>
      </c>
      <c r="DU127" s="59">
        <f t="shared" si="98"/>
        <v>139.67031833740026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0.41837058372171748</v>
      </c>
      <c r="EC127" s="21">
        <f>EXP(-LN(2)/2)*EC126+(1-EXP(-LN(2)/2))/(LN(2)/2)*DW127*DZ127*VLOOKUP('Données projet'!$B$14,Paramètres!$A$1:$I$89,3,0)*0.475*44/12</f>
        <v>4.7957908263679808E-14</v>
      </c>
      <c r="ED127" s="22">
        <f t="shared" si="72"/>
        <v>0.41837058372176544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-1.1368683772161603E-13</v>
      </c>
      <c r="EK127" s="17">
        <f>EJ127*VLOOKUP('Données projet'!$B$15,Paramètres!$A$1:$I$89,3,0)*VLOOKUP('Données projet'!$B$15,Paramètres!$A$1:$I$89,5,0)</f>
        <v>-5.3205440053716299E-14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123.60520571614535</v>
      </c>
      <c r="EP127" s="59">
        <f t="shared" si="100"/>
        <v>119.00926870519527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0.13480005079312449</v>
      </c>
      <c r="EW127" s="21">
        <f>EXP(-LN(2)/25)*EW126+(1-EXP(-LN(2)/25))/(LN(2)/25)*Calculateur!ER127*Calculateur!ET127*VLOOKUP('Données projet'!$B$15,Paramètres!$A$1:$I$89,3,0)*0.475*44/12</f>
        <v>0.35258227396542302</v>
      </c>
      <c r="EX127" s="21">
        <f>EXP(-LN(2)/2)*EX126+(1-EXP(-LN(2)/2))/(LN(2)/2)*ER127*EU127*VLOOKUP('Données projet'!$B$15,Paramètres!$A$1:$I$89,3,0)*0.475*44/12</f>
        <v>4.3440525779790175E-14</v>
      </c>
      <c r="EY127" s="22">
        <f t="shared" si="75"/>
        <v>0.48738232475859095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-2.2737367544323206E-13</v>
      </c>
      <c r="FF127" s="17">
        <f>FE127*VLOOKUP('Données projet'!$B$16,Paramètres!$A$1:$I$89,3,0)*VLOOKUP('Données projet'!$B$16,Paramètres!$A$1:$I$89,5,0)</f>
        <v>-1.0936673788819462E-13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197.66963254934603</v>
      </c>
      <c r="FK127" s="59">
        <f t="shared" si="102"/>
        <v>158.08388141976138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0.41454258839705344</v>
      </c>
      <c r="FR127" s="21">
        <f>EXP(-LN(2)/25)*FR126+(1-EXP(-LN(2)/25))/(LN(2)/25)*Calculateur!FM127*Calculateur!FO127*VLOOKUP('Données projet'!$B$16,Paramètres!$A$1:$I$89,3,0)*0.475*44/12</f>
        <v>0.3921873382762599</v>
      </c>
      <c r="FS127" s="21">
        <f>EXP(-LN(2)/2)*FS126+(1-EXP(-LN(2)/2))/(LN(2)/2)*FM127*FP127*VLOOKUP('Données projet'!$B$16,Paramètres!$A$1:$I$89,3,0)*0.475*44/12</f>
        <v>5.8818562633259571E-14</v>
      </c>
      <c r="FT127" s="22">
        <f t="shared" si="78"/>
        <v>0.80672992667337218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5.6843418860808015E-14</v>
      </c>
      <c r="GA127" s="17">
        <f>FZ127*VLOOKUP('Données projet'!$B$17,Paramètres!$A$1:$I$89,3,0)*VLOOKUP('Données projet'!$B$17,Paramètres!$A$1:$I$89,5,0)</f>
        <v>3.3992364478763198E-14</v>
      </c>
      <c r="GB127" s="13">
        <f t="shared" si="103"/>
        <v>5.790027782444094E-13</v>
      </c>
      <c r="GC127" s="20">
        <f t="shared" si="79"/>
        <v>1.0676332069095257E-12</v>
      </c>
      <c r="GD127" s="59">
        <f t="shared" si="80"/>
        <v>293.33333333333439</v>
      </c>
      <c r="GE127" s="59">
        <f ca="1">AVERAGE(OFFSET($GD$3,0,0,'Données projet'!$E$17+1,1))-AVERAGE(OFFSET($H$3,0,0,'Données projet'!$E$17+1,1))</f>
        <v>165.39579887388538</v>
      </c>
      <c r="GF127" s="59">
        <f t="shared" si="104"/>
        <v>155.89639262545802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0.53803406503792384</v>
      </c>
      <c r="GN127" s="21">
        <f>EXP(-LN(2)/2)*GN126+(1-EXP(-LN(2)/2))/(LN(2)/2)*GH127*GK127*VLOOKUP('Données projet'!$B$17,Paramètres!$A$1:$I$89,3,0)*0.475*44/12</f>
        <v>9.8623585638626932E-14</v>
      </c>
      <c r="GO127" s="21">
        <f t="shared" si="81"/>
        <v>0.53803406503802242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2.8421709430404007E-14</v>
      </c>
      <c r="GV127" s="17">
        <f>GU127*VLOOKUP('Données projet'!$B$18,Paramètres!$A$1:$I$89,3,0)*VLOOKUP('Données projet'!$B$18,Paramètres!$A$1:$I$89,5,0)</f>
        <v>3.0593128030886874E-14</v>
      </c>
      <c r="GW127" s="13">
        <f t="shared" si="105"/>
        <v>5.2753263159251616E-13</v>
      </c>
      <c r="GX127" s="20">
        <f t="shared" si="82"/>
        <v>9.7206903134409357E-13</v>
      </c>
      <c r="GY127" s="59">
        <f t="shared" si="83"/>
        <v>293.33333333333428</v>
      </c>
      <c r="GZ127" s="59">
        <f ca="1">AVERAGE(OFFSET($GY$3,0,0,'Données projet'!$E$18+1,1))-AVERAGE(OFFSET($H$3,0,0,'Données projet'!$E$18+1,1))</f>
        <v>186.60545265015247</v>
      </c>
      <c r="HA127" s="59">
        <f t="shared" si="106"/>
        <v>69.239647548491234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0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0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1.9065282685915009E-13</v>
      </c>
      <c r="P128" s="13">
        <f t="shared" si="87"/>
        <v>2.6568987209435707E-12</v>
      </c>
      <c r="Q128" s="20">
        <f t="shared" si="107"/>
        <v>4.959485612423072E-12</v>
      </c>
      <c r="R128" s="59">
        <f t="shared" si="55"/>
        <v>293.33333333333826</v>
      </c>
      <c r="S128" s="59">
        <f ca="1">AVERAGE(OFFSET($R$3,0,0,'Données projet'!$E$9+1,1))-AVERAGE(OFFSET($H$3,0,0,'Données projet'!$E$9+1,1))</f>
        <v>235.10258076192054</v>
      </c>
      <c r="T128" s="59">
        <f t="shared" si="88"/>
        <v>233.47316052603765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0.52203632426656243</v>
      </c>
      <c r="AA128" s="21">
        <f>EXP(-LN(2)/25)*AA127+(1-EXP(-LN(2)/25))/(LN(2)/25)*Calculateur!V128*Calculateur!X128*VLOOKUP('Données projet'!$B$9,Paramètres!$A$1:$I$89,3,0)*0.475*44/12</f>
        <v>1.3235076044149825</v>
      </c>
      <c r="AB128" s="21">
        <f>EXP(-LN(2)/2)*AB127+(1-EXP(-LN(2)/2))/(LN(2)/2)*V128*Y128*VLOOKUP('Données projet'!$B$9,Paramètres!$A$1:$I$89,3,0)*0.475*44/12</f>
        <v>1.2119647552164667E-13</v>
      </c>
      <c r="AC128" s="22">
        <f t="shared" si="57"/>
        <v>1.8455439286816662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2.2737367544323206E-13</v>
      </c>
      <c r="AJ128" s="13">
        <f>AI128*VLOOKUP('Données projet'!$B$10,Paramètres!$A$1:$I$89,3,0)*VLOOKUP('Données projet'!$B$10,Paramètres!$A$1:$I$89,5,0)</f>
        <v>1.2414602679200471E-13</v>
      </c>
      <c r="AK128" s="13">
        <f t="shared" si="89"/>
        <v>1.8186582995804361E-12</v>
      </c>
      <c r="AL128" s="20">
        <f t="shared" si="58"/>
        <v>3.3837175350986671E-12</v>
      </c>
      <c r="AM128" s="59">
        <f t="shared" si="59"/>
        <v>293.33333333333672</v>
      </c>
      <c r="AN128" s="59">
        <f ca="1">AVERAGE(OFFSET($AM$3,0,0,'Données projet'!$E$10+1,1))-AVERAGE(OFFSET($H$3,0,0,'Données projet'!$E$10+1,1))</f>
        <v>168.72306536277267</v>
      </c>
      <c r="AO128" s="59">
        <f t="shared" si="90"/>
        <v>203.35476578922339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0.46354176784768752</v>
      </c>
      <c r="AV128" s="21">
        <f>EXP(-LN(2)/25)*AV127+(1-EXP(-LN(2)/25))/(LN(2)/25)*Calculateur!AQ128*Calculateur!AS128*VLOOKUP('Données projet'!$B$10,Paramètres!$A$1:$I$89,3,0)*0.475*44/12</f>
        <v>1.6501785274942067</v>
      </c>
      <c r="AW128" s="21">
        <f>EXP(-LN(2)/2)*AW127+(1-EXP(-LN(2)/2))/(LN(2)/2)*AQ128*AT128*VLOOKUP('Données projet'!$B$10,Paramètres!$A$1:$I$89,3,0)*0.475*44/12</f>
        <v>1.0060572984058541E-13</v>
      </c>
      <c r="AX128" s="21">
        <f t="shared" si="60"/>
        <v>2.1137202953419951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3.3992364478763198E-14</v>
      </c>
      <c r="BF128" s="13">
        <f t="shared" si="91"/>
        <v>5.790027782444094E-13</v>
      </c>
      <c r="BG128" s="20">
        <f t="shared" si="61"/>
        <v>1.0676332069095257E-12</v>
      </c>
      <c r="BH128" s="59">
        <f t="shared" si="62"/>
        <v>293.33333333333439</v>
      </c>
      <c r="BI128" s="59">
        <f ca="1">AVERAGE(OFFSET($BH$3,0,0,'Données projet'!$E$11+1,1))-AVERAGE(OFFSET($H$3,0,0,'Données projet'!$E$11+1,1))</f>
        <v>165.39579887388538</v>
      </c>
      <c r="BJ128" s="59">
        <f t="shared" si="92"/>
        <v>155.89639262545802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0.52332149523547999</v>
      </c>
      <c r="BR128" s="21">
        <f>EXP(-LN(2)/2)*BR127+(1-EXP(-LN(2)/2))/(LN(2)/2)*BL128*BO128*VLOOKUP('Données projet'!$B$11,Paramètres!$A$1:$I$89,3,0)*0.475*44/12</f>
        <v>6.9737406190005304E-14</v>
      </c>
      <c r="BS128" s="22">
        <f t="shared" si="63"/>
        <v>0.52332149523554972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2.8421709430404007E-14</v>
      </c>
      <c r="BZ128" s="13">
        <f>BY128*VLOOKUP('Données projet'!$B$12,Paramètres!$A$1:$I$89,3,0)*VLOOKUP('Données projet'!$B$12,Paramètres!$A$1:$I$89,5,0)</f>
        <v>2.7489477361086758E-14</v>
      </c>
      <c r="CA128" s="13">
        <f t="shared" si="93"/>
        <v>4.7995394886724981E-13</v>
      </c>
      <c r="CB128" s="20">
        <f t="shared" si="64"/>
        <v>8.8379730068101964E-13</v>
      </c>
      <c r="CC128" s="59">
        <f t="shared" si="65"/>
        <v>293.33333333333422</v>
      </c>
      <c r="CD128" s="59">
        <f ca="1">AVERAGE(OFFSET($CC$3,0,0,'Données projet'!$E$12+1,1))-AVERAGE(OFFSET($H$3,0,0,'Données projet'!$E$12+1,1))</f>
        <v>156.26368818265388</v>
      </c>
      <c r="CE128" s="59">
        <f t="shared" si="94"/>
        <v>56.347130462109817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2.8421709430404007E-14</v>
      </c>
      <c r="CU128" s="17">
        <f>CT128*VLOOKUP('Données projet'!$B$13,Paramètres!$A$1:$I$89,3,0)*VLOOKUP('Données projet'!$B$13,Paramètres!$A$1:$I$89,5,0)</f>
        <v>2.3055690689943732E-14</v>
      </c>
      <c r="CV128" s="13">
        <f t="shared" si="95"/>
        <v>4.10868481342271E-13</v>
      </c>
      <c r="CW128" s="20">
        <f t="shared" si="67"/>
        <v>7.5575126628944061E-13</v>
      </c>
      <c r="CX128" s="59">
        <f t="shared" si="68"/>
        <v>293.33333333333405</v>
      </c>
      <c r="CY128" s="59">
        <f ca="1">AVERAGE(OFFSET($CX$3,0,0,'Données projet'!$E$13+1,1))-AVERAGE(OFFSET($H$3,0,0,'Données projet'!$E$13+1,1))</f>
        <v>112.78807760743126</v>
      </c>
      <c r="CZ128" s="59">
        <f t="shared" si="96"/>
        <v>37.867745922003564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-8.5265128291212022E-14</v>
      </c>
      <c r="DP128" s="17">
        <f>DO128*VLOOKUP('Données projet'!$B$14,Paramètres!$A$1:$I$89,3,0)*VLOOKUP('Données projet'!$B$14,Paramètres!$A$1:$I$89,5,0)</f>
        <v>-5.7195848057745024E-14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107.15837202366862</v>
      </c>
      <c r="DU128" s="59">
        <f t="shared" si="98"/>
        <v>139.67031833740026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0.40693021810869434</v>
      </c>
      <c r="EC128" s="21">
        <f>EXP(-LN(2)/2)*EC127+(1-EXP(-LN(2)/2))/(LN(2)/2)*DW128*DZ128*VLOOKUP('Données projet'!$B$14,Paramètres!$A$1:$I$89,3,0)*0.475*44/12</f>
        <v>3.3911362144770357E-14</v>
      </c>
      <c r="ED128" s="22">
        <f t="shared" si="72"/>
        <v>0.40693021810872826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-1.1368683772161603E-13</v>
      </c>
      <c r="EK128" s="17">
        <f>EJ128*VLOOKUP('Données projet'!$B$15,Paramètres!$A$1:$I$89,3,0)*VLOOKUP('Données projet'!$B$15,Paramètres!$A$1:$I$89,5,0)</f>
        <v>-5.3205440053716299E-14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123.60520571614535</v>
      </c>
      <c r="EP128" s="59">
        <f t="shared" si="100"/>
        <v>119.00926870519527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0.13215670401698376</v>
      </c>
      <c r="EW128" s="21">
        <f>EXP(-LN(2)/25)*EW127+(1-EXP(-LN(2)/25))/(LN(2)/25)*Calculateur!ER128*Calculateur!ET128*VLOOKUP('Données projet'!$B$15,Paramètres!$A$1:$I$89,3,0)*0.475*44/12</f>
        <v>0.34294089314234255</v>
      </c>
      <c r="EX128" s="21">
        <f>EXP(-LN(2)/2)*EX127+(1-EXP(-LN(2)/2))/(LN(2)/2)*ER128*EU128*VLOOKUP('Données projet'!$B$15,Paramètres!$A$1:$I$89,3,0)*0.475*44/12</f>
        <v>3.0717090357198667E-14</v>
      </c>
      <c r="EY128" s="22">
        <f t="shared" si="75"/>
        <v>0.47509759715935701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-2.2737367544323206E-13</v>
      </c>
      <c r="FF128" s="17">
        <f>FE128*VLOOKUP('Données projet'!$B$16,Paramètres!$A$1:$I$89,3,0)*VLOOKUP('Données projet'!$B$16,Paramètres!$A$1:$I$89,5,0)</f>
        <v>-1.0936673788819462E-13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197.66963254934603</v>
      </c>
      <c r="FK128" s="59">
        <f t="shared" si="102"/>
        <v>158.08388141976138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0.40641366108459964</v>
      </c>
      <c r="FR128" s="21">
        <f>EXP(-LN(2)/25)*FR127+(1-EXP(-LN(2)/25))/(LN(2)/25)*Calculateur!FM128*Calculateur!FO128*VLOOKUP('Données projet'!$B$16,Paramètres!$A$1:$I$89,3,0)*0.475*44/12</f>
        <v>0.38146295488685983</v>
      </c>
      <c r="FS128" s="21">
        <f>EXP(-LN(2)/2)*FS127+(1-EXP(-LN(2)/2))/(LN(2)/2)*FM128*FP128*VLOOKUP('Données projet'!$B$16,Paramètres!$A$1:$I$89,3,0)*0.475*44/12</f>
        <v>4.1591004497623517E-14</v>
      </c>
      <c r="FT128" s="22">
        <f t="shared" si="78"/>
        <v>0.78787661597150105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5.6843418860808015E-14</v>
      </c>
      <c r="GA128" s="17">
        <f>FZ128*VLOOKUP('Données projet'!$B$17,Paramètres!$A$1:$I$89,3,0)*VLOOKUP('Données projet'!$B$17,Paramètres!$A$1:$I$89,5,0)</f>
        <v>3.3992364478763198E-14</v>
      </c>
      <c r="GB128" s="13">
        <f t="shared" si="103"/>
        <v>5.790027782444094E-13</v>
      </c>
      <c r="GC128" s="20">
        <f t="shared" si="79"/>
        <v>1.0676332069095257E-12</v>
      </c>
      <c r="GD128" s="59">
        <f t="shared" si="80"/>
        <v>293.33333333333439</v>
      </c>
      <c r="GE128" s="59">
        <f ca="1">AVERAGE(OFFSET($GD$3,0,0,'Données projet'!$E$17+1,1))-AVERAGE(OFFSET($H$3,0,0,'Données projet'!$E$17+1,1))</f>
        <v>165.39579887388538</v>
      </c>
      <c r="GF128" s="59">
        <f t="shared" si="104"/>
        <v>155.89639262545802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0.52332149523547999</v>
      </c>
      <c r="GN128" s="21">
        <f>EXP(-LN(2)/2)*GN127+(1-EXP(-LN(2)/2))/(LN(2)/2)*GH128*GK128*VLOOKUP('Données projet'!$B$17,Paramètres!$A$1:$I$89,3,0)*0.475*44/12</f>
        <v>6.9737406190005304E-14</v>
      </c>
      <c r="GO128" s="21">
        <f t="shared" si="81"/>
        <v>0.52332149523554972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2.8421709430404007E-14</v>
      </c>
      <c r="GV128" s="17">
        <f>GU128*VLOOKUP('Données projet'!$B$18,Paramètres!$A$1:$I$89,3,0)*VLOOKUP('Données projet'!$B$18,Paramètres!$A$1:$I$89,5,0)</f>
        <v>3.0593128030886874E-14</v>
      </c>
      <c r="GW128" s="13">
        <f t="shared" si="105"/>
        <v>5.2753263159251616E-13</v>
      </c>
      <c r="GX128" s="20">
        <f t="shared" si="82"/>
        <v>9.7206903134409357E-13</v>
      </c>
      <c r="GY128" s="59">
        <f t="shared" si="83"/>
        <v>293.33333333333428</v>
      </c>
      <c r="GZ128" s="59">
        <f ca="1">AVERAGE(OFFSET($GY$3,0,0,'Données projet'!$E$18+1,1))-AVERAGE(OFFSET($H$3,0,0,'Données projet'!$E$18+1,1))</f>
        <v>186.60545265015247</v>
      </c>
      <c r="HA128" s="59">
        <f t="shared" si="106"/>
        <v>69.239647548491234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0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0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1.9065282685915009E-13</v>
      </c>
      <c r="P129" s="13">
        <f t="shared" si="87"/>
        <v>2.6568987209435707E-12</v>
      </c>
      <c r="Q129" s="20">
        <f t="shared" si="107"/>
        <v>4.959485612423072E-12</v>
      </c>
      <c r="R129" s="59">
        <f t="shared" si="55"/>
        <v>293.33333333333826</v>
      </c>
      <c r="S129" s="59">
        <f ca="1">AVERAGE(OFFSET($R$3,0,0,'Données projet'!$E$9+1,1))-AVERAGE(OFFSET($H$3,0,0,'Données projet'!$E$9+1,1))</f>
        <v>235.10258076192054</v>
      </c>
      <c r="T129" s="59">
        <f t="shared" si="88"/>
        <v>233.47316052603765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0.51179951035841253</v>
      </c>
      <c r="AA129" s="21">
        <f>EXP(-LN(2)/25)*AA128+(1-EXP(-LN(2)/25))/(LN(2)/25)*Calculateur!V129*Calculateur!X129*VLOOKUP('Données projet'!$B$9,Paramètres!$A$1:$I$89,3,0)*0.475*44/12</f>
        <v>1.2873162193720149</v>
      </c>
      <c r="AB129" s="21">
        <f>EXP(-LN(2)/2)*AB128+(1-EXP(-LN(2)/2))/(LN(2)/2)*V129*Y129*VLOOKUP('Données projet'!$B$9,Paramètres!$A$1:$I$89,3,0)*0.475*44/12</f>
        <v>8.5698849697265776E-14</v>
      </c>
      <c r="AC129" s="22">
        <f t="shared" si="57"/>
        <v>1.7991157297305131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2.2737367544323206E-13</v>
      </c>
      <c r="AJ129" s="13">
        <f>AI129*VLOOKUP('Données projet'!$B$10,Paramètres!$A$1:$I$89,3,0)*VLOOKUP('Données projet'!$B$10,Paramètres!$A$1:$I$89,5,0)</f>
        <v>1.2414602679200471E-13</v>
      </c>
      <c r="AK129" s="13">
        <f t="shared" si="89"/>
        <v>1.8186582995804361E-12</v>
      </c>
      <c r="AL129" s="20">
        <f t="shared" si="58"/>
        <v>3.3837175350986671E-12</v>
      </c>
      <c r="AM129" s="59">
        <f t="shared" si="59"/>
        <v>293.33333333333672</v>
      </c>
      <c r="AN129" s="59">
        <f ca="1">AVERAGE(OFFSET($AM$3,0,0,'Données projet'!$E$10+1,1))-AVERAGE(OFFSET($H$3,0,0,'Données projet'!$E$10+1,1))</f>
        <v>168.72306536277267</v>
      </c>
      <c r="AO129" s="59">
        <f t="shared" si="90"/>
        <v>203.35476578922339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0.45445199651275525</v>
      </c>
      <c r="AV129" s="21">
        <f>EXP(-LN(2)/25)*AV128+(1-EXP(-LN(2)/25))/(LN(2)/25)*Calculateur!AQ129*Calculateur!AS129*VLOOKUP('Données projet'!$B$10,Paramètres!$A$1:$I$89,3,0)*0.475*44/12</f>
        <v>1.6050543088807603</v>
      </c>
      <c r="AW129" s="21">
        <f>EXP(-LN(2)/2)*AW128+(1-EXP(-LN(2)/2))/(LN(2)/2)*AQ129*AT129*VLOOKUP('Données projet'!$B$10,Paramètres!$A$1:$I$89,3,0)*0.475*44/12</f>
        <v>7.1138993796499741E-14</v>
      </c>
      <c r="AX129" s="21">
        <f t="shared" si="60"/>
        <v>2.0595063053935867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3.3992364478763198E-14</v>
      </c>
      <c r="BF129" s="13">
        <f t="shared" si="91"/>
        <v>5.790027782444094E-13</v>
      </c>
      <c r="BG129" s="20">
        <f t="shared" si="61"/>
        <v>1.0676332069095257E-12</v>
      </c>
      <c r="BH129" s="59">
        <f t="shared" si="62"/>
        <v>293.33333333333439</v>
      </c>
      <c r="BI129" s="59">
        <f ca="1">AVERAGE(OFFSET($BH$3,0,0,'Données projet'!$E$11+1,1))-AVERAGE(OFFSET($H$3,0,0,'Données projet'!$E$11+1,1))</f>
        <v>165.39579887388538</v>
      </c>
      <c r="BJ129" s="59">
        <f t="shared" si="92"/>
        <v>155.89639262545802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0.50901124142798437</v>
      </c>
      <c r="BR129" s="21">
        <f>EXP(-LN(2)/2)*BR128+(1-EXP(-LN(2)/2))/(LN(2)/2)*BL129*BO129*VLOOKUP('Données projet'!$B$11,Paramètres!$A$1:$I$89,3,0)*0.475*44/12</f>
        <v>4.9311792819313466E-14</v>
      </c>
      <c r="BS129" s="22">
        <f t="shared" si="63"/>
        <v>0.50901124142803367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2.8421709430404007E-14</v>
      </c>
      <c r="BZ129" s="13">
        <f>BY129*VLOOKUP('Données projet'!$B$12,Paramètres!$A$1:$I$89,3,0)*VLOOKUP('Données projet'!$B$12,Paramètres!$A$1:$I$89,5,0)</f>
        <v>2.7489477361086758E-14</v>
      </c>
      <c r="CA129" s="13">
        <f t="shared" si="93"/>
        <v>4.7995394886724981E-13</v>
      </c>
      <c r="CB129" s="20">
        <f t="shared" si="64"/>
        <v>8.8379730068101964E-13</v>
      </c>
      <c r="CC129" s="59">
        <f t="shared" si="65"/>
        <v>293.33333333333422</v>
      </c>
      <c r="CD129" s="59">
        <f ca="1">AVERAGE(OFFSET($CC$3,0,0,'Données projet'!$E$12+1,1))-AVERAGE(OFFSET($H$3,0,0,'Données projet'!$E$12+1,1))</f>
        <v>156.26368818265388</v>
      </c>
      <c r="CE129" s="59">
        <f t="shared" si="94"/>
        <v>56.347130462109817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2.8421709430404007E-14</v>
      </c>
      <c r="CU129" s="17">
        <f>CT129*VLOOKUP('Données projet'!$B$13,Paramètres!$A$1:$I$89,3,0)*VLOOKUP('Données projet'!$B$13,Paramètres!$A$1:$I$89,5,0)</f>
        <v>2.3055690689943732E-14</v>
      </c>
      <c r="CV129" s="13">
        <f t="shared" si="95"/>
        <v>4.10868481342271E-13</v>
      </c>
      <c r="CW129" s="20">
        <f t="shared" si="67"/>
        <v>7.5575126628944061E-13</v>
      </c>
      <c r="CX129" s="59">
        <f t="shared" si="68"/>
        <v>293.33333333333405</v>
      </c>
      <c r="CY129" s="59">
        <f ca="1">AVERAGE(OFFSET($CX$3,0,0,'Données projet'!$E$13+1,1))-AVERAGE(OFFSET($H$3,0,0,'Données projet'!$E$13+1,1))</f>
        <v>112.78807760743126</v>
      </c>
      <c r="CZ129" s="59">
        <f t="shared" si="96"/>
        <v>37.867745922003564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-8.5265128291212022E-14</v>
      </c>
      <c r="DP129" s="17">
        <f>DO129*VLOOKUP('Données projet'!$B$14,Paramètres!$A$1:$I$89,3,0)*VLOOKUP('Données projet'!$B$14,Paramètres!$A$1:$I$89,5,0)</f>
        <v>-5.7195848057745024E-14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107.15837202366862</v>
      </c>
      <c r="DU129" s="59">
        <f t="shared" si="98"/>
        <v>139.67031833740026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0.39580268989498196</v>
      </c>
      <c r="EC129" s="21">
        <f>EXP(-LN(2)/2)*EC128+(1-EXP(-LN(2)/2))/(LN(2)/2)*DW129*DZ129*VLOOKUP('Données projet'!$B$14,Paramètres!$A$1:$I$89,3,0)*0.475*44/12</f>
        <v>2.3978954131839904E-14</v>
      </c>
      <c r="ED129" s="22">
        <f t="shared" si="72"/>
        <v>0.39580268989500594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-1.1368683772161603E-13</v>
      </c>
      <c r="EK129" s="17">
        <f>EJ129*VLOOKUP('Données projet'!$B$15,Paramètres!$A$1:$I$89,3,0)*VLOOKUP('Données projet'!$B$15,Paramètres!$A$1:$I$89,5,0)</f>
        <v>-5.3205440053716299E-14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123.60520571614535</v>
      </c>
      <c r="EP129" s="59">
        <f t="shared" si="100"/>
        <v>119.00926870519527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0.12956519165884081</v>
      </c>
      <c r="EW129" s="21">
        <f>EXP(-LN(2)/25)*EW128+(1-EXP(-LN(2)/25))/(LN(2)/25)*Calculateur!ER129*Calculateur!ET129*VLOOKUP('Données projet'!$B$15,Paramètres!$A$1:$I$89,3,0)*0.475*44/12</f>
        <v>0.33356315638488743</v>
      </c>
      <c r="EX129" s="21">
        <f>EXP(-LN(2)/2)*EX128+(1-EXP(-LN(2)/2))/(LN(2)/2)*ER129*EU129*VLOOKUP('Données projet'!$B$15,Paramètres!$A$1:$I$89,3,0)*0.475*44/12</f>
        <v>2.1720262889895087E-14</v>
      </c>
      <c r="EY129" s="22">
        <f t="shared" si="75"/>
        <v>0.46312834804374997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-2.2737367544323206E-13</v>
      </c>
      <c r="FF129" s="17">
        <f>FE129*VLOOKUP('Données projet'!$B$16,Paramètres!$A$1:$I$89,3,0)*VLOOKUP('Données projet'!$B$16,Paramètres!$A$1:$I$89,5,0)</f>
        <v>-1.0936673788819462E-13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197.66963254934603</v>
      </c>
      <c r="FK129" s="59">
        <f t="shared" si="102"/>
        <v>158.08388141976138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0.398444137078587</v>
      </c>
      <c r="FR129" s="21">
        <f>EXP(-LN(2)/25)*FR128+(1-EXP(-LN(2)/25))/(LN(2)/25)*Calculateur!FM129*Calculateur!FO129*VLOOKUP('Données projet'!$B$16,Paramètres!$A$1:$I$89,3,0)*0.475*44/12</f>
        <v>0.3710318303252137</v>
      </c>
      <c r="FS129" s="21">
        <f>EXP(-LN(2)/2)*FS128+(1-EXP(-LN(2)/2))/(LN(2)/2)*FM129*FP129*VLOOKUP('Données projet'!$B$16,Paramètres!$A$1:$I$89,3,0)*0.475*44/12</f>
        <v>2.9409281316629785E-14</v>
      </c>
      <c r="FT129" s="22">
        <f t="shared" si="78"/>
        <v>0.76947596740383017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5.6843418860808015E-14</v>
      </c>
      <c r="GA129" s="17">
        <f>FZ129*VLOOKUP('Données projet'!$B$17,Paramètres!$A$1:$I$89,3,0)*VLOOKUP('Données projet'!$B$17,Paramètres!$A$1:$I$89,5,0)</f>
        <v>3.3992364478763198E-14</v>
      </c>
      <c r="GB129" s="13">
        <f t="shared" si="103"/>
        <v>5.790027782444094E-13</v>
      </c>
      <c r="GC129" s="20">
        <f t="shared" si="79"/>
        <v>1.0676332069095257E-12</v>
      </c>
      <c r="GD129" s="59">
        <f t="shared" si="80"/>
        <v>293.33333333333439</v>
      </c>
      <c r="GE129" s="59">
        <f ca="1">AVERAGE(OFFSET($GD$3,0,0,'Données projet'!$E$17+1,1))-AVERAGE(OFFSET($H$3,0,0,'Données projet'!$E$17+1,1))</f>
        <v>165.39579887388538</v>
      </c>
      <c r="GF129" s="59">
        <f t="shared" si="104"/>
        <v>155.89639262545802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0.50901124142798437</v>
      </c>
      <c r="GN129" s="21">
        <f>EXP(-LN(2)/2)*GN128+(1-EXP(-LN(2)/2))/(LN(2)/2)*GH129*GK129*VLOOKUP('Données projet'!$B$17,Paramètres!$A$1:$I$89,3,0)*0.475*44/12</f>
        <v>4.9311792819313466E-14</v>
      </c>
      <c r="GO129" s="21">
        <f t="shared" si="81"/>
        <v>0.50901124142803367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2.8421709430404007E-14</v>
      </c>
      <c r="GV129" s="17">
        <f>GU129*VLOOKUP('Données projet'!$B$18,Paramètres!$A$1:$I$89,3,0)*VLOOKUP('Données projet'!$B$18,Paramètres!$A$1:$I$89,5,0)</f>
        <v>3.0593128030886874E-14</v>
      </c>
      <c r="GW129" s="13">
        <f t="shared" si="105"/>
        <v>5.2753263159251616E-13</v>
      </c>
      <c r="GX129" s="20">
        <f t="shared" si="82"/>
        <v>9.7206903134409357E-13</v>
      </c>
      <c r="GY129" s="59">
        <f t="shared" si="83"/>
        <v>293.33333333333428</v>
      </c>
      <c r="GZ129" s="59">
        <f ca="1">AVERAGE(OFFSET($GY$3,0,0,'Données projet'!$E$18+1,1))-AVERAGE(OFFSET($H$3,0,0,'Données projet'!$E$18+1,1))</f>
        <v>186.60545265015247</v>
      </c>
      <c r="HA129" s="59">
        <f t="shared" si="106"/>
        <v>69.239647548491234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0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0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1.9065282685915009E-13</v>
      </c>
      <c r="P130" s="13">
        <f t="shared" si="87"/>
        <v>2.6568987209435707E-12</v>
      </c>
      <c r="Q130" s="20">
        <f t="shared" si="107"/>
        <v>4.959485612423072E-12</v>
      </c>
      <c r="R130" s="59">
        <f t="shared" si="55"/>
        <v>293.33333333333826</v>
      </c>
      <c r="S130" s="59">
        <f ca="1">AVERAGE(OFFSET($R$3,0,0,'Données projet'!$E$9+1,1))-AVERAGE(OFFSET($H$3,0,0,'Données projet'!$E$9+1,1))</f>
        <v>235.10258076192054</v>
      </c>
      <c r="T130" s="59">
        <f t="shared" si="88"/>
        <v>233.47316052603765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0.50176343412716151</v>
      </c>
      <c r="AA130" s="21">
        <f>EXP(-LN(2)/25)*AA129+(1-EXP(-LN(2)/25))/(LN(2)/25)*Calculateur!V130*Calculateur!X130*VLOOKUP('Données projet'!$B$9,Paramètres!$A$1:$I$89,3,0)*0.475*44/12</f>
        <v>1.2521144896562695</v>
      </c>
      <c r="AB130" s="21">
        <f>EXP(-LN(2)/2)*AB129+(1-EXP(-LN(2)/2))/(LN(2)/2)*V130*Y130*VLOOKUP('Données projet'!$B$9,Paramètres!$A$1:$I$89,3,0)*0.475*44/12</f>
        <v>6.0598237760823334E-14</v>
      </c>
      <c r="AC130" s="22">
        <f t="shared" si="57"/>
        <v>1.7538779237834916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2.2737367544323206E-13</v>
      </c>
      <c r="AJ130" s="13">
        <f>AI130*VLOOKUP('Données projet'!$B$10,Paramètres!$A$1:$I$89,3,0)*VLOOKUP('Données projet'!$B$10,Paramètres!$A$1:$I$89,5,0)</f>
        <v>1.2414602679200471E-13</v>
      </c>
      <c r="AK130" s="13">
        <f t="shared" si="89"/>
        <v>1.8186582995804361E-12</v>
      </c>
      <c r="AL130" s="20">
        <f t="shared" si="58"/>
        <v>3.3837175350986671E-12</v>
      </c>
      <c r="AM130" s="59">
        <f t="shared" si="59"/>
        <v>293.33333333333672</v>
      </c>
      <c r="AN130" s="59">
        <f ca="1">AVERAGE(OFFSET($AM$3,0,0,'Données projet'!$E$10+1,1))-AVERAGE(OFFSET($H$3,0,0,'Données projet'!$E$10+1,1))</f>
        <v>168.72306536277267</v>
      </c>
      <c r="AO130" s="59">
        <f t="shared" si="90"/>
        <v>203.35476578922339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0.44554047004948794</v>
      </c>
      <c r="AV130" s="21">
        <f>EXP(-LN(2)/25)*AV129+(1-EXP(-LN(2)/25))/(LN(2)/25)*Calculateur!AQ130*Calculateur!AS130*VLOOKUP('Données projet'!$B$10,Paramètres!$A$1:$I$89,3,0)*0.475*44/12</f>
        <v>1.5611640143982781</v>
      </c>
      <c r="AW130" s="21">
        <f>EXP(-LN(2)/2)*AW129+(1-EXP(-LN(2)/2))/(LN(2)/2)*AQ130*AT130*VLOOKUP('Données projet'!$B$10,Paramètres!$A$1:$I$89,3,0)*0.475*44/12</f>
        <v>5.0302864920292705E-14</v>
      </c>
      <c r="AX130" s="21">
        <f t="shared" si="60"/>
        <v>2.0067044844478161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3.3992364478763198E-14</v>
      </c>
      <c r="BF130" s="13">
        <f t="shared" si="91"/>
        <v>5.790027782444094E-13</v>
      </c>
      <c r="BG130" s="20">
        <f t="shared" si="61"/>
        <v>1.0676332069095257E-12</v>
      </c>
      <c r="BH130" s="59">
        <f t="shared" si="62"/>
        <v>293.33333333333439</v>
      </c>
      <c r="BI130" s="59">
        <f ca="1">AVERAGE(OFFSET($BH$3,0,0,'Données projet'!$E$11+1,1))-AVERAGE(OFFSET($H$3,0,0,'Données projet'!$E$11+1,1))</f>
        <v>165.39579887388538</v>
      </c>
      <c r="BJ130" s="59">
        <f t="shared" si="92"/>
        <v>155.89639262545802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0.49509230226339829</v>
      </c>
      <c r="BR130" s="21">
        <f>EXP(-LN(2)/2)*BR129+(1-EXP(-LN(2)/2))/(LN(2)/2)*BL130*BO130*VLOOKUP('Données projet'!$B$11,Paramètres!$A$1:$I$89,3,0)*0.475*44/12</f>
        <v>3.4868703095002652E-14</v>
      </c>
      <c r="BS130" s="22">
        <f t="shared" si="63"/>
        <v>0.49509230226343315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2.8421709430404007E-14</v>
      </c>
      <c r="BZ130" s="13">
        <f>BY130*VLOOKUP('Données projet'!$B$12,Paramètres!$A$1:$I$89,3,0)*VLOOKUP('Données projet'!$B$12,Paramètres!$A$1:$I$89,5,0)</f>
        <v>2.7489477361086758E-14</v>
      </c>
      <c r="CA130" s="13">
        <f t="shared" si="93"/>
        <v>4.7995394886724981E-13</v>
      </c>
      <c r="CB130" s="20">
        <f t="shared" si="64"/>
        <v>8.8379730068101964E-13</v>
      </c>
      <c r="CC130" s="59">
        <f t="shared" si="65"/>
        <v>293.33333333333422</v>
      </c>
      <c r="CD130" s="59">
        <f ca="1">AVERAGE(OFFSET($CC$3,0,0,'Données projet'!$E$12+1,1))-AVERAGE(OFFSET($H$3,0,0,'Données projet'!$E$12+1,1))</f>
        <v>156.26368818265388</v>
      </c>
      <c r="CE130" s="59">
        <f t="shared" si="94"/>
        <v>56.347130462109817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2.8421709430404007E-14</v>
      </c>
      <c r="CU130" s="17">
        <f>CT130*VLOOKUP('Données projet'!$B$13,Paramètres!$A$1:$I$89,3,0)*VLOOKUP('Données projet'!$B$13,Paramètres!$A$1:$I$89,5,0)</f>
        <v>2.3055690689943732E-14</v>
      </c>
      <c r="CV130" s="13">
        <f t="shared" si="95"/>
        <v>4.10868481342271E-13</v>
      </c>
      <c r="CW130" s="20">
        <f t="shared" si="67"/>
        <v>7.5575126628944061E-13</v>
      </c>
      <c r="CX130" s="59">
        <f t="shared" si="68"/>
        <v>293.33333333333405</v>
      </c>
      <c r="CY130" s="59">
        <f ca="1">AVERAGE(OFFSET($CX$3,0,0,'Données projet'!$E$13+1,1))-AVERAGE(OFFSET($H$3,0,0,'Données projet'!$E$13+1,1))</f>
        <v>112.78807760743126</v>
      </c>
      <c r="CZ130" s="59">
        <f t="shared" si="96"/>
        <v>37.867745922003564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-8.5265128291212022E-14</v>
      </c>
      <c r="DP130" s="17">
        <f>DO130*VLOOKUP('Données projet'!$B$14,Paramètres!$A$1:$I$89,3,0)*VLOOKUP('Données projet'!$B$14,Paramètres!$A$1:$I$89,5,0)</f>
        <v>-5.7195848057745024E-14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107.15837202366862</v>
      </c>
      <c r="DU130" s="59">
        <f t="shared" si="98"/>
        <v>139.67031833740026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0.38497944452544486</v>
      </c>
      <c r="EC130" s="21">
        <f>EXP(-LN(2)/2)*EC129+(1-EXP(-LN(2)/2))/(LN(2)/2)*DW130*DZ130*VLOOKUP('Données projet'!$B$14,Paramètres!$A$1:$I$89,3,0)*0.475*44/12</f>
        <v>1.6955681072385179E-14</v>
      </c>
      <c r="ED130" s="22">
        <f t="shared" si="72"/>
        <v>0.38497944452546179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-1.1368683772161603E-13</v>
      </c>
      <c r="EK130" s="17">
        <f>EJ130*VLOOKUP('Données projet'!$B$15,Paramètres!$A$1:$I$89,3,0)*VLOOKUP('Données projet'!$B$15,Paramètres!$A$1:$I$89,5,0)</f>
        <v>-5.3205440053716299E-14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123.60520571614535</v>
      </c>
      <c r="EP130" s="59">
        <f t="shared" si="100"/>
        <v>119.00926870519527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0.12702449727737458</v>
      </c>
      <c r="EW130" s="21">
        <f>EXP(-LN(2)/25)*EW129+(1-EXP(-LN(2)/25))/(LN(2)/25)*Calculateur!ER130*Calculateur!ET130*VLOOKUP('Données projet'!$B$15,Paramètres!$A$1:$I$89,3,0)*0.475*44/12</f>
        <v>0.32444185433221867</v>
      </c>
      <c r="EX130" s="21">
        <f>EXP(-LN(2)/2)*EX129+(1-EXP(-LN(2)/2))/(LN(2)/2)*ER130*EU130*VLOOKUP('Données projet'!$B$15,Paramètres!$A$1:$I$89,3,0)*0.475*44/12</f>
        <v>1.5358545178599334E-14</v>
      </c>
      <c r="EY130" s="22">
        <f t="shared" si="75"/>
        <v>0.45146635160960863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-2.2737367544323206E-13</v>
      </c>
      <c r="FF130" s="17">
        <f>FE130*VLOOKUP('Données projet'!$B$16,Paramètres!$A$1:$I$89,3,0)*VLOOKUP('Données projet'!$B$16,Paramètres!$A$1:$I$89,5,0)</f>
        <v>-1.0936673788819462E-13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197.66963254934603</v>
      </c>
      <c r="FK130" s="59">
        <f t="shared" si="102"/>
        <v>158.08388141976138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0.39063089057740263</v>
      </c>
      <c r="FR130" s="21">
        <f>EXP(-LN(2)/25)*FR129+(1-EXP(-LN(2)/25))/(LN(2)/25)*Calculateur!FM130*Calculateur!FO130*VLOOKUP('Données projet'!$B$16,Paramètres!$A$1:$I$89,3,0)*0.475*44/12</f>
        <v>0.36088594541325475</v>
      </c>
      <c r="FS130" s="21">
        <f>EXP(-LN(2)/2)*FS129+(1-EXP(-LN(2)/2))/(LN(2)/2)*FM130*FP130*VLOOKUP('Données projet'!$B$16,Paramètres!$A$1:$I$89,3,0)*0.475*44/12</f>
        <v>2.0795502248811759E-14</v>
      </c>
      <c r="FT130" s="22">
        <f t="shared" si="78"/>
        <v>0.7515168359906782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5.6843418860808015E-14</v>
      </c>
      <c r="GA130" s="17">
        <f>FZ130*VLOOKUP('Données projet'!$B$17,Paramètres!$A$1:$I$89,3,0)*VLOOKUP('Données projet'!$B$17,Paramètres!$A$1:$I$89,5,0)</f>
        <v>3.3992364478763198E-14</v>
      </c>
      <c r="GB130" s="13">
        <f t="shared" si="103"/>
        <v>5.790027782444094E-13</v>
      </c>
      <c r="GC130" s="20">
        <f t="shared" si="79"/>
        <v>1.0676332069095257E-12</v>
      </c>
      <c r="GD130" s="59">
        <f t="shared" si="80"/>
        <v>293.33333333333439</v>
      </c>
      <c r="GE130" s="59">
        <f ca="1">AVERAGE(OFFSET($GD$3,0,0,'Données projet'!$E$17+1,1))-AVERAGE(OFFSET($H$3,0,0,'Données projet'!$E$17+1,1))</f>
        <v>165.39579887388538</v>
      </c>
      <c r="GF130" s="59">
        <f t="shared" si="104"/>
        <v>155.89639262545802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0.49509230226339829</v>
      </c>
      <c r="GN130" s="21">
        <f>EXP(-LN(2)/2)*GN129+(1-EXP(-LN(2)/2))/(LN(2)/2)*GH130*GK130*VLOOKUP('Données projet'!$B$17,Paramètres!$A$1:$I$89,3,0)*0.475*44/12</f>
        <v>3.4868703095002652E-14</v>
      </c>
      <c r="GO130" s="21">
        <f t="shared" si="81"/>
        <v>0.49509230226343315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2.8421709430404007E-14</v>
      </c>
      <c r="GV130" s="17">
        <f>GU130*VLOOKUP('Données projet'!$B$18,Paramètres!$A$1:$I$89,3,0)*VLOOKUP('Données projet'!$B$18,Paramètres!$A$1:$I$89,5,0)</f>
        <v>3.0593128030886874E-14</v>
      </c>
      <c r="GW130" s="13">
        <f t="shared" si="105"/>
        <v>5.2753263159251616E-13</v>
      </c>
      <c r="GX130" s="20">
        <f t="shared" si="82"/>
        <v>9.7206903134409357E-13</v>
      </c>
      <c r="GY130" s="59">
        <f t="shared" si="83"/>
        <v>293.33333333333428</v>
      </c>
      <c r="GZ130" s="59">
        <f ca="1">AVERAGE(OFFSET($GY$3,0,0,'Données projet'!$E$18+1,1))-AVERAGE(OFFSET($H$3,0,0,'Données projet'!$E$18+1,1))</f>
        <v>186.60545265015247</v>
      </c>
      <c r="HA130" s="59">
        <f t="shared" si="106"/>
        <v>69.239647548491234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0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0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1.9065282685915009E-13</v>
      </c>
      <c r="P131" s="13">
        <f t="shared" si="87"/>
        <v>2.6568987209435707E-12</v>
      </c>
      <c r="Q131" s="20">
        <f t="shared" ref="Q131:Q153" si="108">(O131+P131)*0.475*44/12</f>
        <v>4.959485612423072E-12</v>
      </c>
      <c r="R131" s="59">
        <f t="shared" ref="R131:R194" si="109">Q131+(I131+J131)*44/12</f>
        <v>293.33333333333826</v>
      </c>
      <c r="S131" s="59">
        <f ca="1">AVERAGE(OFFSET($R$3,0,0,'Données projet'!$E$9+1,1))-AVERAGE(OFFSET($H$3,0,0,'Données projet'!$E$9+1,1))</f>
        <v>235.10258076192054</v>
      </c>
      <c r="T131" s="59">
        <f t="shared" si="88"/>
        <v>233.47316052603765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0.49192415922940319</v>
      </c>
      <c r="AA131" s="21">
        <f>EXP(-LN(2)/25)*AA130+(1-EXP(-LN(2)/25))/(LN(2)/25)*Calculateur!V131*Calculateur!X131*VLOOKUP('Données projet'!$B$9,Paramètres!$A$1:$I$89,3,0)*0.475*44/12</f>
        <v>1.2178753530907795</v>
      </c>
      <c r="AB131" s="21">
        <f>EXP(-LN(2)/2)*AB130+(1-EXP(-LN(2)/2))/(LN(2)/2)*V131*Y131*VLOOKUP('Données projet'!$B$9,Paramètres!$A$1:$I$89,3,0)*0.475*44/12</f>
        <v>4.2849424848632888E-14</v>
      </c>
      <c r="AC131" s="22">
        <f t="shared" si="57"/>
        <v>1.7097995123202256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2.2737367544323206E-13</v>
      </c>
      <c r="AJ131" s="13">
        <f>AI131*VLOOKUP('Données projet'!$B$10,Paramètres!$A$1:$I$89,3,0)*VLOOKUP('Données projet'!$B$10,Paramètres!$A$1:$I$89,5,0)</f>
        <v>1.2414602679200471E-13</v>
      </c>
      <c r="AK131" s="13">
        <f t="shared" si="89"/>
        <v>1.8186582995804361E-12</v>
      </c>
      <c r="AL131" s="20">
        <f t="shared" si="58"/>
        <v>3.3837175350986671E-12</v>
      </c>
      <c r="AM131" s="59">
        <f t="shared" si="59"/>
        <v>293.33333333333672</v>
      </c>
      <c r="AN131" s="59">
        <f ca="1">AVERAGE(OFFSET($AM$3,0,0,'Données projet'!$E$10+1,1))-AVERAGE(OFFSET($H$3,0,0,'Données projet'!$E$10+1,1))</f>
        <v>168.72306536277267</v>
      </c>
      <c r="AO131" s="59">
        <f t="shared" si="90"/>
        <v>203.35476578922339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0.43680369318467083</v>
      </c>
      <c r="AV131" s="21">
        <f>EXP(-LN(2)/25)*AV130+(1-EXP(-LN(2)/25))/(LN(2)/25)*Calculateur!AQ131*Calculateur!AS131*VLOOKUP('Données projet'!$B$10,Paramètres!$A$1:$I$89,3,0)*0.475*44/12</f>
        <v>1.5184739023265097</v>
      </c>
      <c r="AW131" s="21">
        <f>EXP(-LN(2)/2)*AW130+(1-EXP(-LN(2)/2))/(LN(2)/2)*AQ131*AT131*VLOOKUP('Données projet'!$B$10,Paramètres!$A$1:$I$89,3,0)*0.475*44/12</f>
        <v>3.556949689824987E-14</v>
      </c>
      <c r="AX131" s="21">
        <f t="shared" si="60"/>
        <v>1.955277595511216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3.3992364478763198E-14</v>
      </c>
      <c r="BF131" s="13">
        <f t="shared" si="91"/>
        <v>5.790027782444094E-13</v>
      </c>
      <c r="BG131" s="20">
        <f t="shared" si="61"/>
        <v>1.0676332069095257E-12</v>
      </c>
      <c r="BH131" s="59">
        <f t="shared" si="62"/>
        <v>293.33333333333439</v>
      </c>
      <c r="BI131" s="59">
        <f ca="1">AVERAGE(OFFSET($BH$3,0,0,'Données projet'!$E$11+1,1))-AVERAGE(OFFSET($H$3,0,0,'Données projet'!$E$11+1,1))</f>
        <v>165.39579887388538</v>
      </c>
      <c r="BJ131" s="59">
        <f t="shared" si="92"/>
        <v>155.89639262545802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0.48155397722223303</v>
      </c>
      <c r="BR131" s="21">
        <f>EXP(-LN(2)/2)*BR130+(1-EXP(-LN(2)/2))/(LN(2)/2)*BL131*BO131*VLOOKUP('Données projet'!$B$11,Paramètres!$A$1:$I$89,3,0)*0.475*44/12</f>
        <v>2.4655896409656733E-14</v>
      </c>
      <c r="BS131" s="22">
        <f t="shared" si="63"/>
        <v>0.48155397722225768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2.8421709430404007E-14</v>
      </c>
      <c r="BZ131" s="13">
        <f>BY131*VLOOKUP('Données projet'!$B$12,Paramètres!$A$1:$I$89,3,0)*VLOOKUP('Données projet'!$B$12,Paramètres!$A$1:$I$89,5,0)</f>
        <v>2.7489477361086758E-14</v>
      </c>
      <c r="CA131" s="13">
        <f t="shared" si="93"/>
        <v>4.7995394886724981E-13</v>
      </c>
      <c r="CB131" s="20">
        <f t="shared" si="64"/>
        <v>8.8379730068101964E-13</v>
      </c>
      <c r="CC131" s="59">
        <f t="shared" si="65"/>
        <v>293.33333333333422</v>
      </c>
      <c r="CD131" s="59">
        <f ca="1">AVERAGE(OFFSET($CC$3,0,0,'Données projet'!$E$12+1,1))-AVERAGE(OFFSET($H$3,0,0,'Données projet'!$E$12+1,1))</f>
        <v>156.26368818265388</v>
      </c>
      <c r="CE131" s="59">
        <f t="shared" si="94"/>
        <v>56.347130462109817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2.8421709430404007E-14</v>
      </c>
      <c r="CU131" s="17">
        <f>CT131*VLOOKUP('Données projet'!$B$13,Paramètres!$A$1:$I$89,3,0)*VLOOKUP('Données projet'!$B$13,Paramètres!$A$1:$I$89,5,0)</f>
        <v>2.3055690689943732E-14</v>
      </c>
      <c r="CV131" s="13">
        <f t="shared" si="95"/>
        <v>4.10868481342271E-13</v>
      </c>
      <c r="CW131" s="20">
        <f t="shared" si="67"/>
        <v>7.5575126628944061E-13</v>
      </c>
      <c r="CX131" s="59">
        <f t="shared" si="68"/>
        <v>293.33333333333405</v>
      </c>
      <c r="CY131" s="59">
        <f ca="1">AVERAGE(OFFSET($CX$3,0,0,'Données projet'!$E$13+1,1))-AVERAGE(OFFSET($H$3,0,0,'Données projet'!$E$13+1,1))</f>
        <v>112.78807760743126</v>
      </c>
      <c r="CZ131" s="59">
        <f t="shared" si="96"/>
        <v>37.867745922003564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-8.5265128291212022E-14</v>
      </c>
      <c r="DP131" s="17">
        <f>DO131*VLOOKUP('Données projet'!$B$14,Paramètres!$A$1:$I$89,3,0)*VLOOKUP('Données projet'!$B$14,Paramètres!$A$1:$I$89,5,0)</f>
        <v>-5.7195848057745024E-14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107.15837202366862</v>
      </c>
      <c r="DU131" s="59">
        <f t="shared" si="98"/>
        <v>139.67031833740026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0.37445216136970744</v>
      </c>
      <c r="EC131" s="21">
        <f>EXP(-LN(2)/2)*EC130+(1-EXP(-LN(2)/2))/(LN(2)/2)*DW131*DZ131*VLOOKUP('Données projet'!$B$14,Paramètres!$A$1:$I$89,3,0)*0.475*44/12</f>
        <v>1.1989477065919952E-14</v>
      </c>
      <c r="ED131" s="22">
        <f t="shared" si="72"/>
        <v>0.37445216136971943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-1.1368683772161603E-13</v>
      </c>
      <c r="EK131" s="17">
        <f>EJ131*VLOOKUP('Données projet'!$B$15,Paramètres!$A$1:$I$89,3,0)*VLOOKUP('Données projet'!$B$15,Paramètres!$A$1:$I$89,5,0)</f>
        <v>-5.3205440053716299E-14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123.60520571614535</v>
      </c>
      <c r="EP131" s="59">
        <f t="shared" si="100"/>
        <v>119.00926870519527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0.12453362436305836</v>
      </c>
      <c r="EW131" s="21">
        <f>EXP(-LN(2)/25)*EW130+(1-EXP(-LN(2)/25))/(LN(2)/25)*Calculateur!ER131*Calculateur!ET131*VLOOKUP('Données projet'!$B$15,Paramètres!$A$1:$I$89,3,0)*0.475*44/12</f>
        <v>0.31556997476384857</v>
      </c>
      <c r="EX131" s="21">
        <f>EXP(-LN(2)/2)*EX130+(1-EXP(-LN(2)/2))/(LN(2)/2)*ER131*EU131*VLOOKUP('Données projet'!$B$15,Paramètres!$A$1:$I$89,3,0)*0.475*44/12</f>
        <v>1.0860131444947544E-14</v>
      </c>
      <c r="EY131" s="22">
        <f t="shared" si="75"/>
        <v>0.44010359912691782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-2.2737367544323206E-13</v>
      </c>
      <c r="FF131" s="17">
        <f>FE131*VLOOKUP('Données projet'!$B$16,Paramètres!$A$1:$I$89,3,0)*VLOOKUP('Données projet'!$B$16,Paramètres!$A$1:$I$89,5,0)</f>
        <v>-1.0936673788819462E-13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197.66963254934603</v>
      </c>
      <c r="FK131" s="59">
        <f t="shared" si="102"/>
        <v>158.08388141976138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0.38297085707449668</v>
      </c>
      <c r="FR131" s="21">
        <f>EXP(-LN(2)/25)*FR130+(1-EXP(-LN(2)/25))/(LN(2)/25)*Calculateur!FM131*Calculateur!FO131*VLOOKUP('Données projet'!$B$16,Paramètres!$A$1:$I$89,3,0)*0.475*44/12</f>
        <v>0.35101750025776224</v>
      </c>
      <c r="FS131" s="21">
        <f>EXP(-LN(2)/2)*FS130+(1-EXP(-LN(2)/2))/(LN(2)/2)*FM131*FP131*VLOOKUP('Données projet'!$B$16,Paramètres!$A$1:$I$89,3,0)*0.475*44/12</f>
        <v>1.4704640658314893E-14</v>
      </c>
      <c r="FT131" s="22">
        <f t="shared" si="78"/>
        <v>0.73398835733227363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5.6843418860808015E-14</v>
      </c>
      <c r="GA131" s="17">
        <f>FZ131*VLOOKUP('Données projet'!$B$17,Paramètres!$A$1:$I$89,3,0)*VLOOKUP('Données projet'!$B$17,Paramètres!$A$1:$I$89,5,0)</f>
        <v>3.3992364478763198E-14</v>
      </c>
      <c r="GB131" s="13">
        <f t="shared" si="103"/>
        <v>5.790027782444094E-13</v>
      </c>
      <c r="GC131" s="20">
        <f t="shared" si="79"/>
        <v>1.0676332069095257E-12</v>
      </c>
      <c r="GD131" s="59">
        <f t="shared" si="80"/>
        <v>293.33333333333439</v>
      </c>
      <c r="GE131" s="59">
        <f ca="1">AVERAGE(OFFSET($GD$3,0,0,'Données projet'!$E$17+1,1))-AVERAGE(OFFSET($H$3,0,0,'Données projet'!$E$17+1,1))</f>
        <v>165.39579887388538</v>
      </c>
      <c r="GF131" s="59">
        <f t="shared" si="104"/>
        <v>155.89639262545802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0.48155397722223303</v>
      </c>
      <c r="GN131" s="21">
        <f>EXP(-LN(2)/2)*GN130+(1-EXP(-LN(2)/2))/(LN(2)/2)*GH131*GK131*VLOOKUP('Données projet'!$B$17,Paramètres!$A$1:$I$89,3,0)*0.475*44/12</f>
        <v>2.4655896409656733E-14</v>
      </c>
      <c r="GO131" s="21">
        <f t="shared" si="81"/>
        <v>0.48155397722225768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2.8421709430404007E-14</v>
      </c>
      <c r="GV131" s="17">
        <f>GU131*VLOOKUP('Données projet'!$B$18,Paramètres!$A$1:$I$89,3,0)*VLOOKUP('Données projet'!$B$18,Paramètres!$A$1:$I$89,5,0)</f>
        <v>3.0593128030886874E-14</v>
      </c>
      <c r="GW131" s="13">
        <f t="shared" si="105"/>
        <v>5.2753263159251616E-13</v>
      </c>
      <c r="GX131" s="20">
        <f t="shared" si="82"/>
        <v>9.7206903134409357E-13</v>
      </c>
      <c r="GY131" s="59">
        <f t="shared" si="83"/>
        <v>293.33333333333428</v>
      </c>
      <c r="GZ131" s="59">
        <f ca="1">AVERAGE(OFFSET($GY$3,0,0,'Données projet'!$E$18+1,1))-AVERAGE(OFFSET($H$3,0,0,'Données projet'!$E$18+1,1))</f>
        <v>186.60545265015247</v>
      </c>
      <c r="HA131" s="59">
        <f t="shared" si="106"/>
        <v>69.239647548491234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0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0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1.9065282685915009E-13</v>
      </c>
      <c r="P132" s="13">
        <f t="shared" si="87"/>
        <v>2.6568987209435707E-12</v>
      </c>
      <c r="Q132" s="20">
        <f t="shared" si="108"/>
        <v>4.959485612423072E-12</v>
      </c>
      <c r="R132" s="59">
        <f t="shared" si="109"/>
        <v>293.33333333333826</v>
      </c>
      <c r="S132" s="59">
        <f ca="1">AVERAGE(OFFSET($R$3,0,0,'Données projet'!$E$9+1,1))-AVERAGE(OFFSET($H$3,0,0,'Données projet'!$E$9+1,1))</f>
        <v>235.10258076192054</v>
      </c>
      <c r="T132" s="59">
        <f t="shared" si="88"/>
        <v>233.47316052603765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0.48227782651102485</v>
      </c>
      <c r="AA132" s="21">
        <f>EXP(-LN(2)/25)*AA131+(1-EXP(-LN(2)/25))/(LN(2)/25)*Calculateur!V132*Calculateur!X132*VLOOKUP('Données projet'!$B$9,Paramètres!$A$1:$I$89,3,0)*0.475*44/12</f>
        <v>1.1845724875152308</v>
      </c>
      <c r="AB132" s="21">
        <f>EXP(-LN(2)/2)*AB131+(1-EXP(-LN(2)/2))/(LN(2)/2)*V132*Y132*VLOOKUP('Données projet'!$B$9,Paramètres!$A$1:$I$89,3,0)*0.475*44/12</f>
        <v>3.0299118880411667E-14</v>
      </c>
      <c r="AC132" s="22">
        <f t="shared" ref="AC132:AC153" si="111">SUM(Z132:AB132)</f>
        <v>1.6668503140262858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2.2737367544323206E-13</v>
      </c>
      <c r="AJ132" s="13">
        <f>AI132*VLOOKUP('Données projet'!$B$10,Paramètres!$A$1:$I$89,3,0)*VLOOKUP('Données projet'!$B$10,Paramètres!$A$1:$I$89,5,0)</f>
        <v>1.2414602679200471E-13</v>
      </c>
      <c r="AK132" s="13">
        <f t="shared" si="89"/>
        <v>1.8186582995804361E-12</v>
      </c>
      <c r="AL132" s="20">
        <f t="shared" ref="AL132:AL153" si="112">(AJ132+AK132)*0.475*44/12</f>
        <v>3.3837175350986671E-12</v>
      </c>
      <c r="AM132" s="59">
        <f t="shared" ref="AM132:AM195" si="113">AL132+(AD132+AE132)*44/12</f>
        <v>293.33333333333672</v>
      </c>
      <c r="AN132" s="59">
        <f ca="1">AVERAGE(OFFSET($AM$3,0,0,'Données projet'!$E$10+1,1))-AVERAGE(OFFSET($H$3,0,0,'Données projet'!$E$10+1,1))</f>
        <v>168.72306536277267</v>
      </c>
      <c r="AO132" s="59">
        <f t="shared" si="90"/>
        <v>203.35476578922339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0.4282382391852651</v>
      </c>
      <c r="AV132" s="21">
        <f>EXP(-LN(2)/25)*AV131+(1-EXP(-LN(2)/25))/(LN(2)/25)*Calculateur!AQ132*Calculateur!AS132*VLOOKUP('Données projet'!$B$10,Paramètres!$A$1:$I$89,3,0)*0.475*44/12</f>
        <v>1.4769511536143194</v>
      </c>
      <c r="AW132" s="21">
        <f>EXP(-LN(2)/2)*AW131+(1-EXP(-LN(2)/2))/(LN(2)/2)*AQ132*AT132*VLOOKUP('Données projet'!$B$10,Paramètres!$A$1:$I$89,3,0)*0.475*44/12</f>
        <v>2.5151432460146352E-14</v>
      </c>
      <c r="AX132" s="21">
        <f t="shared" ref="AX132:AX153" si="114">SUM(AU132:AW132)</f>
        <v>1.9051893927996095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3.3992364478763198E-14</v>
      </c>
      <c r="BF132" s="13">
        <f t="shared" si="91"/>
        <v>5.790027782444094E-13</v>
      </c>
      <c r="BG132" s="20">
        <f t="shared" ref="BG132:BG153" si="115">(BE132+BF132)*0.475*44/12</f>
        <v>1.0676332069095257E-12</v>
      </c>
      <c r="BH132" s="59">
        <f t="shared" ref="BH132:BH195" si="116">BG132+(AY132+AZ132)*44/12</f>
        <v>293.33333333333439</v>
      </c>
      <c r="BI132" s="59">
        <f ca="1">AVERAGE(OFFSET($BH$3,0,0,'Données projet'!$E$11+1,1))-AVERAGE(OFFSET($H$3,0,0,'Données projet'!$E$11+1,1))</f>
        <v>165.39579887388538</v>
      </c>
      <c r="BJ132" s="59">
        <f t="shared" si="92"/>
        <v>155.89639262545802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0.46838585839126801</v>
      </c>
      <c r="BR132" s="21">
        <f>EXP(-LN(2)/2)*BR131+(1-EXP(-LN(2)/2))/(LN(2)/2)*BL132*BO132*VLOOKUP('Données projet'!$B$11,Paramètres!$A$1:$I$89,3,0)*0.475*44/12</f>
        <v>1.7434351547501326E-14</v>
      </c>
      <c r="BS132" s="22">
        <f t="shared" ref="BS132:BS153" si="117">SUM(BP132:BR132)</f>
        <v>0.46838585839128544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2.8421709430404007E-14</v>
      </c>
      <c r="BZ132" s="13">
        <f>BY132*VLOOKUP('Données projet'!$B$12,Paramètres!$A$1:$I$89,3,0)*VLOOKUP('Données projet'!$B$12,Paramètres!$A$1:$I$89,5,0)</f>
        <v>2.7489477361086758E-14</v>
      </c>
      <c r="CA132" s="13">
        <f t="shared" si="93"/>
        <v>4.7995394886724981E-13</v>
      </c>
      <c r="CB132" s="20">
        <f t="shared" ref="CB132:CB153" si="118">(BZ132+CA132)*0.475*44/12</f>
        <v>8.8379730068101964E-13</v>
      </c>
      <c r="CC132" s="59">
        <f t="shared" ref="CC132:CC195" si="119">CB132+(BT132+BU132)*44/12</f>
        <v>293.33333333333422</v>
      </c>
      <c r="CD132" s="59">
        <f ca="1">AVERAGE(OFFSET($CC$3,0,0,'Données projet'!$E$12+1,1))-AVERAGE(OFFSET($H$3,0,0,'Données projet'!$E$12+1,1))</f>
        <v>156.26368818265388</v>
      </c>
      <c r="CE132" s="59">
        <f t="shared" si="94"/>
        <v>56.347130462109817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2.8421709430404007E-14</v>
      </c>
      <c r="CU132" s="17">
        <f>CT132*VLOOKUP('Données projet'!$B$13,Paramètres!$A$1:$I$89,3,0)*VLOOKUP('Données projet'!$B$13,Paramètres!$A$1:$I$89,5,0)</f>
        <v>2.3055690689943732E-14</v>
      </c>
      <c r="CV132" s="13">
        <f t="shared" si="95"/>
        <v>4.10868481342271E-13</v>
      </c>
      <c r="CW132" s="20">
        <f t="shared" ref="CW132:CW153" si="121">(CU132+CV132)*0.475*44/12</f>
        <v>7.5575126628944061E-13</v>
      </c>
      <c r="CX132" s="59">
        <f t="shared" ref="CX132:CX195" si="122">CW132+(CO132+CP132)*44/12</f>
        <v>293.33333333333405</v>
      </c>
      <c r="CY132" s="59">
        <f ca="1">AVERAGE(OFFSET($CX$3,0,0,'Données projet'!$E$13+1,1))-AVERAGE(OFFSET($H$3,0,0,'Données projet'!$E$13+1,1))</f>
        <v>112.78807760743126</v>
      </c>
      <c r="CZ132" s="59">
        <f t="shared" si="96"/>
        <v>37.867745922003564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-8.5265128291212022E-14</v>
      </c>
      <c r="DP132" s="17">
        <f>DO132*VLOOKUP('Données projet'!$B$14,Paramètres!$A$1:$I$89,3,0)*VLOOKUP('Données projet'!$B$14,Paramètres!$A$1:$I$89,5,0)</f>
        <v>-5.7195848057745024E-14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107.15837202366862</v>
      </c>
      <c r="DU132" s="59">
        <f t="shared" si="98"/>
        <v>139.67031833740026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0.36421274732546943</v>
      </c>
      <c r="EC132" s="21">
        <f>EXP(-LN(2)/2)*EC131+(1-EXP(-LN(2)/2))/(LN(2)/2)*DW132*DZ132*VLOOKUP('Données projet'!$B$14,Paramètres!$A$1:$I$89,3,0)*0.475*44/12</f>
        <v>8.4778405361925893E-15</v>
      </c>
      <c r="ED132" s="22">
        <f t="shared" ref="ED132:ED153" si="126">SUM(EA132:EC132)</f>
        <v>0.36421274732547793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-1.1368683772161603E-13</v>
      </c>
      <c r="EK132" s="17">
        <f>EJ132*VLOOKUP('Données projet'!$B$15,Paramètres!$A$1:$I$89,3,0)*VLOOKUP('Données projet'!$B$15,Paramètres!$A$1:$I$89,5,0)</f>
        <v>-5.3205440053716299E-14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123.60520571614535</v>
      </c>
      <c r="EP132" s="59">
        <f t="shared" si="100"/>
        <v>119.00926870519527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0.12209159594730941</v>
      </c>
      <c r="EW132" s="21">
        <f>EXP(-LN(2)/25)*EW131+(1-EXP(-LN(2)/25))/(LN(2)/25)*Calculateur!ER132*Calculateur!ET132*VLOOKUP('Données projet'!$B$15,Paramètres!$A$1:$I$89,3,0)*0.475*44/12</f>
        <v>0.30694069720882738</v>
      </c>
      <c r="EX132" s="21">
        <f>EXP(-LN(2)/2)*EX131+(1-EXP(-LN(2)/2))/(LN(2)/2)*ER132*EU132*VLOOKUP('Données projet'!$B$15,Paramètres!$A$1:$I$89,3,0)*0.475*44/12</f>
        <v>7.6792725892996668E-15</v>
      </c>
      <c r="EY132" s="22">
        <f t="shared" ref="EY132:EY153" si="129">SUM(EV132:EX132)</f>
        <v>0.42903229315614444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-2.2737367544323206E-13</v>
      </c>
      <c r="FF132" s="17">
        <f>FE132*VLOOKUP('Données projet'!$B$16,Paramètres!$A$1:$I$89,3,0)*VLOOKUP('Données projet'!$B$16,Paramètres!$A$1:$I$89,5,0)</f>
        <v>-1.0936673788819462E-13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197.66963254934603</v>
      </c>
      <c r="FK132" s="59">
        <f t="shared" si="102"/>
        <v>158.08388141976138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0.37546103215642362</v>
      </c>
      <c r="FR132" s="21">
        <f>EXP(-LN(2)/25)*FR131+(1-EXP(-LN(2)/25))/(LN(2)/25)*Calculateur!FM132*Calculateur!FO132*VLOOKUP('Données projet'!$B$16,Paramètres!$A$1:$I$89,3,0)*0.475*44/12</f>
        <v>0.34141890825400567</v>
      </c>
      <c r="FS132" s="21">
        <f>EXP(-LN(2)/2)*FS131+(1-EXP(-LN(2)/2))/(LN(2)/2)*FM132*FP132*VLOOKUP('Données projet'!$B$16,Paramètres!$A$1:$I$89,3,0)*0.475*44/12</f>
        <v>1.0397751124405879E-14</v>
      </c>
      <c r="FT132" s="22">
        <f t="shared" ref="FT132:FT153" si="132">SUM(FQ132:FS132)</f>
        <v>0.71687994041043979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5.6843418860808015E-14</v>
      </c>
      <c r="GA132" s="17">
        <f>FZ132*VLOOKUP('Données projet'!$B$17,Paramètres!$A$1:$I$89,3,0)*VLOOKUP('Données projet'!$B$17,Paramètres!$A$1:$I$89,5,0)</f>
        <v>3.3992364478763198E-14</v>
      </c>
      <c r="GB132" s="13">
        <f t="shared" si="103"/>
        <v>5.790027782444094E-13</v>
      </c>
      <c r="GC132" s="20">
        <f t="shared" ref="GC132:GC153" si="133">(GA132+GB132)*0.475*44/12</f>
        <v>1.0676332069095257E-12</v>
      </c>
      <c r="GD132" s="59">
        <f t="shared" ref="GD132:GD195" si="134">GC132+(FU132+FV132)*44/12</f>
        <v>293.33333333333439</v>
      </c>
      <c r="GE132" s="59">
        <f ca="1">AVERAGE(OFFSET($GD$3,0,0,'Données projet'!$E$17+1,1))-AVERAGE(OFFSET($H$3,0,0,'Données projet'!$E$17+1,1))</f>
        <v>165.39579887388538</v>
      </c>
      <c r="GF132" s="59">
        <f t="shared" si="104"/>
        <v>155.89639262545802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0.46838585839126801</v>
      </c>
      <c r="GN132" s="21">
        <f>EXP(-LN(2)/2)*GN131+(1-EXP(-LN(2)/2))/(LN(2)/2)*GH132*GK132*VLOOKUP('Données projet'!$B$17,Paramètres!$A$1:$I$89,3,0)*0.475*44/12</f>
        <v>1.7434351547501326E-14</v>
      </c>
      <c r="GO132" s="21">
        <f t="shared" ref="GO132:GO153" si="135">SUM(GL132:GN132)</f>
        <v>0.46838585839128544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2.8421709430404007E-14</v>
      </c>
      <c r="GV132" s="17">
        <f>GU132*VLOOKUP('Données projet'!$B$18,Paramètres!$A$1:$I$89,3,0)*VLOOKUP('Données projet'!$B$18,Paramètres!$A$1:$I$89,5,0)</f>
        <v>3.0593128030886874E-14</v>
      </c>
      <c r="GW132" s="13">
        <f t="shared" si="105"/>
        <v>5.2753263159251616E-13</v>
      </c>
      <c r="GX132" s="20">
        <f t="shared" ref="GX132:GX153" si="136">(GV132+GW132)*0.475*44/12</f>
        <v>9.7206903134409357E-13</v>
      </c>
      <c r="GY132" s="59">
        <f t="shared" ref="GY132:GY195" si="137">GX132+(GP132+GQ132)*44/12</f>
        <v>293.33333333333428</v>
      </c>
      <c r="GZ132" s="59">
        <f ca="1">AVERAGE(OFFSET($GY$3,0,0,'Données projet'!$E$18+1,1))-AVERAGE(OFFSET($H$3,0,0,'Données projet'!$E$18+1,1))</f>
        <v>186.60545265015247</v>
      </c>
      <c r="HA132" s="59">
        <f t="shared" si="106"/>
        <v>69.239647548491234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0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0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1.9065282685915009E-13</v>
      </c>
      <c r="P133" s="13">
        <f t="shared" ref="P133:P196" si="141">EXP(-1.0587+0.8836*LN(O133)+0.284)</f>
        <v>2.6568987209435707E-12</v>
      </c>
      <c r="Q133" s="20">
        <f t="shared" si="108"/>
        <v>4.959485612423072E-12</v>
      </c>
      <c r="R133" s="59">
        <f t="shared" si="109"/>
        <v>293.33333333333826</v>
      </c>
      <c r="S133" s="59">
        <f ca="1">AVERAGE(OFFSET($R$3,0,0,'Données projet'!$E$9+1,1))-AVERAGE(OFFSET($H$3,0,0,'Données projet'!$E$9+1,1))</f>
        <v>235.10258076192054</v>
      </c>
      <c r="T133" s="59">
        <f t="shared" ref="T133:T196" si="142">$T$3</f>
        <v>233.47316052603765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0.47282065249357191</v>
      </c>
      <c r="AA133" s="21">
        <f>EXP(-LN(2)/25)*AA132+(1-EXP(-LN(2)/25))/(LN(2)/25)*Calculateur!V133*Calculateur!X133*VLOOKUP('Données projet'!$B$9,Paramètres!$A$1:$I$89,3,0)*0.475*44/12</f>
        <v>1.152180290550167</v>
      </c>
      <c r="AB133" s="21">
        <f>EXP(-LN(2)/2)*AB132+(1-EXP(-LN(2)/2))/(LN(2)/2)*V133*Y133*VLOOKUP('Données projet'!$B$9,Paramètres!$A$1:$I$89,3,0)*0.475*44/12</f>
        <v>2.1424712424316444E-14</v>
      </c>
      <c r="AC133" s="22">
        <f t="shared" si="111"/>
        <v>1.6250009430437602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2.2737367544323206E-13</v>
      </c>
      <c r="AJ133" s="13">
        <f>AI133*VLOOKUP('Données projet'!$B$10,Paramètres!$A$1:$I$89,3,0)*VLOOKUP('Données projet'!$B$10,Paramètres!$A$1:$I$89,5,0)</f>
        <v>1.2414602679200471E-13</v>
      </c>
      <c r="AK133" s="13">
        <f t="shared" ref="AK133:AK153" si="143">EXP(-1.0587+0.8836*LN(AJ133)+0.284)</f>
        <v>1.8186582995804361E-12</v>
      </c>
      <c r="AL133" s="20">
        <f t="shared" si="112"/>
        <v>3.3837175350986671E-12</v>
      </c>
      <c r="AM133" s="59">
        <f t="shared" si="113"/>
        <v>293.33333333333672</v>
      </c>
      <c r="AN133" s="59">
        <f ca="1">AVERAGE(OFFSET($AM$3,0,0,'Données projet'!$E$10+1,1))-AVERAGE(OFFSET($H$3,0,0,'Données projet'!$E$10+1,1))</f>
        <v>168.72306536277267</v>
      </c>
      <c r="AO133" s="59">
        <f t="shared" ref="AO133:AO196" si="144">$AO$3</f>
        <v>203.35476578922339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0.41984074851437664</v>
      </c>
      <c r="AV133" s="21">
        <f>EXP(-LN(2)/25)*AV132+(1-EXP(-LN(2)/25))/(LN(2)/25)*Calculateur!AQ133*Calculateur!AS133*VLOOKUP('Données projet'!$B$10,Paramètres!$A$1:$I$89,3,0)*0.475*44/12</f>
        <v>1.4365638466492503</v>
      </c>
      <c r="AW133" s="21">
        <f>EXP(-LN(2)/2)*AW132+(1-EXP(-LN(2)/2))/(LN(2)/2)*AQ133*AT133*VLOOKUP('Données projet'!$B$10,Paramètres!$A$1:$I$89,3,0)*0.475*44/12</f>
        <v>1.7784748449124935E-14</v>
      </c>
      <c r="AX133" s="21">
        <f t="shared" si="114"/>
        <v>1.8564045951636448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3.3992364478763198E-14</v>
      </c>
      <c r="BF133" s="13">
        <f t="shared" ref="BF133:BF153" si="145">EXP(-1.0587+0.8836*LN(BE133)+0.284)</f>
        <v>5.790027782444094E-13</v>
      </c>
      <c r="BG133" s="20">
        <f t="shared" si="115"/>
        <v>1.0676332069095257E-12</v>
      </c>
      <c r="BH133" s="59">
        <f t="shared" si="116"/>
        <v>293.33333333333439</v>
      </c>
      <c r="BI133" s="59">
        <f ca="1">AVERAGE(OFFSET($BH$3,0,0,'Données projet'!$E$11+1,1))-AVERAGE(OFFSET($H$3,0,0,'Données projet'!$E$11+1,1))</f>
        <v>165.39579887388538</v>
      </c>
      <c r="BJ133" s="59">
        <f t="shared" ref="BJ133:BJ196" si="146">$BJ$3</f>
        <v>155.89639262545802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0.45557782246221701</v>
      </c>
      <c r="BR133" s="21">
        <f>EXP(-LN(2)/2)*BR132+(1-EXP(-LN(2)/2))/(LN(2)/2)*BL133*BO133*VLOOKUP('Données projet'!$B$11,Paramètres!$A$1:$I$89,3,0)*0.475*44/12</f>
        <v>1.2327948204828367E-14</v>
      </c>
      <c r="BS133" s="22">
        <f t="shared" si="117"/>
        <v>0.45557782246222933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2.8421709430404007E-14</v>
      </c>
      <c r="BZ133" s="13">
        <f>BY133*VLOOKUP('Données projet'!$B$12,Paramètres!$A$1:$I$89,3,0)*VLOOKUP('Données projet'!$B$12,Paramètres!$A$1:$I$89,5,0)</f>
        <v>2.7489477361086758E-14</v>
      </c>
      <c r="CA133" s="13">
        <f t="shared" ref="CA133:CA153" si="147">EXP(-1.0587+0.8836*LN(BZ133)+0.284)</f>
        <v>4.7995394886724981E-13</v>
      </c>
      <c r="CB133" s="20">
        <f t="shared" si="118"/>
        <v>8.8379730068101964E-13</v>
      </c>
      <c r="CC133" s="59">
        <f t="shared" si="119"/>
        <v>293.33333333333422</v>
      </c>
      <c r="CD133" s="59">
        <f ca="1">AVERAGE(OFFSET($CC$3,0,0,'Données projet'!$E$12+1,1))-AVERAGE(OFFSET($H$3,0,0,'Données projet'!$E$12+1,1))</f>
        <v>156.26368818265388</v>
      </c>
      <c r="CE133" s="59">
        <f t="shared" ref="CE133:CE196" si="148">$CE$3</f>
        <v>56.347130462109817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2.8421709430404007E-14</v>
      </c>
      <c r="CU133" s="17">
        <f>CT133*VLOOKUP('Données projet'!$B$13,Paramètres!$A$1:$I$89,3,0)*VLOOKUP('Données projet'!$B$13,Paramètres!$A$1:$I$89,5,0)</f>
        <v>2.3055690689943732E-14</v>
      </c>
      <c r="CV133" s="13">
        <f t="shared" ref="CV133:CV153" si="149">EXP(-1.0587+0.8836*LN(CU133)+0.284)</f>
        <v>4.10868481342271E-13</v>
      </c>
      <c r="CW133" s="20">
        <f t="shared" si="121"/>
        <v>7.5575126628944061E-13</v>
      </c>
      <c r="CX133" s="59">
        <f t="shared" si="122"/>
        <v>293.33333333333405</v>
      </c>
      <c r="CY133" s="59">
        <f ca="1">AVERAGE(OFFSET($CX$3,0,0,'Données projet'!$E$13+1,1))-AVERAGE(OFFSET($H$3,0,0,'Données projet'!$E$13+1,1))</f>
        <v>112.78807760743126</v>
      </c>
      <c r="CZ133" s="59">
        <f t="shared" ref="CZ133:CZ196" si="150">$CZ$3</f>
        <v>37.867745922003564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-8.5265128291212022E-14</v>
      </c>
      <c r="DP133" s="17">
        <f>DO133*VLOOKUP('Données projet'!$B$14,Paramètres!$A$1:$I$89,3,0)*VLOOKUP('Données projet'!$B$14,Paramètres!$A$1:$I$89,5,0)</f>
        <v>-5.7195848057745024E-14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107.15837202366862</v>
      </c>
      <c r="DU133" s="59">
        <f t="shared" ref="DU133:DU196" si="152">$DU$3</f>
        <v>139.67031833740026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0.35425333059673852</v>
      </c>
      <c r="EC133" s="21">
        <f>EXP(-LN(2)/2)*EC132+(1-EXP(-LN(2)/2))/(LN(2)/2)*DW133*DZ133*VLOOKUP('Données projet'!$B$14,Paramètres!$A$1:$I$89,3,0)*0.475*44/12</f>
        <v>5.994738532959976E-15</v>
      </c>
      <c r="ED133" s="22">
        <f t="shared" si="126"/>
        <v>0.35425333059674452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-1.1368683772161603E-13</v>
      </c>
      <c r="EK133" s="17">
        <f>EJ133*VLOOKUP('Données projet'!$B$15,Paramètres!$A$1:$I$89,3,0)*VLOOKUP('Données projet'!$B$15,Paramètres!$A$1:$I$89,5,0)</f>
        <v>-5.3205440053716299E-14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123.60520571614535</v>
      </c>
      <c r="EP133" s="59">
        <f t="shared" ref="EP133:EP196" si="154">$EP$3</f>
        <v>119.00926870519527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0.11969745421930304</v>
      </c>
      <c r="EW133" s="21">
        <f>EXP(-LN(2)/25)*EW132+(1-EXP(-LN(2)/25))/(LN(2)/25)*Calculateur!ER133*Calculateur!ET133*VLOOKUP('Données projet'!$B$15,Paramètres!$A$1:$I$89,3,0)*0.475*44/12</f>
        <v>0.29854738770234224</v>
      </c>
      <c r="EX133" s="21">
        <f>EXP(-LN(2)/2)*EX132+(1-EXP(-LN(2)/2))/(LN(2)/2)*ER133*EU133*VLOOKUP('Données projet'!$B$15,Paramètres!$A$1:$I$89,3,0)*0.475*44/12</f>
        <v>5.4300657224737718E-15</v>
      </c>
      <c r="EY133" s="22">
        <f t="shared" si="129"/>
        <v>0.41824484192165073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-2.2737367544323206E-13</v>
      </c>
      <c r="FF133" s="17">
        <f>FE133*VLOOKUP('Données projet'!$B$16,Paramètres!$A$1:$I$89,3,0)*VLOOKUP('Données projet'!$B$16,Paramètres!$A$1:$I$89,5,0)</f>
        <v>-1.0936673788819462E-13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197.66963254934603</v>
      </c>
      <c r="FK133" s="59">
        <f t="shared" ref="FK133:FK196" si="156">$FK$3</f>
        <v>158.08388141976138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0.36809847032445303</v>
      </c>
      <c r="FR133" s="21">
        <f>EXP(-LN(2)/25)*FR132+(1-EXP(-LN(2)/25))/(LN(2)/25)*Calculateur!FM133*Calculateur!FO133*VLOOKUP('Données projet'!$B$16,Paramètres!$A$1:$I$89,3,0)*0.475*44/12</f>
        <v>0.33208279025335985</v>
      </c>
      <c r="FS133" s="21">
        <f>EXP(-LN(2)/2)*FS132+(1-EXP(-LN(2)/2))/(LN(2)/2)*FM133*FP133*VLOOKUP('Données projet'!$B$16,Paramètres!$A$1:$I$89,3,0)*0.475*44/12</f>
        <v>7.3523203291574463E-15</v>
      </c>
      <c r="FT133" s="22">
        <f t="shared" si="132"/>
        <v>0.70018126057782015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5.6843418860808015E-14</v>
      </c>
      <c r="GA133" s="17">
        <f>FZ133*VLOOKUP('Données projet'!$B$17,Paramètres!$A$1:$I$89,3,0)*VLOOKUP('Données projet'!$B$17,Paramètres!$A$1:$I$89,5,0)</f>
        <v>3.3992364478763198E-14</v>
      </c>
      <c r="GB133" s="13">
        <f t="shared" ref="GB133:GB153" si="157">EXP(-1.0587+0.8836*LN(GA133)+0.284)</f>
        <v>5.790027782444094E-13</v>
      </c>
      <c r="GC133" s="20">
        <f t="shared" si="133"/>
        <v>1.0676332069095257E-12</v>
      </c>
      <c r="GD133" s="59">
        <f t="shared" si="134"/>
        <v>293.33333333333439</v>
      </c>
      <c r="GE133" s="59">
        <f ca="1">AVERAGE(OFFSET($GD$3,0,0,'Données projet'!$E$17+1,1))-AVERAGE(OFFSET($H$3,0,0,'Données projet'!$E$17+1,1))</f>
        <v>165.39579887388538</v>
      </c>
      <c r="GF133" s="59">
        <f t="shared" ref="GF133:GF196" si="158">$GF$3</f>
        <v>155.89639262545802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0.45557782246221701</v>
      </c>
      <c r="GN133" s="21">
        <f>EXP(-LN(2)/2)*GN132+(1-EXP(-LN(2)/2))/(LN(2)/2)*GH133*GK133*VLOOKUP('Données projet'!$B$17,Paramètres!$A$1:$I$89,3,0)*0.475*44/12</f>
        <v>1.2327948204828367E-14</v>
      </c>
      <c r="GO133" s="21">
        <f t="shared" si="135"/>
        <v>0.45557782246222933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2.8421709430404007E-14</v>
      </c>
      <c r="GV133" s="17">
        <f>GU133*VLOOKUP('Données projet'!$B$18,Paramètres!$A$1:$I$89,3,0)*VLOOKUP('Données projet'!$B$18,Paramètres!$A$1:$I$89,5,0)</f>
        <v>3.0593128030886874E-14</v>
      </c>
      <c r="GW133" s="13">
        <f t="shared" ref="GW133:GW153" si="159">EXP(-1.0587+0.8836*LN(GV133)+0.284)</f>
        <v>5.2753263159251616E-13</v>
      </c>
      <c r="GX133" s="20">
        <f t="shared" si="136"/>
        <v>9.7206903134409357E-13</v>
      </c>
      <c r="GY133" s="59">
        <f t="shared" si="137"/>
        <v>293.33333333333428</v>
      </c>
      <c r="GZ133" s="59">
        <f ca="1">AVERAGE(OFFSET($GY$3,0,0,'Données projet'!$E$18+1,1))-AVERAGE(OFFSET($H$3,0,0,'Données projet'!$E$18+1,1))</f>
        <v>186.60545265015247</v>
      </c>
      <c r="HA133" s="59">
        <f t="shared" ref="HA133:HA196" si="160">$HA$3</f>
        <v>69.239647548491234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0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0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1.9065282685915009E-13</v>
      </c>
      <c r="P134" s="13">
        <f t="shared" si="141"/>
        <v>2.6568987209435707E-12</v>
      </c>
      <c r="Q134" s="20">
        <f t="shared" si="108"/>
        <v>4.959485612423072E-12</v>
      </c>
      <c r="R134" s="59">
        <f t="shared" si="109"/>
        <v>293.33333333333826</v>
      </c>
      <c r="S134" s="59">
        <f ca="1">AVERAGE(OFFSET($R$3,0,0,'Données projet'!$E$9+1,1))-AVERAGE(OFFSET($H$3,0,0,'Données projet'!$E$9+1,1))</f>
        <v>235.10258076192054</v>
      </c>
      <c r="T134" s="59">
        <f t="shared" si="142"/>
        <v>233.47316052603765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0.46354892789029462</v>
      </c>
      <c r="AA134" s="21">
        <f>EXP(-LN(2)/25)*AA133+(1-EXP(-LN(2)/25))/(LN(2)/25)*Calculateur!V134*Calculateur!X134*VLOOKUP('Données projet'!$B$9,Paramètres!$A$1:$I$89,3,0)*0.475*44/12</f>
        <v>1.1206738599145445</v>
      </c>
      <c r="AB134" s="21">
        <f>EXP(-LN(2)/2)*AB133+(1-EXP(-LN(2)/2))/(LN(2)/2)*V134*Y134*VLOOKUP('Données projet'!$B$9,Paramètres!$A$1:$I$89,3,0)*0.475*44/12</f>
        <v>1.5149559440205834E-14</v>
      </c>
      <c r="AC134" s="22">
        <f t="shared" si="111"/>
        <v>1.5842227878048543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2.2737367544323206E-13</v>
      </c>
      <c r="AJ134" s="13">
        <f>AI134*VLOOKUP('Données projet'!$B$10,Paramètres!$A$1:$I$89,3,0)*VLOOKUP('Données projet'!$B$10,Paramètres!$A$1:$I$89,5,0)</f>
        <v>1.2414602679200471E-13</v>
      </c>
      <c r="AK134" s="13">
        <f t="shared" si="143"/>
        <v>1.8186582995804361E-12</v>
      </c>
      <c r="AL134" s="20">
        <f t="shared" si="112"/>
        <v>3.3837175350986671E-12</v>
      </c>
      <c r="AM134" s="59">
        <f t="shared" si="113"/>
        <v>293.33333333333672</v>
      </c>
      <c r="AN134" s="59">
        <f ca="1">AVERAGE(OFFSET($AM$3,0,0,'Données projet'!$E$10+1,1))-AVERAGE(OFFSET($H$3,0,0,'Données projet'!$E$10+1,1))</f>
        <v>168.72306536277267</v>
      </c>
      <c r="AO134" s="59">
        <f t="shared" si="144"/>
        <v>203.35476578922339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0.41160792751358077</v>
      </c>
      <c r="AV134" s="21">
        <f>EXP(-LN(2)/25)*AV133+(1-EXP(-LN(2)/25))/(LN(2)/25)*Calculateur!AQ134*Calculateur!AS134*VLOOKUP('Données projet'!$B$10,Paramètres!$A$1:$I$89,3,0)*0.475*44/12</f>
        <v>1.3972809327170173</v>
      </c>
      <c r="AW134" s="21">
        <f>EXP(-LN(2)/2)*AW133+(1-EXP(-LN(2)/2))/(LN(2)/2)*AQ134*AT134*VLOOKUP('Données projet'!$B$10,Paramètres!$A$1:$I$89,3,0)*0.475*44/12</f>
        <v>1.2575716230073176E-14</v>
      </c>
      <c r="AX134" s="21">
        <f t="shared" si="114"/>
        <v>1.8088888602306106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3.3992364478763198E-14</v>
      </c>
      <c r="BF134" s="13">
        <f t="shared" si="145"/>
        <v>5.790027782444094E-13</v>
      </c>
      <c r="BG134" s="20">
        <f t="shared" si="115"/>
        <v>1.0676332069095257E-12</v>
      </c>
      <c r="BH134" s="59">
        <f t="shared" si="116"/>
        <v>293.33333333333439</v>
      </c>
      <c r="BI134" s="59">
        <f ca="1">AVERAGE(OFFSET($BH$3,0,0,'Données projet'!$E$11+1,1))-AVERAGE(OFFSET($H$3,0,0,'Données projet'!$E$11+1,1))</f>
        <v>165.39579887388538</v>
      </c>
      <c r="BJ134" s="59">
        <f t="shared" si="146"/>
        <v>155.89639262545802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0.44312002294919123</v>
      </c>
      <c r="BR134" s="21">
        <f>EXP(-LN(2)/2)*BR133+(1-EXP(-LN(2)/2))/(LN(2)/2)*BL134*BO134*VLOOKUP('Données projet'!$B$11,Paramètres!$A$1:$I$89,3,0)*0.475*44/12</f>
        <v>8.717175773750663E-15</v>
      </c>
      <c r="BS134" s="22">
        <f t="shared" si="117"/>
        <v>0.44312002294919994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2.8421709430404007E-14</v>
      </c>
      <c r="BZ134" s="13">
        <f>BY134*VLOOKUP('Données projet'!$B$12,Paramètres!$A$1:$I$89,3,0)*VLOOKUP('Données projet'!$B$12,Paramètres!$A$1:$I$89,5,0)</f>
        <v>2.7489477361086758E-14</v>
      </c>
      <c r="CA134" s="13">
        <f t="shared" si="147"/>
        <v>4.7995394886724981E-13</v>
      </c>
      <c r="CB134" s="20">
        <f t="shared" si="118"/>
        <v>8.8379730068101964E-13</v>
      </c>
      <c r="CC134" s="59">
        <f t="shared" si="119"/>
        <v>293.33333333333422</v>
      </c>
      <c r="CD134" s="59">
        <f ca="1">AVERAGE(OFFSET($CC$3,0,0,'Données projet'!$E$12+1,1))-AVERAGE(OFFSET($H$3,0,0,'Données projet'!$E$12+1,1))</f>
        <v>156.26368818265388</v>
      </c>
      <c r="CE134" s="59">
        <f t="shared" si="148"/>
        <v>56.347130462109817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2.8421709430404007E-14</v>
      </c>
      <c r="CU134" s="17">
        <f>CT134*VLOOKUP('Données projet'!$B$13,Paramètres!$A$1:$I$89,3,0)*VLOOKUP('Données projet'!$B$13,Paramètres!$A$1:$I$89,5,0)</f>
        <v>2.3055690689943732E-14</v>
      </c>
      <c r="CV134" s="13">
        <f t="shared" si="149"/>
        <v>4.10868481342271E-13</v>
      </c>
      <c r="CW134" s="20">
        <f t="shared" si="121"/>
        <v>7.5575126628944061E-13</v>
      </c>
      <c r="CX134" s="59">
        <f t="shared" si="122"/>
        <v>293.33333333333405</v>
      </c>
      <c r="CY134" s="59">
        <f ca="1">AVERAGE(OFFSET($CX$3,0,0,'Données projet'!$E$13+1,1))-AVERAGE(OFFSET($H$3,0,0,'Données projet'!$E$13+1,1))</f>
        <v>112.78807760743126</v>
      </c>
      <c r="CZ134" s="59">
        <f t="shared" si="150"/>
        <v>37.867745922003564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-8.5265128291212022E-14</v>
      </c>
      <c r="DP134" s="17">
        <f>DO134*VLOOKUP('Données projet'!$B$14,Paramètres!$A$1:$I$89,3,0)*VLOOKUP('Données projet'!$B$14,Paramètres!$A$1:$I$89,5,0)</f>
        <v>-5.7195848057745024E-14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107.15837202366862</v>
      </c>
      <c r="DU134" s="59">
        <f t="shared" si="152"/>
        <v>139.67031833740026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0.3445662546421977</v>
      </c>
      <c r="EC134" s="21">
        <f>EXP(-LN(2)/2)*EC133+(1-EXP(-LN(2)/2))/(LN(2)/2)*DW134*DZ134*VLOOKUP('Données projet'!$B$14,Paramètres!$A$1:$I$89,3,0)*0.475*44/12</f>
        <v>4.2389202680962946E-15</v>
      </c>
      <c r="ED134" s="22">
        <f t="shared" si="126"/>
        <v>0.34456625464220192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-1.1368683772161603E-13</v>
      </c>
      <c r="EK134" s="17">
        <f>EJ134*VLOOKUP('Données projet'!$B$15,Paramètres!$A$1:$I$89,3,0)*VLOOKUP('Données projet'!$B$15,Paramètres!$A$1:$I$89,5,0)</f>
        <v>-5.3205440053716299E-14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123.60520571614535</v>
      </c>
      <c r="EP134" s="59">
        <f t="shared" si="154"/>
        <v>119.00926870519527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0.11735026015030062</v>
      </c>
      <c r="EW134" s="21">
        <f>EXP(-LN(2)/25)*EW133+(1-EXP(-LN(2)/25))/(LN(2)/25)*Calculateur!ER134*Calculateur!ET134*VLOOKUP('Données projet'!$B$15,Paramètres!$A$1:$I$89,3,0)*0.475*44/12</f>
        <v>0.29038359368569688</v>
      </c>
      <c r="EX134" s="21">
        <f>EXP(-LN(2)/2)*EX133+(1-EXP(-LN(2)/2))/(LN(2)/2)*ER134*EU134*VLOOKUP('Données projet'!$B$15,Paramètres!$A$1:$I$89,3,0)*0.475*44/12</f>
        <v>3.8396362946498334E-15</v>
      </c>
      <c r="EY134" s="22">
        <f t="shared" si="129"/>
        <v>0.4077338538360013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-2.2737367544323206E-13</v>
      </c>
      <c r="FF134" s="17">
        <f>FE134*VLOOKUP('Données projet'!$B$16,Paramètres!$A$1:$I$89,3,0)*VLOOKUP('Données projet'!$B$16,Paramètres!$A$1:$I$89,5,0)</f>
        <v>-1.0936673788819462E-13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197.66963254934603</v>
      </c>
      <c r="FK134" s="59">
        <f t="shared" si="156"/>
        <v>158.08388141976138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0.36088028383928811</v>
      </c>
      <c r="FR134" s="21">
        <f>EXP(-LN(2)/25)*FR133+(1-EXP(-LN(2)/25))/(LN(2)/25)*Calculateur!FM134*Calculateur!FO134*VLOOKUP('Données projet'!$B$16,Paramètres!$A$1:$I$89,3,0)*0.475*44/12</f>
        <v>0.32300196889040678</v>
      </c>
      <c r="FS134" s="21">
        <f>EXP(-LN(2)/2)*FS133+(1-EXP(-LN(2)/2))/(LN(2)/2)*FM134*FP134*VLOOKUP('Données projet'!$B$16,Paramètres!$A$1:$I$89,3,0)*0.475*44/12</f>
        <v>5.1988755622029396E-15</v>
      </c>
      <c r="FT134" s="22">
        <f t="shared" si="132"/>
        <v>0.68388225272970005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5.6843418860808015E-14</v>
      </c>
      <c r="GA134" s="17">
        <f>FZ134*VLOOKUP('Données projet'!$B$17,Paramètres!$A$1:$I$89,3,0)*VLOOKUP('Données projet'!$B$17,Paramètres!$A$1:$I$89,5,0)</f>
        <v>3.3992364478763198E-14</v>
      </c>
      <c r="GB134" s="13">
        <f t="shared" si="157"/>
        <v>5.790027782444094E-13</v>
      </c>
      <c r="GC134" s="20">
        <f t="shared" si="133"/>
        <v>1.0676332069095257E-12</v>
      </c>
      <c r="GD134" s="59">
        <f t="shared" si="134"/>
        <v>293.33333333333439</v>
      </c>
      <c r="GE134" s="59">
        <f ca="1">AVERAGE(OFFSET($GD$3,0,0,'Données projet'!$E$17+1,1))-AVERAGE(OFFSET($H$3,0,0,'Données projet'!$E$17+1,1))</f>
        <v>165.39579887388538</v>
      </c>
      <c r="GF134" s="59">
        <f t="shared" si="158"/>
        <v>155.89639262545802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0.44312002294919123</v>
      </c>
      <c r="GN134" s="21">
        <f>EXP(-LN(2)/2)*GN133+(1-EXP(-LN(2)/2))/(LN(2)/2)*GH134*GK134*VLOOKUP('Données projet'!$B$17,Paramètres!$A$1:$I$89,3,0)*0.475*44/12</f>
        <v>8.717175773750663E-15</v>
      </c>
      <c r="GO134" s="21">
        <f t="shared" si="135"/>
        <v>0.44312002294919994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2.8421709430404007E-14</v>
      </c>
      <c r="GV134" s="17">
        <f>GU134*VLOOKUP('Données projet'!$B$18,Paramètres!$A$1:$I$89,3,0)*VLOOKUP('Données projet'!$B$18,Paramètres!$A$1:$I$89,5,0)</f>
        <v>3.0593128030886874E-14</v>
      </c>
      <c r="GW134" s="13">
        <f t="shared" si="159"/>
        <v>5.2753263159251616E-13</v>
      </c>
      <c r="GX134" s="20">
        <f t="shared" si="136"/>
        <v>9.7206903134409357E-13</v>
      </c>
      <c r="GY134" s="59">
        <f t="shared" si="137"/>
        <v>293.33333333333428</v>
      </c>
      <c r="GZ134" s="59">
        <f ca="1">AVERAGE(OFFSET($GY$3,0,0,'Données projet'!$E$18+1,1))-AVERAGE(OFFSET($H$3,0,0,'Données projet'!$E$18+1,1))</f>
        <v>186.60545265015247</v>
      </c>
      <c r="HA134" s="59">
        <f t="shared" si="160"/>
        <v>69.239647548491234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0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0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1.9065282685915009E-13</v>
      </c>
      <c r="P135" s="13">
        <f t="shared" si="141"/>
        <v>2.6568987209435707E-12</v>
      </c>
      <c r="Q135" s="20">
        <f t="shared" si="108"/>
        <v>4.959485612423072E-12</v>
      </c>
      <c r="R135" s="59">
        <f t="shared" si="109"/>
        <v>293.33333333333826</v>
      </c>
      <c r="S135" s="59">
        <f ca="1">AVERAGE(OFFSET($R$3,0,0,'Données projet'!$E$9+1,1))-AVERAGE(OFFSET($H$3,0,0,'Données projet'!$E$9+1,1))</f>
        <v>235.10258076192054</v>
      </c>
      <c r="T135" s="59">
        <f t="shared" si="142"/>
        <v>233.47316052603765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0.45445901615129397</v>
      </c>
      <c r="AA135" s="21">
        <f>EXP(-LN(2)/25)*AA134+(1-EXP(-LN(2)/25))/(LN(2)/25)*Calculateur!V135*Calculateur!X135*VLOOKUP('Données projet'!$B$9,Paramètres!$A$1:$I$89,3,0)*0.475*44/12</f>
        <v>1.0900289742815044</v>
      </c>
      <c r="AB135" s="21">
        <f>EXP(-LN(2)/2)*AB134+(1-EXP(-LN(2)/2))/(LN(2)/2)*V135*Y135*VLOOKUP('Données projet'!$B$9,Paramètres!$A$1:$I$89,3,0)*0.475*44/12</f>
        <v>1.0712356212158222E-14</v>
      </c>
      <c r="AC135" s="22">
        <f t="shared" si="111"/>
        <v>1.544487990432809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2.2737367544323206E-13</v>
      </c>
      <c r="AJ135" s="13">
        <f>AI135*VLOOKUP('Données projet'!$B$10,Paramètres!$A$1:$I$89,3,0)*VLOOKUP('Données projet'!$B$10,Paramètres!$A$1:$I$89,5,0)</f>
        <v>1.2414602679200471E-13</v>
      </c>
      <c r="AK135" s="13">
        <f t="shared" si="143"/>
        <v>1.8186582995804361E-12</v>
      </c>
      <c r="AL135" s="20">
        <f t="shared" si="112"/>
        <v>3.3837175350986671E-12</v>
      </c>
      <c r="AM135" s="59">
        <f t="shared" si="113"/>
        <v>293.33333333333672</v>
      </c>
      <c r="AN135" s="59">
        <f ca="1">AVERAGE(OFFSET($AM$3,0,0,'Données projet'!$E$10+1,1))-AVERAGE(OFFSET($H$3,0,0,'Données projet'!$E$10+1,1))</f>
        <v>168.72306536277267</v>
      </c>
      <c r="AO135" s="59">
        <f t="shared" si="144"/>
        <v>203.35476578922339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0.4035365471110855</v>
      </c>
      <c r="AV135" s="21">
        <f>EXP(-LN(2)/25)*AV134+(1-EXP(-LN(2)/25))/(LN(2)/25)*Calculateur!AQ135*Calculateur!AS135*VLOOKUP('Données projet'!$B$10,Paramètres!$A$1:$I$89,3,0)*0.475*44/12</f>
        <v>1.3590722121320598</v>
      </c>
      <c r="AW135" s="21">
        <f>EXP(-LN(2)/2)*AW134+(1-EXP(-LN(2)/2))/(LN(2)/2)*AQ135*AT135*VLOOKUP('Données projet'!$B$10,Paramètres!$A$1:$I$89,3,0)*0.475*44/12</f>
        <v>8.8923742245624676E-15</v>
      </c>
      <c r="AX135" s="21">
        <f t="shared" si="114"/>
        <v>1.7626087592431541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3.3992364478763198E-14</v>
      </c>
      <c r="BF135" s="13">
        <f t="shared" si="145"/>
        <v>5.790027782444094E-13</v>
      </c>
      <c r="BG135" s="20">
        <f t="shared" si="115"/>
        <v>1.0676332069095257E-12</v>
      </c>
      <c r="BH135" s="59">
        <f t="shared" si="116"/>
        <v>293.33333333333439</v>
      </c>
      <c r="BI135" s="59">
        <f ca="1">AVERAGE(OFFSET($BH$3,0,0,'Données projet'!$E$11+1,1))-AVERAGE(OFFSET($H$3,0,0,'Données projet'!$E$11+1,1))</f>
        <v>165.39579887388538</v>
      </c>
      <c r="BJ135" s="59">
        <f t="shared" si="146"/>
        <v>155.89639262545802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0.43100288261897635</v>
      </c>
      <c r="BR135" s="21">
        <f>EXP(-LN(2)/2)*BR134+(1-EXP(-LN(2)/2))/(LN(2)/2)*BL135*BO135*VLOOKUP('Données projet'!$B$11,Paramètres!$A$1:$I$89,3,0)*0.475*44/12</f>
        <v>6.1639741024141833E-15</v>
      </c>
      <c r="BS135" s="22">
        <f t="shared" si="117"/>
        <v>0.43100288261898251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2.8421709430404007E-14</v>
      </c>
      <c r="BZ135" s="13">
        <f>BY135*VLOOKUP('Données projet'!$B$12,Paramètres!$A$1:$I$89,3,0)*VLOOKUP('Données projet'!$B$12,Paramètres!$A$1:$I$89,5,0)</f>
        <v>2.7489477361086758E-14</v>
      </c>
      <c r="CA135" s="13">
        <f t="shared" si="147"/>
        <v>4.7995394886724981E-13</v>
      </c>
      <c r="CB135" s="20">
        <f t="shared" si="118"/>
        <v>8.8379730068101964E-13</v>
      </c>
      <c r="CC135" s="59">
        <f t="shared" si="119"/>
        <v>293.33333333333422</v>
      </c>
      <c r="CD135" s="59">
        <f ca="1">AVERAGE(OFFSET($CC$3,0,0,'Données projet'!$E$12+1,1))-AVERAGE(OFFSET($H$3,0,0,'Données projet'!$E$12+1,1))</f>
        <v>156.26368818265388</v>
      </c>
      <c r="CE135" s="59">
        <f t="shared" si="148"/>
        <v>56.347130462109817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2.8421709430404007E-14</v>
      </c>
      <c r="CU135" s="17">
        <f>CT135*VLOOKUP('Données projet'!$B$13,Paramètres!$A$1:$I$89,3,0)*VLOOKUP('Données projet'!$B$13,Paramètres!$A$1:$I$89,5,0)</f>
        <v>2.3055690689943732E-14</v>
      </c>
      <c r="CV135" s="13">
        <f t="shared" si="149"/>
        <v>4.10868481342271E-13</v>
      </c>
      <c r="CW135" s="20">
        <f t="shared" si="121"/>
        <v>7.5575126628944061E-13</v>
      </c>
      <c r="CX135" s="59">
        <f t="shared" si="122"/>
        <v>293.33333333333405</v>
      </c>
      <c r="CY135" s="59">
        <f ca="1">AVERAGE(OFFSET($CX$3,0,0,'Données projet'!$E$13+1,1))-AVERAGE(OFFSET($H$3,0,0,'Données projet'!$E$13+1,1))</f>
        <v>112.78807760743126</v>
      </c>
      <c r="CZ135" s="59">
        <f t="shared" si="150"/>
        <v>37.867745922003564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-8.5265128291212022E-14</v>
      </c>
      <c r="DP135" s="17">
        <f>DO135*VLOOKUP('Données projet'!$B$14,Paramètres!$A$1:$I$89,3,0)*VLOOKUP('Données projet'!$B$14,Paramètres!$A$1:$I$89,5,0)</f>
        <v>-5.7195848057745024E-14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107.15837202366862</v>
      </c>
      <c r="DU135" s="59">
        <f t="shared" si="152"/>
        <v>139.67031833740026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0.33514407228905496</v>
      </c>
      <c r="EC135" s="21">
        <f>EXP(-LN(2)/2)*EC134+(1-EXP(-LN(2)/2))/(LN(2)/2)*DW135*DZ135*VLOOKUP('Données projet'!$B$14,Paramètres!$A$1:$I$89,3,0)*0.475*44/12</f>
        <v>2.997369266479988E-15</v>
      </c>
      <c r="ED135" s="22">
        <f t="shared" si="126"/>
        <v>0.33514407228905796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-1.1368683772161603E-13</v>
      </c>
      <c r="EK135" s="17">
        <f>EJ135*VLOOKUP('Données projet'!$B$15,Paramètres!$A$1:$I$89,3,0)*VLOOKUP('Données projet'!$B$15,Paramètres!$A$1:$I$89,5,0)</f>
        <v>-5.3205440053716299E-14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123.60520571614535</v>
      </c>
      <c r="EP135" s="59">
        <f t="shared" si="154"/>
        <v>119.00926870519527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0.11504909312534431</v>
      </c>
      <c r="EW135" s="21">
        <f>EXP(-LN(2)/25)*EW134+(1-EXP(-LN(2)/25))/(LN(2)/25)*Calculateur!ER135*Calculateur!ET135*VLOOKUP('Données projet'!$B$15,Paramètres!$A$1:$I$89,3,0)*0.475*44/12</f>
        <v>0.28244303904575196</v>
      </c>
      <c r="EX135" s="21">
        <f>EXP(-LN(2)/2)*EX134+(1-EXP(-LN(2)/2))/(LN(2)/2)*ER135*EU135*VLOOKUP('Données projet'!$B$15,Paramètres!$A$1:$I$89,3,0)*0.475*44/12</f>
        <v>2.7150328612368859E-15</v>
      </c>
      <c r="EY135" s="22">
        <f t="shared" si="129"/>
        <v>0.39749213217109897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-2.2737367544323206E-13</v>
      </c>
      <c r="FF135" s="17">
        <f>FE135*VLOOKUP('Données projet'!$B$16,Paramètres!$A$1:$I$89,3,0)*VLOOKUP('Données projet'!$B$16,Paramètres!$A$1:$I$89,5,0)</f>
        <v>-1.0936673788819462E-13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197.66963254934603</v>
      </c>
      <c r="FK135" s="59">
        <f t="shared" si="156"/>
        <v>158.08388141976138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0.35380364158843824</v>
      </c>
      <c r="FR135" s="21">
        <f>EXP(-LN(2)/25)*FR134+(1-EXP(-LN(2)/25))/(LN(2)/25)*Calculateur!FM135*Calculateur!FO135*VLOOKUP('Données projet'!$B$16,Paramètres!$A$1:$I$89,3,0)*0.475*44/12</f>
        <v>0.3141694630651633</v>
      </c>
      <c r="FS135" s="21">
        <f>EXP(-LN(2)/2)*FS134+(1-EXP(-LN(2)/2))/(LN(2)/2)*FM135*FP135*VLOOKUP('Données projet'!$B$16,Paramètres!$A$1:$I$89,3,0)*0.475*44/12</f>
        <v>3.6761601645787232E-15</v>
      </c>
      <c r="FT135" s="22">
        <f t="shared" si="132"/>
        <v>0.66797310465360515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5.6843418860808015E-14</v>
      </c>
      <c r="GA135" s="17">
        <f>FZ135*VLOOKUP('Données projet'!$B$17,Paramètres!$A$1:$I$89,3,0)*VLOOKUP('Données projet'!$B$17,Paramètres!$A$1:$I$89,5,0)</f>
        <v>3.3992364478763198E-14</v>
      </c>
      <c r="GB135" s="13">
        <f t="shared" si="157"/>
        <v>5.790027782444094E-13</v>
      </c>
      <c r="GC135" s="20">
        <f t="shared" si="133"/>
        <v>1.0676332069095257E-12</v>
      </c>
      <c r="GD135" s="59">
        <f t="shared" si="134"/>
        <v>293.33333333333439</v>
      </c>
      <c r="GE135" s="59">
        <f ca="1">AVERAGE(OFFSET($GD$3,0,0,'Données projet'!$E$17+1,1))-AVERAGE(OFFSET($H$3,0,0,'Données projet'!$E$17+1,1))</f>
        <v>165.39579887388538</v>
      </c>
      <c r="GF135" s="59">
        <f t="shared" si="158"/>
        <v>155.89639262545802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0.43100288261897635</v>
      </c>
      <c r="GN135" s="21">
        <f>EXP(-LN(2)/2)*GN134+(1-EXP(-LN(2)/2))/(LN(2)/2)*GH135*GK135*VLOOKUP('Données projet'!$B$17,Paramètres!$A$1:$I$89,3,0)*0.475*44/12</f>
        <v>6.1639741024141833E-15</v>
      </c>
      <c r="GO135" s="21">
        <f t="shared" si="135"/>
        <v>0.43100288261898251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2.8421709430404007E-14</v>
      </c>
      <c r="GV135" s="17">
        <f>GU135*VLOOKUP('Données projet'!$B$18,Paramètres!$A$1:$I$89,3,0)*VLOOKUP('Données projet'!$B$18,Paramètres!$A$1:$I$89,5,0)</f>
        <v>3.0593128030886874E-14</v>
      </c>
      <c r="GW135" s="13">
        <f t="shared" si="159"/>
        <v>5.2753263159251616E-13</v>
      </c>
      <c r="GX135" s="20">
        <f t="shared" si="136"/>
        <v>9.7206903134409357E-13</v>
      </c>
      <c r="GY135" s="59">
        <f t="shared" si="137"/>
        <v>293.33333333333428</v>
      </c>
      <c r="GZ135" s="59">
        <f ca="1">AVERAGE(OFFSET($GY$3,0,0,'Données projet'!$E$18+1,1))-AVERAGE(OFFSET($H$3,0,0,'Données projet'!$E$18+1,1))</f>
        <v>186.60545265015247</v>
      </c>
      <c r="HA135" s="59">
        <f t="shared" si="160"/>
        <v>69.239647548491234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0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0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1.9065282685915009E-13</v>
      </c>
      <c r="P136" s="13">
        <f t="shared" si="141"/>
        <v>2.6568987209435707E-12</v>
      </c>
      <c r="Q136" s="20">
        <f t="shared" si="108"/>
        <v>4.959485612423072E-12</v>
      </c>
      <c r="R136" s="59">
        <f t="shared" si="109"/>
        <v>293.33333333333826</v>
      </c>
      <c r="S136" s="59">
        <f ca="1">AVERAGE(OFFSET($R$3,0,0,'Données projet'!$E$9+1,1))-AVERAGE(OFFSET($H$3,0,0,'Données projet'!$E$9+1,1))</f>
        <v>235.10258076192054</v>
      </c>
      <c r="T136" s="59">
        <f t="shared" si="142"/>
        <v>233.47316052603765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0.44554735203719648</v>
      </c>
      <c r="AA136" s="21">
        <f>EXP(-LN(2)/25)*AA135+(1-EXP(-LN(2)/25))/(LN(2)/25)*Calculateur!V136*Calculateur!X136*VLOOKUP('Données projet'!$B$9,Paramètres!$A$1:$I$89,3,0)*0.475*44/12</f>
        <v>1.0602220746576441</v>
      </c>
      <c r="AB136" s="21">
        <f>EXP(-LN(2)/2)*AB135+(1-EXP(-LN(2)/2))/(LN(2)/2)*V136*Y136*VLOOKUP('Données projet'!$B$9,Paramètres!$A$1:$I$89,3,0)*0.475*44/12</f>
        <v>7.5747797201029168E-15</v>
      </c>
      <c r="AC136" s="22">
        <f t="shared" si="111"/>
        <v>1.505769426694848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2.2737367544323206E-13</v>
      </c>
      <c r="AJ136" s="13">
        <f>AI136*VLOOKUP('Données projet'!$B$10,Paramètres!$A$1:$I$89,3,0)*VLOOKUP('Données projet'!$B$10,Paramètres!$A$1:$I$89,5,0)</f>
        <v>1.2414602679200471E-13</v>
      </c>
      <c r="AK136" s="13">
        <f t="shared" si="143"/>
        <v>1.8186582995804361E-12</v>
      </c>
      <c r="AL136" s="20">
        <f t="shared" si="112"/>
        <v>3.3837175350986671E-12</v>
      </c>
      <c r="AM136" s="59">
        <f t="shared" si="113"/>
        <v>293.33333333333672</v>
      </c>
      <c r="AN136" s="59">
        <f ca="1">AVERAGE(OFFSET($AM$3,0,0,'Données projet'!$E$10+1,1))-AVERAGE(OFFSET($H$3,0,0,'Données projet'!$E$10+1,1))</f>
        <v>168.72306536277267</v>
      </c>
      <c r="AO136" s="59">
        <f t="shared" si="144"/>
        <v>203.35476578922339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0.39562344155522722</v>
      </c>
      <c r="AV136" s="21">
        <f>EXP(-LN(2)/25)*AV135+(1-EXP(-LN(2)/25))/(LN(2)/25)*Calculateur!AQ136*Calculateur!AS136*VLOOKUP('Données projet'!$B$10,Paramètres!$A$1:$I$89,3,0)*0.475*44/12</f>
        <v>1.3219083110208072</v>
      </c>
      <c r="AW136" s="21">
        <f>EXP(-LN(2)/2)*AW135+(1-EXP(-LN(2)/2))/(LN(2)/2)*AQ136*AT136*VLOOKUP('Données projet'!$B$10,Paramètres!$A$1:$I$89,3,0)*0.475*44/12</f>
        <v>6.2878581150365881E-15</v>
      </c>
      <c r="AX136" s="21">
        <f t="shared" si="114"/>
        <v>1.7175317525760407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3.3992364478763198E-14</v>
      </c>
      <c r="BF136" s="13">
        <f t="shared" si="145"/>
        <v>5.790027782444094E-13</v>
      </c>
      <c r="BG136" s="20">
        <f t="shared" si="115"/>
        <v>1.0676332069095257E-12</v>
      </c>
      <c r="BH136" s="59">
        <f t="shared" si="116"/>
        <v>293.33333333333439</v>
      </c>
      <c r="BI136" s="59">
        <f ca="1">AVERAGE(OFFSET($BH$3,0,0,'Données projet'!$E$11+1,1))-AVERAGE(OFFSET($H$3,0,0,'Données projet'!$E$11+1,1))</f>
        <v>165.39579887388538</v>
      </c>
      <c r="BJ136" s="59">
        <f t="shared" si="146"/>
        <v>155.89639262545802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0.41921708612830388</v>
      </c>
      <c r="BR136" s="21">
        <f>EXP(-LN(2)/2)*BR135+(1-EXP(-LN(2)/2))/(LN(2)/2)*BL136*BO136*VLOOKUP('Données projet'!$B$11,Paramètres!$A$1:$I$89,3,0)*0.475*44/12</f>
        <v>4.3585878868753315E-15</v>
      </c>
      <c r="BS136" s="22">
        <f t="shared" si="117"/>
        <v>0.41921708612830827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2.8421709430404007E-14</v>
      </c>
      <c r="BZ136" s="13">
        <f>BY136*VLOOKUP('Données projet'!$B$12,Paramètres!$A$1:$I$89,3,0)*VLOOKUP('Données projet'!$B$12,Paramètres!$A$1:$I$89,5,0)</f>
        <v>2.7489477361086758E-14</v>
      </c>
      <c r="CA136" s="13">
        <f t="shared" si="147"/>
        <v>4.7995394886724981E-13</v>
      </c>
      <c r="CB136" s="20">
        <f t="shared" si="118"/>
        <v>8.8379730068101964E-13</v>
      </c>
      <c r="CC136" s="59">
        <f t="shared" si="119"/>
        <v>293.33333333333422</v>
      </c>
      <c r="CD136" s="59">
        <f ca="1">AVERAGE(OFFSET($CC$3,0,0,'Données projet'!$E$12+1,1))-AVERAGE(OFFSET($H$3,0,0,'Données projet'!$E$12+1,1))</f>
        <v>156.26368818265388</v>
      </c>
      <c r="CE136" s="59">
        <f t="shared" si="148"/>
        <v>56.347130462109817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2.8421709430404007E-14</v>
      </c>
      <c r="CU136" s="17">
        <f>CT136*VLOOKUP('Données projet'!$B$13,Paramètres!$A$1:$I$89,3,0)*VLOOKUP('Données projet'!$B$13,Paramètres!$A$1:$I$89,5,0)</f>
        <v>2.3055690689943732E-14</v>
      </c>
      <c r="CV136" s="13">
        <f t="shared" si="149"/>
        <v>4.10868481342271E-13</v>
      </c>
      <c r="CW136" s="20">
        <f t="shared" si="121"/>
        <v>7.5575126628944061E-13</v>
      </c>
      <c r="CX136" s="59">
        <f t="shared" si="122"/>
        <v>293.33333333333405</v>
      </c>
      <c r="CY136" s="59">
        <f ca="1">AVERAGE(OFFSET($CX$3,0,0,'Données projet'!$E$13+1,1))-AVERAGE(OFFSET($H$3,0,0,'Données projet'!$E$13+1,1))</f>
        <v>112.78807760743126</v>
      </c>
      <c r="CZ136" s="59">
        <f t="shared" si="150"/>
        <v>37.867745922003564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-8.5265128291212022E-14</v>
      </c>
      <c r="DP136" s="17">
        <f>DO136*VLOOKUP('Données projet'!$B$14,Paramètres!$A$1:$I$89,3,0)*VLOOKUP('Données projet'!$B$14,Paramètres!$A$1:$I$89,5,0)</f>
        <v>-5.7195848057745024E-14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107.15837202366862</v>
      </c>
      <c r="DU136" s="59">
        <f t="shared" si="152"/>
        <v>139.67031833740026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0.32597954000784995</v>
      </c>
      <c r="EC136" s="21">
        <f>EXP(-LN(2)/2)*EC135+(1-EXP(-LN(2)/2))/(LN(2)/2)*DW136*DZ136*VLOOKUP('Données projet'!$B$14,Paramètres!$A$1:$I$89,3,0)*0.475*44/12</f>
        <v>2.1194601340481473E-15</v>
      </c>
      <c r="ED136" s="22">
        <f t="shared" si="126"/>
        <v>0.32597954000785206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-1.1368683772161603E-13</v>
      </c>
      <c r="EK136" s="17">
        <f>EJ136*VLOOKUP('Données projet'!$B$15,Paramètres!$A$1:$I$89,3,0)*VLOOKUP('Données projet'!$B$15,Paramètres!$A$1:$I$89,5,0)</f>
        <v>-5.3205440053716299E-14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123.60520571614535</v>
      </c>
      <c r="EP136" s="59">
        <f t="shared" si="154"/>
        <v>119.00926870519527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0.11279305058217411</v>
      </c>
      <c r="EW136" s="21">
        <f>EXP(-LN(2)/25)*EW135+(1-EXP(-LN(2)/25))/(LN(2)/25)*Calculateur!ER136*Calculateur!ET136*VLOOKUP('Données projet'!$B$15,Paramètres!$A$1:$I$89,3,0)*0.475*44/12</f>
        <v>0.27471961929001198</v>
      </c>
      <c r="EX136" s="21">
        <f>EXP(-LN(2)/2)*EX135+(1-EXP(-LN(2)/2))/(LN(2)/2)*ER136*EU136*VLOOKUP('Données projet'!$B$15,Paramètres!$A$1:$I$89,3,0)*0.475*44/12</f>
        <v>1.9198181473249167E-15</v>
      </c>
      <c r="EY136" s="22">
        <f t="shared" si="129"/>
        <v>0.38751266987218802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-2.2737367544323206E-13</v>
      </c>
      <c r="FF136" s="17">
        <f>FE136*VLOOKUP('Données projet'!$B$16,Paramètres!$A$1:$I$89,3,0)*VLOOKUP('Données projet'!$B$16,Paramètres!$A$1:$I$89,5,0)</f>
        <v>-1.0936673788819462E-13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197.66963254934603</v>
      </c>
      <c r="FK136" s="59">
        <f t="shared" si="156"/>
        <v>158.08388141976138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0.34686576797580199</v>
      </c>
      <c r="FR136" s="21">
        <f>EXP(-LN(2)/25)*FR135+(1-EXP(-LN(2)/25))/(LN(2)/25)*Calculateur!FM136*Calculateur!FO136*VLOOKUP('Données projet'!$B$16,Paramètres!$A$1:$I$89,3,0)*0.475*44/12</f>
        <v>0.30557848257619241</v>
      </c>
      <c r="FS136" s="21">
        <f>EXP(-LN(2)/2)*FS135+(1-EXP(-LN(2)/2))/(LN(2)/2)*FM136*FP136*VLOOKUP('Données projet'!$B$16,Paramètres!$A$1:$I$89,3,0)*0.475*44/12</f>
        <v>2.5994377811014698E-15</v>
      </c>
      <c r="FT136" s="22">
        <f t="shared" si="132"/>
        <v>0.65244425055199695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5.6843418860808015E-14</v>
      </c>
      <c r="GA136" s="17">
        <f>FZ136*VLOOKUP('Données projet'!$B$17,Paramètres!$A$1:$I$89,3,0)*VLOOKUP('Données projet'!$B$17,Paramètres!$A$1:$I$89,5,0)</f>
        <v>3.3992364478763198E-14</v>
      </c>
      <c r="GB136" s="13">
        <f t="shared" si="157"/>
        <v>5.790027782444094E-13</v>
      </c>
      <c r="GC136" s="20">
        <f t="shared" si="133"/>
        <v>1.0676332069095257E-12</v>
      </c>
      <c r="GD136" s="59">
        <f t="shared" si="134"/>
        <v>293.33333333333439</v>
      </c>
      <c r="GE136" s="59">
        <f ca="1">AVERAGE(OFFSET($GD$3,0,0,'Données projet'!$E$17+1,1))-AVERAGE(OFFSET($H$3,0,0,'Données projet'!$E$17+1,1))</f>
        <v>165.39579887388538</v>
      </c>
      <c r="GF136" s="59">
        <f t="shared" si="158"/>
        <v>155.89639262545802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0.41921708612830388</v>
      </c>
      <c r="GN136" s="21">
        <f>EXP(-LN(2)/2)*GN135+(1-EXP(-LN(2)/2))/(LN(2)/2)*GH136*GK136*VLOOKUP('Données projet'!$B$17,Paramètres!$A$1:$I$89,3,0)*0.475*44/12</f>
        <v>4.3585878868753315E-15</v>
      </c>
      <c r="GO136" s="21">
        <f t="shared" si="135"/>
        <v>0.41921708612830827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2.8421709430404007E-14</v>
      </c>
      <c r="GV136" s="17">
        <f>GU136*VLOOKUP('Données projet'!$B$18,Paramètres!$A$1:$I$89,3,0)*VLOOKUP('Données projet'!$B$18,Paramètres!$A$1:$I$89,5,0)</f>
        <v>3.0593128030886874E-14</v>
      </c>
      <c r="GW136" s="13">
        <f t="shared" si="159"/>
        <v>5.2753263159251616E-13</v>
      </c>
      <c r="GX136" s="20">
        <f t="shared" si="136"/>
        <v>9.7206903134409357E-13</v>
      </c>
      <c r="GY136" s="59">
        <f t="shared" si="137"/>
        <v>293.33333333333428</v>
      </c>
      <c r="GZ136" s="59">
        <f ca="1">AVERAGE(OFFSET($GY$3,0,0,'Données projet'!$E$18+1,1))-AVERAGE(OFFSET($H$3,0,0,'Données projet'!$E$18+1,1))</f>
        <v>186.60545265015247</v>
      </c>
      <c r="HA136" s="59">
        <f t="shared" si="160"/>
        <v>69.239647548491234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0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0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1.9065282685915009E-13</v>
      </c>
      <c r="P137" s="13">
        <f t="shared" si="141"/>
        <v>2.6568987209435707E-12</v>
      </c>
      <c r="Q137" s="20">
        <f t="shared" si="108"/>
        <v>4.959485612423072E-12</v>
      </c>
      <c r="R137" s="59">
        <f t="shared" si="109"/>
        <v>293.33333333333826</v>
      </c>
      <c r="S137" s="59">
        <f ca="1">AVERAGE(OFFSET($R$3,0,0,'Données projet'!$E$9+1,1))-AVERAGE(OFFSET($H$3,0,0,'Données projet'!$E$9+1,1))</f>
        <v>235.10258076192054</v>
      </c>
      <c r="T137" s="59">
        <f t="shared" si="142"/>
        <v>233.47316052603765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0.43681044022079801</v>
      </c>
      <c r="AA137" s="21">
        <f>EXP(-LN(2)/25)*AA136+(1-EXP(-LN(2)/25))/(LN(2)/25)*Calculateur!V137*Calculateur!X137*VLOOKUP('Données projet'!$B$9,Paramètres!$A$1:$I$89,3,0)*0.475*44/12</f>
        <v>1.0312302462714751</v>
      </c>
      <c r="AB137" s="21">
        <f>EXP(-LN(2)/2)*AB136+(1-EXP(-LN(2)/2))/(LN(2)/2)*V137*Y137*VLOOKUP('Données projet'!$B$9,Paramètres!$A$1:$I$89,3,0)*0.475*44/12</f>
        <v>5.356178106079111E-15</v>
      </c>
      <c r="AC137" s="22">
        <f t="shared" si="111"/>
        <v>1.4680406864922784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2.2737367544323206E-13</v>
      </c>
      <c r="AJ137" s="13">
        <f>AI137*VLOOKUP('Données projet'!$B$10,Paramètres!$A$1:$I$89,3,0)*VLOOKUP('Données projet'!$B$10,Paramètres!$A$1:$I$89,5,0)</f>
        <v>1.2414602679200471E-13</v>
      </c>
      <c r="AK137" s="13">
        <f t="shared" si="143"/>
        <v>1.8186582995804361E-12</v>
      </c>
      <c r="AL137" s="20">
        <f t="shared" si="112"/>
        <v>3.3837175350986671E-12</v>
      </c>
      <c r="AM137" s="59">
        <f t="shared" si="113"/>
        <v>293.33333333333672</v>
      </c>
      <c r="AN137" s="59">
        <f ca="1">AVERAGE(OFFSET($AM$3,0,0,'Données projet'!$E$10+1,1))-AVERAGE(OFFSET($H$3,0,0,'Données projet'!$E$10+1,1))</f>
        <v>168.72306536277267</v>
      </c>
      <c r="AO137" s="59">
        <f t="shared" si="144"/>
        <v>203.35476578922339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0.38786550717280155</v>
      </c>
      <c r="AV137" s="21">
        <f>EXP(-LN(2)/25)*AV136+(1-EXP(-LN(2)/25))/(LN(2)/25)*Calculateur!AQ137*Calculateur!AS137*VLOOKUP('Données projet'!$B$10,Paramètres!$A$1:$I$89,3,0)*0.475*44/12</f>
        <v>1.2857606587398065</v>
      </c>
      <c r="AW137" s="21">
        <f>EXP(-LN(2)/2)*AW136+(1-EXP(-LN(2)/2))/(LN(2)/2)*AQ137*AT137*VLOOKUP('Données projet'!$B$10,Paramètres!$A$1:$I$89,3,0)*0.475*44/12</f>
        <v>4.4461871122812338E-15</v>
      </c>
      <c r="AX137" s="21">
        <f t="shared" si="114"/>
        <v>1.6736261659126126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3.3992364478763198E-14</v>
      </c>
      <c r="BF137" s="13">
        <f t="shared" si="145"/>
        <v>5.790027782444094E-13</v>
      </c>
      <c r="BG137" s="20">
        <f t="shared" si="115"/>
        <v>1.0676332069095257E-12</v>
      </c>
      <c r="BH137" s="59">
        <f t="shared" si="116"/>
        <v>293.33333333333439</v>
      </c>
      <c r="BI137" s="59">
        <f ca="1">AVERAGE(OFFSET($BH$3,0,0,'Données projet'!$E$11+1,1))-AVERAGE(OFFSET($H$3,0,0,'Données projet'!$E$11+1,1))</f>
        <v>165.39579887388538</v>
      </c>
      <c r="BJ137" s="59">
        <f t="shared" si="146"/>
        <v>155.89639262545802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0.407753572862457</v>
      </c>
      <c r="BR137" s="21">
        <f>EXP(-LN(2)/2)*BR136+(1-EXP(-LN(2)/2))/(LN(2)/2)*BL137*BO137*VLOOKUP('Données projet'!$B$11,Paramètres!$A$1:$I$89,3,0)*0.475*44/12</f>
        <v>3.0819870512070916E-15</v>
      </c>
      <c r="BS137" s="22">
        <f t="shared" si="117"/>
        <v>0.40775357286246011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2.8421709430404007E-14</v>
      </c>
      <c r="BZ137" s="13">
        <f>BY137*VLOOKUP('Données projet'!$B$12,Paramètres!$A$1:$I$89,3,0)*VLOOKUP('Données projet'!$B$12,Paramètres!$A$1:$I$89,5,0)</f>
        <v>2.7489477361086758E-14</v>
      </c>
      <c r="CA137" s="13">
        <f t="shared" si="147"/>
        <v>4.7995394886724981E-13</v>
      </c>
      <c r="CB137" s="20">
        <f t="shared" si="118"/>
        <v>8.8379730068101964E-13</v>
      </c>
      <c r="CC137" s="59">
        <f t="shared" si="119"/>
        <v>293.33333333333422</v>
      </c>
      <c r="CD137" s="59">
        <f ca="1">AVERAGE(OFFSET($CC$3,0,0,'Données projet'!$E$12+1,1))-AVERAGE(OFFSET($H$3,0,0,'Données projet'!$E$12+1,1))</f>
        <v>156.26368818265388</v>
      </c>
      <c r="CE137" s="59">
        <f t="shared" si="148"/>
        <v>56.347130462109817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2.8421709430404007E-14</v>
      </c>
      <c r="CU137" s="17">
        <f>CT137*VLOOKUP('Données projet'!$B$13,Paramètres!$A$1:$I$89,3,0)*VLOOKUP('Données projet'!$B$13,Paramètres!$A$1:$I$89,5,0)</f>
        <v>2.3055690689943732E-14</v>
      </c>
      <c r="CV137" s="13">
        <f t="shared" si="149"/>
        <v>4.10868481342271E-13</v>
      </c>
      <c r="CW137" s="20">
        <f t="shared" si="121"/>
        <v>7.5575126628944061E-13</v>
      </c>
      <c r="CX137" s="59">
        <f t="shared" si="122"/>
        <v>293.33333333333405</v>
      </c>
      <c r="CY137" s="59">
        <f ca="1">AVERAGE(OFFSET($CX$3,0,0,'Données projet'!$E$13+1,1))-AVERAGE(OFFSET($H$3,0,0,'Données projet'!$E$13+1,1))</f>
        <v>112.78807760743126</v>
      </c>
      <c r="CZ137" s="59">
        <f t="shared" si="150"/>
        <v>37.867745922003564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-8.5265128291212022E-14</v>
      </c>
      <c r="DP137" s="17">
        <f>DO137*VLOOKUP('Données projet'!$B$14,Paramètres!$A$1:$I$89,3,0)*VLOOKUP('Données projet'!$B$14,Paramètres!$A$1:$I$89,5,0)</f>
        <v>-5.7195848057745024E-14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107.15837202366862</v>
      </c>
      <c r="DU137" s="59">
        <f t="shared" si="152"/>
        <v>139.67031833740026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0.31706561234381631</v>
      </c>
      <c r="EC137" s="21">
        <f>EXP(-LN(2)/2)*EC136+(1-EXP(-LN(2)/2))/(LN(2)/2)*DW137*DZ137*VLOOKUP('Données projet'!$B$14,Paramètres!$A$1:$I$89,3,0)*0.475*44/12</f>
        <v>1.498684633239994E-15</v>
      </c>
      <c r="ED137" s="22">
        <f t="shared" si="126"/>
        <v>0.3170656123438178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-1.1368683772161603E-13</v>
      </c>
      <c r="EK137" s="17">
        <f>EJ137*VLOOKUP('Données projet'!$B$15,Paramètres!$A$1:$I$89,3,0)*VLOOKUP('Données projet'!$B$15,Paramètres!$A$1:$I$89,5,0)</f>
        <v>-5.3205440053716299E-14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123.60520571614535</v>
      </c>
      <c r="EP137" s="59">
        <f t="shared" si="154"/>
        <v>119.00926870519527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0.11058124765722539</v>
      </c>
      <c r="EW137" s="21">
        <f>EXP(-LN(2)/25)*EW136+(1-EXP(-LN(2)/25))/(LN(2)/25)*Calculateur!ER137*Calculateur!ET137*VLOOKUP('Données projet'!$B$15,Paramètres!$A$1:$I$89,3,0)*0.475*44/12</f>
        <v>0.26720739685364969</v>
      </c>
      <c r="EX137" s="21">
        <f>EXP(-LN(2)/2)*EX136+(1-EXP(-LN(2)/2))/(LN(2)/2)*ER137*EU137*VLOOKUP('Données projet'!$B$15,Paramètres!$A$1:$I$89,3,0)*0.475*44/12</f>
        <v>1.357516430618443E-15</v>
      </c>
      <c r="EY137" s="22">
        <f t="shared" si="129"/>
        <v>0.3777886445108764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-2.2737367544323206E-13</v>
      </c>
      <c r="FF137" s="17">
        <f>FE137*VLOOKUP('Données projet'!$B$16,Paramètres!$A$1:$I$89,3,0)*VLOOKUP('Données projet'!$B$16,Paramètres!$A$1:$I$89,5,0)</f>
        <v>-1.0936673788819462E-13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197.66963254934603</v>
      </c>
      <c r="FK137" s="59">
        <f t="shared" si="156"/>
        <v>158.08388141976138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0.34006394183302446</v>
      </c>
      <c r="FR137" s="21">
        <f>EXP(-LN(2)/25)*FR136+(1-EXP(-LN(2)/25))/(LN(2)/25)*Calculateur!FM137*Calculateur!FO137*VLOOKUP('Données projet'!$B$16,Paramètres!$A$1:$I$89,3,0)*0.475*44/12</f>
        <v>0.29722242290047246</v>
      </c>
      <c r="FS137" s="21">
        <f>EXP(-LN(2)/2)*FS136+(1-EXP(-LN(2)/2))/(LN(2)/2)*FM137*FP137*VLOOKUP('Données projet'!$B$16,Paramètres!$A$1:$I$89,3,0)*0.475*44/12</f>
        <v>1.8380800822893616E-15</v>
      </c>
      <c r="FT137" s="22">
        <f t="shared" si="132"/>
        <v>0.63728636473349887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5.6843418860808015E-14</v>
      </c>
      <c r="GA137" s="17">
        <f>FZ137*VLOOKUP('Données projet'!$B$17,Paramètres!$A$1:$I$89,3,0)*VLOOKUP('Données projet'!$B$17,Paramètres!$A$1:$I$89,5,0)</f>
        <v>3.3992364478763198E-14</v>
      </c>
      <c r="GB137" s="13">
        <f t="shared" si="157"/>
        <v>5.790027782444094E-13</v>
      </c>
      <c r="GC137" s="20">
        <f t="shared" si="133"/>
        <v>1.0676332069095257E-12</v>
      </c>
      <c r="GD137" s="59">
        <f t="shared" si="134"/>
        <v>293.33333333333439</v>
      </c>
      <c r="GE137" s="59">
        <f ca="1">AVERAGE(OFFSET($GD$3,0,0,'Données projet'!$E$17+1,1))-AVERAGE(OFFSET($H$3,0,0,'Données projet'!$E$17+1,1))</f>
        <v>165.39579887388538</v>
      </c>
      <c r="GF137" s="59">
        <f t="shared" si="158"/>
        <v>155.89639262545802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0.407753572862457</v>
      </c>
      <c r="GN137" s="21">
        <f>EXP(-LN(2)/2)*GN136+(1-EXP(-LN(2)/2))/(LN(2)/2)*GH137*GK137*VLOOKUP('Données projet'!$B$17,Paramètres!$A$1:$I$89,3,0)*0.475*44/12</f>
        <v>3.0819870512070916E-15</v>
      </c>
      <c r="GO137" s="21">
        <f t="shared" si="135"/>
        <v>0.40775357286246011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2.8421709430404007E-14</v>
      </c>
      <c r="GV137" s="17">
        <f>GU137*VLOOKUP('Données projet'!$B$18,Paramètres!$A$1:$I$89,3,0)*VLOOKUP('Données projet'!$B$18,Paramètres!$A$1:$I$89,5,0)</f>
        <v>3.0593128030886874E-14</v>
      </c>
      <c r="GW137" s="13">
        <f t="shared" si="159"/>
        <v>5.2753263159251616E-13</v>
      </c>
      <c r="GX137" s="20">
        <f t="shared" si="136"/>
        <v>9.7206903134409357E-13</v>
      </c>
      <c r="GY137" s="59">
        <f t="shared" si="137"/>
        <v>293.33333333333428</v>
      </c>
      <c r="GZ137" s="59">
        <f ca="1">AVERAGE(OFFSET($GY$3,0,0,'Données projet'!$E$18+1,1))-AVERAGE(OFFSET($H$3,0,0,'Données projet'!$E$18+1,1))</f>
        <v>186.60545265015247</v>
      </c>
      <c r="HA137" s="59">
        <f t="shared" si="160"/>
        <v>69.239647548491234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0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0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1.9065282685915009E-13</v>
      </c>
      <c r="P138" s="13">
        <f t="shared" si="141"/>
        <v>2.6568987209435707E-12</v>
      </c>
      <c r="Q138" s="20">
        <f t="shared" si="108"/>
        <v>4.959485612423072E-12</v>
      </c>
      <c r="R138" s="59">
        <f t="shared" si="109"/>
        <v>293.33333333333826</v>
      </c>
      <c r="S138" s="59">
        <f ca="1">AVERAGE(OFFSET($R$3,0,0,'Données projet'!$E$9+1,1))-AVERAGE(OFFSET($H$3,0,0,'Données projet'!$E$9+1,1))</f>
        <v>235.10258076192054</v>
      </c>
      <c r="T138" s="59">
        <f t="shared" si="142"/>
        <v>233.47316052603765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0.4282448539161291</v>
      </c>
      <c r="AA138" s="21">
        <f>EXP(-LN(2)/25)*AA137+(1-EXP(-LN(2)/25))/(LN(2)/25)*Calculateur!V138*Calculateur!X138*VLOOKUP('Données projet'!$B$9,Paramètres!$A$1:$I$89,3,0)*0.475*44/12</f>
        <v>1.0030312009571398</v>
      </c>
      <c r="AB138" s="21">
        <f>EXP(-LN(2)/2)*AB137+(1-EXP(-LN(2)/2))/(LN(2)/2)*V138*Y138*VLOOKUP('Données projet'!$B$9,Paramètres!$A$1:$I$89,3,0)*0.475*44/12</f>
        <v>3.7873898600514584E-15</v>
      </c>
      <c r="AC138" s="22">
        <f t="shared" si="111"/>
        <v>1.4312760548732728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2.2737367544323206E-13</v>
      </c>
      <c r="AJ138" s="13">
        <f>AI138*VLOOKUP('Données projet'!$B$10,Paramètres!$A$1:$I$89,3,0)*VLOOKUP('Données projet'!$B$10,Paramètres!$A$1:$I$89,5,0)</f>
        <v>1.2414602679200471E-13</v>
      </c>
      <c r="AK138" s="13">
        <f t="shared" si="143"/>
        <v>1.8186582995804361E-12</v>
      </c>
      <c r="AL138" s="20">
        <f t="shared" si="112"/>
        <v>3.3837175350986671E-12</v>
      </c>
      <c r="AM138" s="59">
        <f t="shared" si="113"/>
        <v>293.33333333333672</v>
      </c>
      <c r="AN138" s="59">
        <f ca="1">AVERAGE(OFFSET($AM$3,0,0,'Données projet'!$E$10+1,1))-AVERAGE(OFFSET($H$3,0,0,'Données projet'!$E$10+1,1))</f>
        <v>168.72306536277267</v>
      </c>
      <c r="AO138" s="59">
        <f t="shared" si="144"/>
        <v>203.35476578922339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0.38025970115174246</v>
      </c>
      <c r="AV138" s="21">
        <f>EXP(-LN(2)/25)*AV137+(1-EXP(-LN(2)/25))/(LN(2)/25)*Calculateur!AQ138*Calculateur!AS138*VLOOKUP('Données projet'!$B$10,Paramètres!$A$1:$I$89,3,0)*0.475*44/12</f>
        <v>1.250601465911352</v>
      </c>
      <c r="AW138" s="21">
        <f>EXP(-LN(2)/2)*AW137+(1-EXP(-LN(2)/2))/(LN(2)/2)*AQ138*AT138*VLOOKUP('Données projet'!$B$10,Paramètres!$A$1:$I$89,3,0)*0.475*44/12</f>
        <v>3.143929057518294E-15</v>
      </c>
      <c r="AX138" s="21">
        <f t="shared" si="114"/>
        <v>1.6308611670630975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3.3992364478763198E-14</v>
      </c>
      <c r="BF138" s="13">
        <f t="shared" si="145"/>
        <v>5.790027782444094E-13</v>
      </c>
      <c r="BG138" s="20">
        <f t="shared" si="115"/>
        <v>1.0676332069095257E-12</v>
      </c>
      <c r="BH138" s="59">
        <f t="shared" si="116"/>
        <v>293.33333333333439</v>
      </c>
      <c r="BI138" s="59">
        <f ca="1">AVERAGE(OFFSET($BH$3,0,0,'Données projet'!$E$11+1,1))-AVERAGE(OFFSET($H$3,0,0,'Données projet'!$E$11+1,1))</f>
        <v>165.39579887388538</v>
      </c>
      <c r="BJ138" s="59">
        <f t="shared" si="146"/>
        <v>155.89639262545802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0.39660352996970466</v>
      </c>
      <c r="BR138" s="21">
        <f>EXP(-LN(2)/2)*BR137+(1-EXP(-LN(2)/2))/(LN(2)/2)*BL138*BO138*VLOOKUP('Données projet'!$B$11,Paramètres!$A$1:$I$89,3,0)*0.475*44/12</f>
        <v>2.1792939434376657E-15</v>
      </c>
      <c r="BS138" s="22">
        <f t="shared" si="117"/>
        <v>0.39660352996970683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2.8421709430404007E-14</v>
      </c>
      <c r="BZ138" s="13">
        <f>BY138*VLOOKUP('Données projet'!$B$12,Paramètres!$A$1:$I$89,3,0)*VLOOKUP('Données projet'!$B$12,Paramètres!$A$1:$I$89,5,0)</f>
        <v>2.7489477361086758E-14</v>
      </c>
      <c r="CA138" s="13">
        <f t="shared" si="147"/>
        <v>4.7995394886724981E-13</v>
      </c>
      <c r="CB138" s="20">
        <f t="shared" si="118"/>
        <v>8.8379730068101964E-13</v>
      </c>
      <c r="CC138" s="59">
        <f t="shared" si="119"/>
        <v>293.33333333333422</v>
      </c>
      <c r="CD138" s="59">
        <f ca="1">AVERAGE(OFFSET($CC$3,0,0,'Données projet'!$E$12+1,1))-AVERAGE(OFFSET($H$3,0,0,'Données projet'!$E$12+1,1))</f>
        <v>156.26368818265388</v>
      </c>
      <c r="CE138" s="59">
        <f t="shared" si="148"/>
        <v>56.347130462109817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2.8421709430404007E-14</v>
      </c>
      <c r="CU138" s="17">
        <f>CT138*VLOOKUP('Données projet'!$B$13,Paramètres!$A$1:$I$89,3,0)*VLOOKUP('Données projet'!$B$13,Paramètres!$A$1:$I$89,5,0)</f>
        <v>2.3055690689943732E-14</v>
      </c>
      <c r="CV138" s="13">
        <f t="shared" si="149"/>
        <v>4.10868481342271E-13</v>
      </c>
      <c r="CW138" s="20">
        <f t="shared" si="121"/>
        <v>7.5575126628944061E-13</v>
      </c>
      <c r="CX138" s="59">
        <f t="shared" si="122"/>
        <v>293.33333333333405</v>
      </c>
      <c r="CY138" s="59">
        <f ca="1">AVERAGE(OFFSET($CX$3,0,0,'Données projet'!$E$13+1,1))-AVERAGE(OFFSET($H$3,0,0,'Données projet'!$E$13+1,1))</f>
        <v>112.78807760743126</v>
      </c>
      <c r="CZ138" s="59">
        <f t="shared" si="150"/>
        <v>37.867745922003564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-8.5265128291212022E-14</v>
      </c>
      <c r="DP138" s="17">
        <f>DO138*VLOOKUP('Données projet'!$B$14,Paramètres!$A$1:$I$89,3,0)*VLOOKUP('Données projet'!$B$14,Paramètres!$A$1:$I$89,5,0)</f>
        <v>-5.7195848057745024E-14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107.15837202366862</v>
      </c>
      <c r="DU138" s="59">
        <f t="shared" si="152"/>
        <v>139.67031833740026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0.30839543650051876</v>
      </c>
      <c r="EC138" s="21">
        <f>EXP(-LN(2)/2)*EC137+(1-EXP(-LN(2)/2))/(LN(2)/2)*DW138*DZ138*VLOOKUP('Données projet'!$B$14,Paramètres!$A$1:$I$89,3,0)*0.475*44/12</f>
        <v>1.0597300670240737E-15</v>
      </c>
      <c r="ED138" s="22">
        <f t="shared" si="126"/>
        <v>0.30839543650051982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-1.1368683772161603E-13</v>
      </c>
      <c r="EK138" s="17">
        <f>EJ138*VLOOKUP('Données projet'!$B$15,Paramètres!$A$1:$I$89,3,0)*VLOOKUP('Données projet'!$B$15,Paramètres!$A$1:$I$89,5,0)</f>
        <v>-5.3205440053716299E-14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123.60520571614535</v>
      </c>
      <c r="EP138" s="59">
        <f t="shared" si="154"/>
        <v>119.00926870519527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0.10841281683856835</v>
      </c>
      <c r="EW138" s="21">
        <f>EXP(-LN(2)/25)*EW137+(1-EXP(-LN(2)/25))/(LN(2)/25)*Calculateur!ER138*Calculateur!ET138*VLOOKUP('Données projet'!$B$15,Paramètres!$A$1:$I$89,3,0)*0.475*44/12</f>
        <v>0.25990059653486036</v>
      </c>
      <c r="EX138" s="21">
        <f>EXP(-LN(2)/2)*EX137+(1-EXP(-LN(2)/2))/(LN(2)/2)*ER138*EU138*VLOOKUP('Données projet'!$B$15,Paramètres!$A$1:$I$89,3,0)*0.475*44/12</f>
        <v>9.5990907366245835E-16</v>
      </c>
      <c r="EY138" s="22">
        <f t="shared" si="129"/>
        <v>0.36831341337342965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-2.2737367544323206E-13</v>
      </c>
      <c r="FF138" s="17">
        <f>FE138*VLOOKUP('Données projet'!$B$16,Paramètres!$A$1:$I$89,3,0)*VLOOKUP('Données projet'!$B$16,Paramètres!$A$1:$I$89,5,0)</f>
        <v>-1.0936673788819462E-13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197.66963254934603</v>
      </c>
      <c r="FK138" s="59">
        <f t="shared" si="156"/>
        <v>158.08388141976138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0.33339549535220248</v>
      </c>
      <c r="FR138" s="21">
        <f>EXP(-LN(2)/25)*FR137+(1-EXP(-LN(2)/25))/(LN(2)/25)*Calculateur!FM138*Calculateur!FO138*VLOOKUP('Données projet'!$B$16,Paramètres!$A$1:$I$89,3,0)*0.475*44/12</f>
        <v>0.28909486011601115</v>
      </c>
      <c r="FS138" s="21">
        <f>EXP(-LN(2)/2)*FS137+(1-EXP(-LN(2)/2))/(LN(2)/2)*FM138*FP138*VLOOKUP('Données projet'!$B$16,Paramètres!$A$1:$I$89,3,0)*0.475*44/12</f>
        <v>1.2997188905507349E-15</v>
      </c>
      <c r="FT138" s="22">
        <f t="shared" si="132"/>
        <v>0.62249035546821496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5.6843418860808015E-14</v>
      </c>
      <c r="GA138" s="17">
        <f>FZ138*VLOOKUP('Données projet'!$B$17,Paramètres!$A$1:$I$89,3,0)*VLOOKUP('Données projet'!$B$17,Paramètres!$A$1:$I$89,5,0)</f>
        <v>3.3992364478763198E-14</v>
      </c>
      <c r="GB138" s="13">
        <f t="shared" si="157"/>
        <v>5.790027782444094E-13</v>
      </c>
      <c r="GC138" s="20">
        <f t="shared" si="133"/>
        <v>1.0676332069095257E-12</v>
      </c>
      <c r="GD138" s="59">
        <f t="shared" si="134"/>
        <v>293.33333333333439</v>
      </c>
      <c r="GE138" s="59">
        <f ca="1">AVERAGE(OFFSET($GD$3,0,0,'Données projet'!$E$17+1,1))-AVERAGE(OFFSET($H$3,0,0,'Données projet'!$E$17+1,1))</f>
        <v>165.39579887388538</v>
      </c>
      <c r="GF138" s="59">
        <f t="shared" si="158"/>
        <v>155.89639262545802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0.39660352996970466</v>
      </c>
      <c r="GN138" s="21">
        <f>EXP(-LN(2)/2)*GN137+(1-EXP(-LN(2)/2))/(LN(2)/2)*GH138*GK138*VLOOKUP('Données projet'!$B$17,Paramètres!$A$1:$I$89,3,0)*0.475*44/12</f>
        <v>2.1792939434376657E-15</v>
      </c>
      <c r="GO138" s="21">
        <f t="shared" si="135"/>
        <v>0.39660352996970683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2.8421709430404007E-14</v>
      </c>
      <c r="GV138" s="17">
        <f>GU138*VLOOKUP('Données projet'!$B$18,Paramètres!$A$1:$I$89,3,0)*VLOOKUP('Données projet'!$B$18,Paramètres!$A$1:$I$89,5,0)</f>
        <v>3.0593128030886874E-14</v>
      </c>
      <c r="GW138" s="13">
        <f t="shared" si="159"/>
        <v>5.2753263159251616E-13</v>
      </c>
      <c r="GX138" s="20">
        <f t="shared" si="136"/>
        <v>9.7206903134409357E-13</v>
      </c>
      <c r="GY138" s="59">
        <f t="shared" si="137"/>
        <v>293.33333333333428</v>
      </c>
      <c r="GZ138" s="59">
        <f ca="1">AVERAGE(OFFSET($GY$3,0,0,'Données projet'!$E$18+1,1))-AVERAGE(OFFSET($H$3,0,0,'Données projet'!$E$18+1,1))</f>
        <v>186.60545265015247</v>
      </c>
      <c r="HA138" s="59">
        <f t="shared" si="160"/>
        <v>69.239647548491234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0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0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1.9065282685915009E-13</v>
      </c>
      <c r="P139" s="13">
        <f t="shared" si="141"/>
        <v>2.6568987209435707E-12</v>
      </c>
      <c r="Q139" s="20">
        <f t="shared" si="108"/>
        <v>4.959485612423072E-12</v>
      </c>
      <c r="R139" s="59">
        <f t="shared" si="109"/>
        <v>293.33333333333826</v>
      </c>
      <c r="S139" s="59">
        <f ca="1">AVERAGE(OFFSET($R$3,0,0,'Données projet'!$E$9+1,1))-AVERAGE(OFFSET($H$3,0,0,'Données projet'!$E$9+1,1))</f>
        <v>235.10258076192054</v>
      </c>
      <c r="T139" s="59">
        <f t="shared" si="142"/>
        <v>233.47316052603765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0.41984723353440301</v>
      </c>
      <c r="AA139" s="21">
        <f>EXP(-LN(2)/25)*AA138+(1-EXP(-LN(2)/25))/(LN(2)/25)*Calculateur!V139*Calculateur!X139*VLOOKUP('Données projet'!$B$9,Paramètres!$A$1:$I$89,3,0)*0.475*44/12</f>
        <v>0.97560326001984843</v>
      </c>
      <c r="AB139" s="21">
        <f>EXP(-LN(2)/2)*AB138+(1-EXP(-LN(2)/2))/(LN(2)/2)*V139*Y139*VLOOKUP('Données projet'!$B$9,Paramètres!$A$1:$I$89,3,0)*0.475*44/12</f>
        <v>2.6780890530395555E-15</v>
      </c>
      <c r="AC139" s="22">
        <f t="shared" si="111"/>
        <v>1.3954504935542542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2.2737367544323206E-13</v>
      </c>
      <c r="AJ139" s="13">
        <f>AI139*VLOOKUP('Données projet'!$B$10,Paramètres!$A$1:$I$89,3,0)*VLOOKUP('Données projet'!$B$10,Paramètres!$A$1:$I$89,5,0)</f>
        <v>1.2414602679200471E-13</v>
      </c>
      <c r="AK139" s="13">
        <f t="shared" si="143"/>
        <v>1.8186582995804361E-12</v>
      </c>
      <c r="AL139" s="20">
        <f t="shared" si="112"/>
        <v>3.3837175350986671E-12</v>
      </c>
      <c r="AM139" s="59">
        <f t="shared" si="113"/>
        <v>293.33333333333672</v>
      </c>
      <c r="AN139" s="59">
        <f ca="1">AVERAGE(OFFSET($AM$3,0,0,'Données projet'!$E$10+1,1))-AVERAGE(OFFSET($H$3,0,0,'Données projet'!$E$10+1,1))</f>
        <v>168.72306536277267</v>
      </c>
      <c r="AO139" s="59">
        <f t="shared" si="144"/>
        <v>203.35476578922339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0.37280304034767275</v>
      </c>
      <c r="AV139" s="21">
        <f>EXP(-LN(2)/25)*AV138+(1-EXP(-LN(2)/25))/(LN(2)/25)*Calculateur!AQ139*Calculateur!AS139*VLOOKUP('Données projet'!$B$10,Paramètres!$A$1:$I$89,3,0)*0.475*44/12</f>
        <v>1.2164037030597332</v>
      </c>
      <c r="AW139" s="21">
        <f>EXP(-LN(2)/2)*AW138+(1-EXP(-LN(2)/2))/(LN(2)/2)*AQ139*AT139*VLOOKUP('Données projet'!$B$10,Paramètres!$A$1:$I$89,3,0)*0.475*44/12</f>
        <v>2.2230935561406169E-15</v>
      </c>
      <c r="AX139" s="21">
        <f t="shared" si="114"/>
        <v>1.5892067434074082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3.3992364478763198E-14</v>
      </c>
      <c r="BF139" s="13">
        <f t="shared" si="145"/>
        <v>5.790027782444094E-13</v>
      </c>
      <c r="BG139" s="20">
        <f t="shared" si="115"/>
        <v>1.0676332069095257E-12</v>
      </c>
      <c r="BH139" s="59">
        <f t="shared" si="116"/>
        <v>293.33333333333439</v>
      </c>
      <c r="BI139" s="59">
        <f ca="1">AVERAGE(OFFSET($BH$3,0,0,'Données projet'!$E$11+1,1))-AVERAGE(OFFSET($H$3,0,0,'Données projet'!$E$11+1,1))</f>
        <v>165.39579887388538</v>
      </c>
      <c r="BJ139" s="59">
        <f t="shared" si="146"/>
        <v>155.89639262545802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0.3857583855862099</v>
      </c>
      <c r="BR139" s="21">
        <f>EXP(-LN(2)/2)*BR138+(1-EXP(-LN(2)/2))/(LN(2)/2)*BL139*BO139*VLOOKUP('Données projet'!$B$11,Paramètres!$A$1:$I$89,3,0)*0.475*44/12</f>
        <v>1.5409935256035458E-15</v>
      </c>
      <c r="BS139" s="22">
        <f t="shared" si="117"/>
        <v>0.38575838558621145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2.8421709430404007E-14</v>
      </c>
      <c r="BZ139" s="13">
        <f>BY139*VLOOKUP('Données projet'!$B$12,Paramètres!$A$1:$I$89,3,0)*VLOOKUP('Données projet'!$B$12,Paramètres!$A$1:$I$89,5,0)</f>
        <v>2.7489477361086758E-14</v>
      </c>
      <c r="CA139" s="13">
        <f t="shared" si="147"/>
        <v>4.7995394886724981E-13</v>
      </c>
      <c r="CB139" s="20">
        <f t="shared" si="118"/>
        <v>8.8379730068101964E-13</v>
      </c>
      <c r="CC139" s="59">
        <f t="shared" si="119"/>
        <v>293.33333333333422</v>
      </c>
      <c r="CD139" s="59">
        <f ca="1">AVERAGE(OFFSET($CC$3,0,0,'Données projet'!$E$12+1,1))-AVERAGE(OFFSET($H$3,0,0,'Données projet'!$E$12+1,1))</f>
        <v>156.26368818265388</v>
      </c>
      <c r="CE139" s="59">
        <f t="shared" si="148"/>
        <v>56.347130462109817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2.8421709430404007E-14</v>
      </c>
      <c r="CU139" s="17">
        <f>CT139*VLOOKUP('Données projet'!$B$13,Paramètres!$A$1:$I$89,3,0)*VLOOKUP('Données projet'!$B$13,Paramètres!$A$1:$I$89,5,0)</f>
        <v>2.3055690689943732E-14</v>
      </c>
      <c r="CV139" s="13">
        <f t="shared" si="149"/>
        <v>4.10868481342271E-13</v>
      </c>
      <c r="CW139" s="20">
        <f t="shared" si="121"/>
        <v>7.5575126628944061E-13</v>
      </c>
      <c r="CX139" s="59">
        <f t="shared" si="122"/>
        <v>293.33333333333405</v>
      </c>
      <c r="CY139" s="59">
        <f ca="1">AVERAGE(OFFSET($CX$3,0,0,'Données projet'!$E$13+1,1))-AVERAGE(OFFSET($H$3,0,0,'Données projet'!$E$13+1,1))</f>
        <v>112.78807760743126</v>
      </c>
      <c r="CZ139" s="59">
        <f t="shared" si="150"/>
        <v>37.867745922003564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-8.5265128291212022E-14</v>
      </c>
      <c r="DP139" s="17">
        <f>DO139*VLOOKUP('Données projet'!$B$14,Paramètres!$A$1:$I$89,3,0)*VLOOKUP('Données projet'!$B$14,Paramètres!$A$1:$I$89,5,0)</f>
        <v>-5.7195848057745024E-14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107.15837202366862</v>
      </c>
      <c r="DU139" s="59">
        <f t="shared" si="152"/>
        <v>139.67031833740026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0.29996234707160091</v>
      </c>
      <c r="EC139" s="21">
        <f>EXP(-LN(2)/2)*EC138+(1-EXP(-LN(2)/2))/(LN(2)/2)*DW139*DZ139*VLOOKUP('Données projet'!$B$14,Paramètres!$A$1:$I$89,3,0)*0.475*44/12</f>
        <v>7.4934231661999701E-16</v>
      </c>
      <c r="ED139" s="22">
        <f t="shared" si="126"/>
        <v>0.29996234707160163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-1.1368683772161603E-13</v>
      </c>
      <c r="EK139" s="17">
        <f>EJ139*VLOOKUP('Données projet'!$B$15,Paramètres!$A$1:$I$89,3,0)*VLOOKUP('Données projet'!$B$15,Paramètres!$A$1:$I$89,5,0)</f>
        <v>-5.3205440053716299E-14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123.60520571614535</v>
      </c>
      <c r="EP139" s="59">
        <f t="shared" si="154"/>
        <v>119.00926870519527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0.10628690762565296</v>
      </c>
      <c r="EW139" s="21">
        <f>EXP(-LN(2)/25)*EW138+(1-EXP(-LN(2)/25))/(LN(2)/25)*Calculateur!ER139*Calculateur!ET139*VLOOKUP('Données projet'!$B$15,Paramètres!$A$1:$I$89,3,0)*0.475*44/12</f>
        <v>0.25279360105503623</v>
      </c>
      <c r="EX139" s="21">
        <f>EXP(-LN(2)/2)*EX138+(1-EXP(-LN(2)/2))/(LN(2)/2)*ER139*EU139*VLOOKUP('Données projet'!$B$15,Paramètres!$A$1:$I$89,3,0)*0.475*44/12</f>
        <v>6.7875821530922148E-16</v>
      </c>
      <c r="EY139" s="22">
        <f t="shared" si="129"/>
        <v>0.35908050868068986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-2.2737367544323206E-13</v>
      </c>
      <c r="FF139" s="17">
        <f>FE139*VLOOKUP('Données projet'!$B$16,Paramètres!$A$1:$I$89,3,0)*VLOOKUP('Données projet'!$B$16,Paramètres!$A$1:$I$89,5,0)</f>
        <v>-1.0936673788819462E-13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197.66963254934603</v>
      </c>
      <c r="FK139" s="59">
        <f t="shared" si="156"/>
        <v>158.08388141976138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0.32685781303951866</v>
      </c>
      <c r="FR139" s="21">
        <f>EXP(-LN(2)/25)*FR138+(1-EXP(-LN(2)/25))/(LN(2)/25)*Calculateur!FM139*Calculateur!FO139*VLOOKUP('Données projet'!$B$16,Paramètres!$A$1:$I$89,3,0)*0.475*44/12</f>
        <v>0.28118954596330087</v>
      </c>
      <c r="FS139" s="21">
        <f>EXP(-LN(2)/2)*FS138+(1-EXP(-LN(2)/2))/(LN(2)/2)*FM139*FP139*VLOOKUP('Données projet'!$B$16,Paramètres!$A$1:$I$89,3,0)*0.475*44/12</f>
        <v>9.1904004114468079E-16</v>
      </c>
      <c r="FT139" s="22">
        <f t="shared" si="132"/>
        <v>0.60804735900282036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5.6843418860808015E-14</v>
      </c>
      <c r="GA139" s="17">
        <f>FZ139*VLOOKUP('Données projet'!$B$17,Paramètres!$A$1:$I$89,3,0)*VLOOKUP('Données projet'!$B$17,Paramètres!$A$1:$I$89,5,0)</f>
        <v>3.3992364478763198E-14</v>
      </c>
      <c r="GB139" s="13">
        <f t="shared" si="157"/>
        <v>5.790027782444094E-13</v>
      </c>
      <c r="GC139" s="20">
        <f t="shared" si="133"/>
        <v>1.0676332069095257E-12</v>
      </c>
      <c r="GD139" s="59">
        <f t="shared" si="134"/>
        <v>293.33333333333439</v>
      </c>
      <c r="GE139" s="59">
        <f ca="1">AVERAGE(OFFSET($GD$3,0,0,'Données projet'!$E$17+1,1))-AVERAGE(OFFSET($H$3,0,0,'Données projet'!$E$17+1,1))</f>
        <v>165.39579887388538</v>
      </c>
      <c r="GF139" s="59">
        <f t="shared" si="158"/>
        <v>155.89639262545802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0.3857583855862099</v>
      </c>
      <c r="GN139" s="21">
        <f>EXP(-LN(2)/2)*GN138+(1-EXP(-LN(2)/2))/(LN(2)/2)*GH139*GK139*VLOOKUP('Données projet'!$B$17,Paramètres!$A$1:$I$89,3,0)*0.475*44/12</f>
        <v>1.5409935256035458E-15</v>
      </c>
      <c r="GO139" s="21">
        <f t="shared" si="135"/>
        <v>0.38575838558621145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2.8421709430404007E-14</v>
      </c>
      <c r="GV139" s="17">
        <f>GU139*VLOOKUP('Données projet'!$B$18,Paramètres!$A$1:$I$89,3,0)*VLOOKUP('Données projet'!$B$18,Paramètres!$A$1:$I$89,5,0)</f>
        <v>3.0593128030886874E-14</v>
      </c>
      <c r="GW139" s="13">
        <f t="shared" si="159"/>
        <v>5.2753263159251616E-13</v>
      </c>
      <c r="GX139" s="20">
        <f t="shared" si="136"/>
        <v>9.7206903134409357E-13</v>
      </c>
      <c r="GY139" s="59">
        <f t="shared" si="137"/>
        <v>293.33333333333428</v>
      </c>
      <c r="GZ139" s="59">
        <f ca="1">AVERAGE(OFFSET($GY$3,0,0,'Données projet'!$E$18+1,1))-AVERAGE(OFFSET($H$3,0,0,'Données projet'!$E$18+1,1))</f>
        <v>186.60545265015247</v>
      </c>
      <c r="HA139" s="59">
        <f t="shared" si="160"/>
        <v>69.239647548491234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0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0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1.9065282685915009E-13</v>
      </c>
      <c r="P140" s="13">
        <f t="shared" si="141"/>
        <v>2.6568987209435707E-12</v>
      </c>
      <c r="Q140" s="20">
        <f t="shared" si="108"/>
        <v>4.959485612423072E-12</v>
      </c>
      <c r="R140" s="59">
        <f t="shared" si="109"/>
        <v>293.33333333333826</v>
      </c>
      <c r="S140" s="59">
        <f ca="1">AVERAGE(OFFSET($R$3,0,0,'Données projet'!$E$9+1,1))-AVERAGE(OFFSET($H$3,0,0,'Données projet'!$E$9+1,1))</f>
        <v>235.10258076192054</v>
      </c>
      <c r="T140" s="59">
        <f t="shared" si="142"/>
        <v>233.47316052603765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0.41161428536631989</v>
      </c>
      <c r="AA140" s="21">
        <f>EXP(-LN(2)/25)*AA139+(1-EXP(-LN(2)/25))/(LN(2)/25)*Calculateur!V140*Calculateur!X140*VLOOKUP('Données projet'!$B$9,Paramètres!$A$1:$I$89,3,0)*0.475*44/12</f>
        <v>0.94892533756985997</v>
      </c>
      <c r="AB140" s="21">
        <f>EXP(-LN(2)/2)*AB139+(1-EXP(-LN(2)/2))/(LN(2)/2)*V140*Y140*VLOOKUP('Données projet'!$B$9,Paramètres!$A$1:$I$89,3,0)*0.475*44/12</f>
        <v>1.8936949300257292E-15</v>
      </c>
      <c r="AC140" s="22">
        <f t="shared" si="111"/>
        <v>1.3605396229361819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2.2737367544323206E-13</v>
      </c>
      <c r="AJ140" s="13">
        <f>AI140*VLOOKUP('Données projet'!$B$10,Paramètres!$A$1:$I$89,3,0)*VLOOKUP('Données projet'!$B$10,Paramètres!$A$1:$I$89,5,0)</f>
        <v>1.2414602679200471E-13</v>
      </c>
      <c r="AK140" s="13">
        <f t="shared" si="143"/>
        <v>1.8186582995804361E-12</v>
      </c>
      <c r="AL140" s="20">
        <f t="shared" si="112"/>
        <v>3.3837175350986671E-12</v>
      </c>
      <c r="AM140" s="59">
        <f t="shared" si="113"/>
        <v>293.33333333333672</v>
      </c>
      <c r="AN140" s="59">
        <f ca="1">AVERAGE(OFFSET($AM$3,0,0,'Données projet'!$E$10+1,1))-AVERAGE(OFFSET($H$3,0,0,'Données projet'!$E$10+1,1))</f>
        <v>168.72306536277267</v>
      </c>
      <c r="AO140" s="59">
        <f t="shared" si="144"/>
        <v>203.35476578922339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0.36549260011385687</v>
      </c>
      <c r="AV140" s="21">
        <f>EXP(-LN(2)/25)*AV139+(1-EXP(-LN(2)/25))/(LN(2)/25)*Calculateur!AQ140*Calculateur!AS140*VLOOKUP('Données projet'!$B$10,Paramètres!$A$1:$I$89,3,0)*0.475*44/12</f>
        <v>1.1831410798316742</v>
      </c>
      <c r="AW140" s="21">
        <f>EXP(-LN(2)/2)*AW139+(1-EXP(-LN(2)/2))/(LN(2)/2)*AQ140*AT140*VLOOKUP('Données projet'!$B$10,Paramètres!$A$1:$I$89,3,0)*0.475*44/12</f>
        <v>1.571964528759147E-15</v>
      </c>
      <c r="AX140" s="21">
        <f t="shared" si="114"/>
        <v>1.5486336799455327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3.3992364478763198E-14</v>
      </c>
      <c r="BF140" s="13">
        <f t="shared" si="145"/>
        <v>5.790027782444094E-13</v>
      </c>
      <c r="BG140" s="20">
        <f t="shared" si="115"/>
        <v>1.0676332069095257E-12</v>
      </c>
      <c r="BH140" s="59">
        <f t="shared" si="116"/>
        <v>293.33333333333439</v>
      </c>
      <c r="BI140" s="59">
        <f ca="1">AVERAGE(OFFSET($BH$3,0,0,'Données projet'!$E$11+1,1))-AVERAGE(OFFSET($H$3,0,0,'Données projet'!$E$11+1,1))</f>
        <v>165.39579887388538</v>
      </c>
      <c r="BJ140" s="59">
        <f t="shared" si="146"/>
        <v>155.89639262545802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0.37520980224620315</v>
      </c>
      <c r="BR140" s="21">
        <f>EXP(-LN(2)/2)*BR139+(1-EXP(-LN(2)/2))/(LN(2)/2)*BL140*BO140*VLOOKUP('Données projet'!$B$11,Paramètres!$A$1:$I$89,3,0)*0.475*44/12</f>
        <v>1.0896469717188329E-15</v>
      </c>
      <c r="BS140" s="22">
        <f t="shared" si="117"/>
        <v>0.37520980224620426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2.8421709430404007E-14</v>
      </c>
      <c r="BZ140" s="13">
        <f>BY140*VLOOKUP('Données projet'!$B$12,Paramètres!$A$1:$I$89,3,0)*VLOOKUP('Données projet'!$B$12,Paramètres!$A$1:$I$89,5,0)</f>
        <v>2.7489477361086758E-14</v>
      </c>
      <c r="CA140" s="13">
        <f t="shared" si="147"/>
        <v>4.7995394886724981E-13</v>
      </c>
      <c r="CB140" s="20">
        <f t="shared" si="118"/>
        <v>8.8379730068101964E-13</v>
      </c>
      <c r="CC140" s="59">
        <f t="shared" si="119"/>
        <v>293.33333333333422</v>
      </c>
      <c r="CD140" s="59">
        <f ca="1">AVERAGE(OFFSET($CC$3,0,0,'Données projet'!$E$12+1,1))-AVERAGE(OFFSET($H$3,0,0,'Données projet'!$E$12+1,1))</f>
        <v>156.26368818265388</v>
      </c>
      <c r="CE140" s="59">
        <f t="shared" si="148"/>
        <v>56.347130462109817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2.8421709430404007E-14</v>
      </c>
      <c r="CU140" s="17">
        <f>CT140*VLOOKUP('Données projet'!$B$13,Paramètres!$A$1:$I$89,3,0)*VLOOKUP('Données projet'!$B$13,Paramètres!$A$1:$I$89,5,0)</f>
        <v>2.3055690689943732E-14</v>
      </c>
      <c r="CV140" s="13">
        <f t="shared" si="149"/>
        <v>4.10868481342271E-13</v>
      </c>
      <c r="CW140" s="20">
        <f t="shared" si="121"/>
        <v>7.5575126628944061E-13</v>
      </c>
      <c r="CX140" s="59">
        <f t="shared" si="122"/>
        <v>293.33333333333405</v>
      </c>
      <c r="CY140" s="59">
        <f ca="1">AVERAGE(OFFSET($CX$3,0,0,'Données projet'!$E$13+1,1))-AVERAGE(OFFSET($H$3,0,0,'Données projet'!$E$13+1,1))</f>
        <v>112.78807760743126</v>
      </c>
      <c r="CZ140" s="59">
        <f t="shared" si="150"/>
        <v>37.867745922003564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-8.5265128291212022E-14</v>
      </c>
      <c r="DP140" s="17">
        <f>DO140*VLOOKUP('Données projet'!$B$14,Paramètres!$A$1:$I$89,3,0)*VLOOKUP('Données projet'!$B$14,Paramètres!$A$1:$I$89,5,0)</f>
        <v>-5.7195848057745024E-14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107.15837202366862</v>
      </c>
      <c r="DU140" s="59">
        <f t="shared" si="152"/>
        <v>139.67031833740026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0.29175986091659373</v>
      </c>
      <c r="EC140" s="21">
        <f>EXP(-LN(2)/2)*EC139+(1-EXP(-LN(2)/2))/(LN(2)/2)*DW140*DZ140*VLOOKUP('Données projet'!$B$14,Paramètres!$A$1:$I$89,3,0)*0.475*44/12</f>
        <v>5.2986503351203683E-16</v>
      </c>
      <c r="ED140" s="22">
        <f t="shared" si="126"/>
        <v>0.29175986091659428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-1.1368683772161603E-13</v>
      </c>
      <c r="EK140" s="17">
        <f>EJ140*VLOOKUP('Données projet'!$B$15,Paramètres!$A$1:$I$89,3,0)*VLOOKUP('Données projet'!$B$15,Paramètres!$A$1:$I$89,5,0)</f>
        <v>-5.3205440053716299E-14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123.60520571614535</v>
      </c>
      <c r="EP140" s="59">
        <f t="shared" si="154"/>
        <v>119.00926870519527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0.10420268619572626</v>
      </c>
      <c r="EW140" s="21">
        <f>EXP(-LN(2)/25)*EW139+(1-EXP(-LN(2)/25))/(LN(2)/25)*Calculateur!ER140*Calculateur!ET140*VLOOKUP('Données projet'!$B$15,Paramètres!$A$1:$I$89,3,0)*0.475*44/12</f>
        <v>0.24588094674034855</v>
      </c>
      <c r="EX140" s="21">
        <f>EXP(-LN(2)/2)*EX139+(1-EXP(-LN(2)/2))/(LN(2)/2)*ER140*EU140*VLOOKUP('Données projet'!$B$15,Paramètres!$A$1:$I$89,3,0)*0.475*44/12</f>
        <v>4.7995453683122918E-16</v>
      </c>
      <c r="EY140" s="22">
        <f t="shared" si="129"/>
        <v>0.35008363293607531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-2.2737367544323206E-13</v>
      </c>
      <c r="FF140" s="17">
        <f>FE140*VLOOKUP('Données projet'!$B$16,Paramètres!$A$1:$I$89,3,0)*VLOOKUP('Données projet'!$B$16,Paramètres!$A$1:$I$89,5,0)</f>
        <v>-1.0936673788819462E-13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197.66963254934603</v>
      </c>
      <c r="FK140" s="59">
        <f t="shared" si="156"/>
        <v>158.08388141976138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0.32044833068939416</v>
      </c>
      <c r="FR140" s="21">
        <f>EXP(-LN(2)/25)*FR139+(1-EXP(-LN(2)/25))/(LN(2)/25)*Calculateur!FM140*Calculateur!FO140*VLOOKUP('Données projet'!$B$16,Paramètres!$A$1:$I$89,3,0)*0.475*44/12</f>
        <v>0.27350040304181883</v>
      </c>
      <c r="FS140" s="21">
        <f>EXP(-LN(2)/2)*FS139+(1-EXP(-LN(2)/2))/(LN(2)/2)*FM140*FP140*VLOOKUP('Données projet'!$B$16,Paramètres!$A$1:$I$89,3,0)*0.475*44/12</f>
        <v>6.4985944527536745E-16</v>
      </c>
      <c r="FT140" s="22">
        <f t="shared" si="132"/>
        <v>0.59394873373121371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5.6843418860808015E-14</v>
      </c>
      <c r="GA140" s="17">
        <f>FZ140*VLOOKUP('Données projet'!$B$17,Paramètres!$A$1:$I$89,3,0)*VLOOKUP('Données projet'!$B$17,Paramètres!$A$1:$I$89,5,0)</f>
        <v>3.3992364478763198E-14</v>
      </c>
      <c r="GB140" s="13">
        <f t="shared" si="157"/>
        <v>5.790027782444094E-13</v>
      </c>
      <c r="GC140" s="20">
        <f t="shared" si="133"/>
        <v>1.0676332069095257E-12</v>
      </c>
      <c r="GD140" s="59">
        <f t="shared" si="134"/>
        <v>293.33333333333439</v>
      </c>
      <c r="GE140" s="59">
        <f ca="1">AVERAGE(OFFSET($GD$3,0,0,'Données projet'!$E$17+1,1))-AVERAGE(OFFSET($H$3,0,0,'Données projet'!$E$17+1,1))</f>
        <v>165.39579887388538</v>
      </c>
      <c r="GF140" s="59">
        <f t="shared" si="158"/>
        <v>155.89639262545802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0.37520980224620315</v>
      </c>
      <c r="GN140" s="21">
        <f>EXP(-LN(2)/2)*GN139+(1-EXP(-LN(2)/2))/(LN(2)/2)*GH140*GK140*VLOOKUP('Données projet'!$B$17,Paramètres!$A$1:$I$89,3,0)*0.475*44/12</f>
        <v>1.0896469717188329E-15</v>
      </c>
      <c r="GO140" s="21">
        <f t="shared" si="135"/>
        <v>0.37520980224620426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2.8421709430404007E-14</v>
      </c>
      <c r="GV140" s="17">
        <f>GU140*VLOOKUP('Données projet'!$B$18,Paramètres!$A$1:$I$89,3,0)*VLOOKUP('Données projet'!$B$18,Paramètres!$A$1:$I$89,5,0)</f>
        <v>3.0593128030886874E-14</v>
      </c>
      <c r="GW140" s="13">
        <f t="shared" si="159"/>
        <v>5.2753263159251616E-13</v>
      </c>
      <c r="GX140" s="20">
        <f t="shared" si="136"/>
        <v>9.7206903134409357E-13</v>
      </c>
      <c r="GY140" s="59">
        <f t="shared" si="137"/>
        <v>293.33333333333428</v>
      </c>
      <c r="GZ140" s="59">
        <f ca="1">AVERAGE(OFFSET($GY$3,0,0,'Données projet'!$E$18+1,1))-AVERAGE(OFFSET($H$3,0,0,'Données projet'!$E$18+1,1))</f>
        <v>186.60545265015247</v>
      </c>
      <c r="HA140" s="59">
        <f t="shared" si="160"/>
        <v>69.239647548491234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0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0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1.9065282685915009E-13</v>
      </c>
      <c r="P141" s="13">
        <f t="shared" si="141"/>
        <v>2.6568987209435707E-12</v>
      </c>
      <c r="Q141" s="20">
        <f t="shared" si="108"/>
        <v>4.959485612423072E-12</v>
      </c>
      <c r="R141" s="59">
        <f t="shared" si="109"/>
        <v>293.33333333333826</v>
      </c>
      <c r="S141" s="59">
        <f ca="1">AVERAGE(OFFSET($R$3,0,0,'Données projet'!$E$9+1,1))-AVERAGE(OFFSET($H$3,0,0,'Données projet'!$E$9+1,1))</f>
        <v>235.10258076192054</v>
      </c>
      <c r="T141" s="59">
        <f t="shared" si="142"/>
        <v>233.47316052603765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0.40354278029021035</v>
      </c>
      <c r="AA141" s="21">
        <f>EXP(-LN(2)/25)*AA140+(1-EXP(-LN(2)/25))/(LN(2)/25)*Calculateur!V141*Calculateur!X141*VLOOKUP('Données projet'!$B$9,Paramètres!$A$1:$I$89,3,0)*0.475*44/12</f>
        <v>0.92297692431219747</v>
      </c>
      <c r="AB141" s="21">
        <f>EXP(-LN(2)/2)*AB140+(1-EXP(-LN(2)/2))/(LN(2)/2)*V141*Y141*VLOOKUP('Données projet'!$B$9,Paramètres!$A$1:$I$89,3,0)*0.475*44/12</f>
        <v>1.3390445265197777E-15</v>
      </c>
      <c r="AC141" s="22">
        <f t="shared" si="111"/>
        <v>1.3265197046024091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2.2737367544323206E-13</v>
      </c>
      <c r="AJ141" s="13">
        <f>AI141*VLOOKUP('Données projet'!$B$10,Paramètres!$A$1:$I$89,3,0)*VLOOKUP('Données projet'!$B$10,Paramètres!$A$1:$I$89,5,0)</f>
        <v>1.2414602679200471E-13</v>
      </c>
      <c r="AK141" s="13">
        <f t="shared" si="143"/>
        <v>1.8186582995804361E-12</v>
      </c>
      <c r="AL141" s="20">
        <f t="shared" si="112"/>
        <v>3.3837175350986671E-12</v>
      </c>
      <c r="AM141" s="59">
        <f t="shared" si="113"/>
        <v>293.33333333333672</v>
      </c>
      <c r="AN141" s="59">
        <f ca="1">AVERAGE(OFFSET($AM$3,0,0,'Données projet'!$E$10+1,1))-AVERAGE(OFFSET($H$3,0,0,'Données projet'!$E$10+1,1))</f>
        <v>168.72306536277267</v>
      </c>
      <c r="AO141" s="59">
        <f t="shared" si="144"/>
        <v>203.35476578922339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0.35832551315409783</v>
      </c>
      <c r="AV141" s="21">
        <f>EXP(-LN(2)/25)*AV140+(1-EXP(-LN(2)/25))/(LN(2)/25)*Calculateur!AQ141*Calculateur!AS141*VLOOKUP('Données projet'!$B$10,Paramètres!$A$1:$I$89,3,0)*0.475*44/12</f>
        <v>1.1507880247849918</v>
      </c>
      <c r="AW141" s="21">
        <f>EXP(-LN(2)/2)*AW140+(1-EXP(-LN(2)/2))/(LN(2)/2)*AQ141*AT141*VLOOKUP('Données projet'!$B$10,Paramètres!$A$1:$I$89,3,0)*0.475*44/12</f>
        <v>1.1115467780703084E-15</v>
      </c>
      <c r="AX141" s="21">
        <f t="shared" si="114"/>
        <v>1.5091135379390908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3.3992364478763198E-14</v>
      </c>
      <c r="BF141" s="13">
        <f t="shared" si="145"/>
        <v>5.790027782444094E-13</v>
      </c>
      <c r="BG141" s="20">
        <f t="shared" si="115"/>
        <v>1.0676332069095257E-12</v>
      </c>
      <c r="BH141" s="59">
        <f t="shared" si="116"/>
        <v>293.33333333333439</v>
      </c>
      <c r="BI141" s="59">
        <f ca="1">AVERAGE(OFFSET($BH$3,0,0,'Données projet'!$E$11+1,1))-AVERAGE(OFFSET($H$3,0,0,'Données projet'!$E$11+1,1))</f>
        <v>165.39579887388538</v>
      </c>
      <c r="BJ141" s="59">
        <f t="shared" si="146"/>
        <v>155.89639262545802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0.36494967047235477</v>
      </c>
      <c r="BR141" s="21">
        <f>EXP(-LN(2)/2)*BR140+(1-EXP(-LN(2)/2))/(LN(2)/2)*BL141*BO141*VLOOKUP('Données projet'!$B$11,Paramètres!$A$1:$I$89,3,0)*0.475*44/12</f>
        <v>7.7049676280177291E-16</v>
      </c>
      <c r="BS141" s="22">
        <f t="shared" si="117"/>
        <v>0.36494967047235555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2.8421709430404007E-14</v>
      </c>
      <c r="BZ141" s="13">
        <f>BY141*VLOOKUP('Données projet'!$B$12,Paramètres!$A$1:$I$89,3,0)*VLOOKUP('Données projet'!$B$12,Paramètres!$A$1:$I$89,5,0)</f>
        <v>2.7489477361086758E-14</v>
      </c>
      <c r="CA141" s="13">
        <f t="shared" si="147"/>
        <v>4.7995394886724981E-13</v>
      </c>
      <c r="CB141" s="20">
        <f t="shared" si="118"/>
        <v>8.8379730068101964E-13</v>
      </c>
      <c r="CC141" s="59">
        <f t="shared" si="119"/>
        <v>293.33333333333422</v>
      </c>
      <c r="CD141" s="59">
        <f ca="1">AVERAGE(OFFSET($CC$3,0,0,'Données projet'!$E$12+1,1))-AVERAGE(OFFSET($H$3,0,0,'Données projet'!$E$12+1,1))</f>
        <v>156.26368818265388</v>
      </c>
      <c r="CE141" s="59">
        <f t="shared" si="148"/>
        <v>56.347130462109817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2.8421709430404007E-14</v>
      </c>
      <c r="CU141" s="17">
        <f>CT141*VLOOKUP('Données projet'!$B$13,Paramètres!$A$1:$I$89,3,0)*VLOOKUP('Données projet'!$B$13,Paramètres!$A$1:$I$89,5,0)</f>
        <v>2.3055690689943732E-14</v>
      </c>
      <c r="CV141" s="13">
        <f t="shared" si="149"/>
        <v>4.10868481342271E-13</v>
      </c>
      <c r="CW141" s="20">
        <f t="shared" si="121"/>
        <v>7.5575126628944061E-13</v>
      </c>
      <c r="CX141" s="59">
        <f t="shared" si="122"/>
        <v>293.33333333333405</v>
      </c>
      <c r="CY141" s="59">
        <f ca="1">AVERAGE(OFFSET($CX$3,0,0,'Données projet'!$E$13+1,1))-AVERAGE(OFFSET($H$3,0,0,'Données projet'!$E$13+1,1))</f>
        <v>112.78807760743126</v>
      </c>
      <c r="CZ141" s="59">
        <f t="shared" si="150"/>
        <v>37.867745922003564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-8.5265128291212022E-14</v>
      </c>
      <c r="DP141" s="17">
        <f>DO141*VLOOKUP('Données projet'!$B$14,Paramètres!$A$1:$I$89,3,0)*VLOOKUP('Données projet'!$B$14,Paramètres!$A$1:$I$89,5,0)</f>
        <v>-5.7195848057745024E-14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107.15837202366862</v>
      </c>
      <c r="DU141" s="59">
        <f t="shared" si="152"/>
        <v>139.67031833740026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0.28378167217684519</v>
      </c>
      <c r="EC141" s="21">
        <f>EXP(-LN(2)/2)*EC140+(1-EXP(-LN(2)/2))/(LN(2)/2)*DW141*DZ141*VLOOKUP('Données projet'!$B$14,Paramètres!$A$1:$I$89,3,0)*0.475*44/12</f>
        <v>3.746711583099985E-16</v>
      </c>
      <c r="ED141" s="22">
        <f t="shared" si="126"/>
        <v>0.28378167217684558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-1.1368683772161603E-13</v>
      </c>
      <c r="EK141" s="17">
        <f>EJ141*VLOOKUP('Données projet'!$B$15,Paramètres!$A$1:$I$89,3,0)*VLOOKUP('Données projet'!$B$15,Paramètres!$A$1:$I$89,5,0)</f>
        <v>-5.3205440053716299E-14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123.60520571614535</v>
      </c>
      <c r="EP141" s="59">
        <f t="shared" si="154"/>
        <v>119.00926870519527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0.10215933507679088</v>
      </c>
      <c r="EW141" s="21">
        <f>EXP(-LN(2)/25)*EW140+(1-EXP(-LN(2)/25))/(LN(2)/25)*Calculateur!ER141*Calculateur!ET141*VLOOKUP('Données projet'!$B$15,Paramètres!$A$1:$I$89,3,0)*0.475*44/12</f>
        <v>0.23915731932141671</v>
      </c>
      <c r="EX141" s="21">
        <f>EXP(-LN(2)/2)*EX140+(1-EXP(-LN(2)/2))/(LN(2)/2)*ER141*EU141*VLOOKUP('Données projet'!$B$15,Paramètres!$A$1:$I$89,3,0)*0.475*44/12</f>
        <v>3.3937910765461074E-16</v>
      </c>
      <c r="EY141" s="22">
        <f t="shared" si="129"/>
        <v>0.34131665439820791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-2.2737367544323206E-13</v>
      </c>
      <c r="FF141" s="17">
        <f>FE141*VLOOKUP('Données projet'!$B$16,Paramètres!$A$1:$I$89,3,0)*VLOOKUP('Données projet'!$B$16,Paramètres!$A$1:$I$89,5,0)</f>
        <v>-1.0936673788819462E-13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197.66963254934603</v>
      </c>
      <c r="FK141" s="59">
        <f t="shared" si="156"/>
        <v>158.08388141976138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0.31416453437875735</v>
      </c>
      <c r="FR141" s="21">
        <f>EXP(-LN(2)/25)*FR140+(1-EXP(-LN(2)/25))/(LN(2)/25)*Calculateur!FM141*Calculateur!FO141*VLOOKUP('Données projet'!$B$16,Paramètres!$A$1:$I$89,3,0)*0.475*44/12</f>
        <v>0.26602152013787916</v>
      </c>
      <c r="FS141" s="21">
        <f>EXP(-LN(2)/2)*FS140+(1-EXP(-LN(2)/2))/(LN(2)/2)*FM141*FP141*VLOOKUP('Données projet'!$B$16,Paramètres!$A$1:$I$89,3,0)*0.475*44/12</f>
        <v>4.595200205723404E-16</v>
      </c>
      <c r="FT141" s="22">
        <f t="shared" si="132"/>
        <v>0.58018605451663696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5.6843418860808015E-14</v>
      </c>
      <c r="GA141" s="17">
        <f>FZ141*VLOOKUP('Données projet'!$B$17,Paramètres!$A$1:$I$89,3,0)*VLOOKUP('Données projet'!$B$17,Paramètres!$A$1:$I$89,5,0)</f>
        <v>3.3992364478763198E-14</v>
      </c>
      <c r="GB141" s="13">
        <f t="shared" si="157"/>
        <v>5.790027782444094E-13</v>
      </c>
      <c r="GC141" s="20">
        <f t="shared" si="133"/>
        <v>1.0676332069095257E-12</v>
      </c>
      <c r="GD141" s="59">
        <f t="shared" si="134"/>
        <v>293.33333333333439</v>
      </c>
      <c r="GE141" s="59">
        <f ca="1">AVERAGE(OFFSET($GD$3,0,0,'Données projet'!$E$17+1,1))-AVERAGE(OFFSET($H$3,0,0,'Données projet'!$E$17+1,1))</f>
        <v>165.39579887388538</v>
      </c>
      <c r="GF141" s="59">
        <f t="shared" si="158"/>
        <v>155.89639262545802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0.36494967047235477</v>
      </c>
      <c r="GN141" s="21">
        <f>EXP(-LN(2)/2)*GN140+(1-EXP(-LN(2)/2))/(LN(2)/2)*GH141*GK141*VLOOKUP('Données projet'!$B$17,Paramètres!$A$1:$I$89,3,0)*0.475*44/12</f>
        <v>7.7049676280177291E-16</v>
      </c>
      <c r="GO141" s="21">
        <f t="shared" si="135"/>
        <v>0.36494967047235555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2.8421709430404007E-14</v>
      </c>
      <c r="GV141" s="17">
        <f>GU141*VLOOKUP('Données projet'!$B$18,Paramètres!$A$1:$I$89,3,0)*VLOOKUP('Données projet'!$B$18,Paramètres!$A$1:$I$89,5,0)</f>
        <v>3.0593128030886874E-14</v>
      </c>
      <c r="GW141" s="13">
        <f t="shared" si="159"/>
        <v>5.2753263159251616E-13</v>
      </c>
      <c r="GX141" s="20">
        <f t="shared" si="136"/>
        <v>9.7206903134409357E-13</v>
      </c>
      <c r="GY141" s="59">
        <f t="shared" si="137"/>
        <v>293.33333333333428</v>
      </c>
      <c r="GZ141" s="59">
        <f ca="1">AVERAGE(OFFSET($GY$3,0,0,'Données projet'!$E$18+1,1))-AVERAGE(OFFSET($H$3,0,0,'Données projet'!$E$18+1,1))</f>
        <v>186.60545265015247</v>
      </c>
      <c r="HA141" s="59">
        <f t="shared" si="160"/>
        <v>69.239647548491234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0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0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1.9065282685915009E-13</v>
      </c>
      <c r="P142" s="13">
        <f t="shared" si="141"/>
        <v>2.6568987209435707E-12</v>
      </c>
      <c r="Q142" s="20">
        <f t="shared" si="108"/>
        <v>4.959485612423072E-12</v>
      </c>
      <c r="R142" s="59">
        <f t="shared" si="109"/>
        <v>293.33333333333826</v>
      </c>
      <c r="S142" s="59">
        <f ca="1">AVERAGE(OFFSET($R$3,0,0,'Données projet'!$E$9+1,1))-AVERAGE(OFFSET($H$3,0,0,'Données projet'!$E$9+1,1))</f>
        <v>235.10258076192054</v>
      </c>
      <c r="T142" s="59">
        <f t="shared" si="142"/>
        <v>233.47316052603765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0.39562955250551129</v>
      </c>
      <c r="AA142" s="21">
        <f>EXP(-LN(2)/25)*AA141+(1-EXP(-LN(2)/25))/(LN(2)/25)*Calculateur!V142*Calculateur!X142*VLOOKUP('Données projet'!$B$9,Paramètres!$A$1:$I$89,3,0)*0.475*44/12</f>
        <v>0.8977380717796335</v>
      </c>
      <c r="AB142" s="21">
        <f>EXP(-LN(2)/2)*AB141+(1-EXP(-LN(2)/2))/(LN(2)/2)*V142*Y142*VLOOKUP('Données projet'!$B$9,Paramètres!$A$1:$I$89,3,0)*0.475*44/12</f>
        <v>9.468474650128646E-16</v>
      </c>
      <c r="AC142" s="22">
        <f t="shared" si="111"/>
        <v>1.2933676242851457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2.2737367544323206E-13</v>
      </c>
      <c r="AJ142" s="13">
        <f>AI142*VLOOKUP('Données projet'!$B$10,Paramètres!$A$1:$I$89,3,0)*VLOOKUP('Données projet'!$B$10,Paramètres!$A$1:$I$89,5,0)</f>
        <v>1.2414602679200471E-13</v>
      </c>
      <c r="AK142" s="13">
        <f t="shared" si="143"/>
        <v>1.8186582995804361E-12</v>
      </c>
      <c r="AL142" s="20">
        <f t="shared" si="112"/>
        <v>3.3837175350986671E-12</v>
      </c>
      <c r="AM142" s="59">
        <f t="shared" si="113"/>
        <v>293.33333333333672</v>
      </c>
      <c r="AN142" s="59">
        <f ca="1">AVERAGE(OFFSET($AM$3,0,0,'Données projet'!$E$10+1,1))-AVERAGE(OFFSET($H$3,0,0,'Données projet'!$E$10+1,1))</f>
        <v>168.72306536277267</v>
      </c>
      <c r="AO142" s="59">
        <f t="shared" si="144"/>
        <v>203.35476578922339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0.3512989683981283</v>
      </c>
      <c r="AV142" s="21">
        <f>EXP(-LN(2)/25)*AV141+(1-EXP(-LN(2)/25))/(LN(2)/25)*Calculateur!AQ142*Calculateur!AS142*VLOOKUP('Données projet'!$B$10,Paramètres!$A$1:$I$89,3,0)*0.475*44/12</f>
        <v>1.119319665729934</v>
      </c>
      <c r="AW142" s="21">
        <f>EXP(-LN(2)/2)*AW141+(1-EXP(-LN(2)/2))/(LN(2)/2)*AQ142*AT142*VLOOKUP('Données projet'!$B$10,Paramètres!$A$1:$I$89,3,0)*0.475*44/12</f>
        <v>7.8598226437957351E-16</v>
      </c>
      <c r="AX142" s="21">
        <f t="shared" si="114"/>
        <v>1.4706186341280632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3.3992364478763198E-14</v>
      </c>
      <c r="BF142" s="13">
        <f t="shared" si="145"/>
        <v>5.790027782444094E-13</v>
      </c>
      <c r="BG142" s="20">
        <f t="shared" si="115"/>
        <v>1.0676332069095257E-12</v>
      </c>
      <c r="BH142" s="59">
        <f t="shared" si="116"/>
        <v>293.33333333333439</v>
      </c>
      <c r="BI142" s="59">
        <f ca="1">AVERAGE(OFFSET($BH$3,0,0,'Données projet'!$E$11+1,1))-AVERAGE(OFFSET($H$3,0,0,'Données projet'!$E$11+1,1))</f>
        <v>165.39579887388538</v>
      </c>
      <c r="BJ142" s="59">
        <f t="shared" si="146"/>
        <v>155.89639262545802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0.35497010254141914</v>
      </c>
      <c r="BR142" s="21">
        <f>EXP(-LN(2)/2)*BR141+(1-EXP(-LN(2)/2))/(LN(2)/2)*BL142*BO142*VLOOKUP('Données projet'!$B$11,Paramètres!$A$1:$I$89,3,0)*0.475*44/12</f>
        <v>5.4482348585941644E-16</v>
      </c>
      <c r="BS142" s="22">
        <f t="shared" si="117"/>
        <v>0.3549701025414197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2.8421709430404007E-14</v>
      </c>
      <c r="BZ142" s="13">
        <f>BY142*VLOOKUP('Données projet'!$B$12,Paramètres!$A$1:$I$89,3,0)*VLOOKUP('Données projet'!$B$12,Paramètres!$A$1:$I$89,5,0)</f>
        <v>2.7489477361086758E-14</v>
      </c>
      <c r="CA142" s="13">
        <f t="shared" si="147"/>
        <v>4.7995394886724981E-13</v>
      </c>
      <c r="CB142" s="20">
        <f t="shared" si="118"/>
        <v>8.8379730068101964E-13</v>
      </c>
      <c r="CC142" s="59">
        <f t="shared" si="119"/>
        <v>293.33333333333422</v>
      </c>
      <c r="CD142" s="59">
        <f ca="1">AVERAGE(OFFSET($CC$3,0,0,'Données projet'!$E$12+1,1))-AVERAGE(OFFSET($H$3,0,0,'Données projet'!$E$12+1,1))</f>
        <v>156.26368818265388</v>
      </c>
      <c r="CE142" s="59">
        <f t="shared" si="148"/>
        <v>56.347130462109817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2.8421709430404007E-14</v>
      </c>
      <c r="CU142" s="17">
        <f>CT142*VLOOKUP('Données projet'!$B$13,Paramètres!$A$1:$I$89,3,0)*VLOOKUP('Données projet'!$B$13,Paramètres!$A$1:$I$89,5,0)</f>
        <v>2.3055690689943732E-14</v>
      </c>
      <c r="CV142" s="13">
        <f t="shared" si="149"/>
        <v>4.10868481342271E-13</v>
      </c>
      <c r="CW142" s="20">
        <f t="shared" si="121"/>
        <v>7.5575126628944061E-13</v>
      </c>
      <c r="CX142" s="59">
        <f t="shared" si="122"/>
        <v>293.33333333333405</v>
      </c>
      <c r="CY142" s="59">
        <f ca="1">AVERAGE(OFFSET($CX$3,0,0,'Données projet'!$E$13+1,1))-AVERAGE(OFFSET($H$3,0,0,'Données projet'!$E$13+1,1))</f>
        <v>112.78807760743126</v>
      </c>
      <c r="CZ142" s="59">
        <f t="shared" si="150"/>
        <v>37.867745922003564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-8.5265128291212022E-14</v>
      </c>
      <c r="DP142" s="17">
        <f>DO142*VLOOKUP('Données projet'!$B$14,Paramètres!$A$1:$I$89,3,0)*VLOOKUP('Données projet'!$B$14,Paramètres!$A$1:$I$89,5,0)</f>
        <v>-5.7195848057745024E-14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107.15837202366862</v>
      </c>
      <c r="DU142" s="59">
        <f t="shared" si="152"/>
        <v>139.67031833740026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0.27602164742773982</v>
      </c>
      <c r="EC142" s="21">
        <f>EXP(-LN(2)/2)*EC141+(1-EXP(-LN(2)/2))/(LN(2)/2)*DW142*DZ142*VLOOKUP('Données projet'!$B$14,Paramètres!$A$1:$I$89,3,0)*0.475*44/12</f>
        <v>2.6493251675601842E-16</v>
      </c>
      <c r="ED142" s="22">
        <f t="shared" si="126"/>
        <v>0.2760216474277401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-1.1368683772161603E-13</v>
      </c>
      <c r="EK142" s="17">
        <f>EJ142*VLOOKUP('Données projet'!$B$15,Paramètres!$A$1:$I$89,3,0)*VLOOKUP('Données projet'!$B$15,Paramètres!$A$1:$I$89,5,0)</f>
        <v>-5.3205440053716299E-14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123.60520571614535</v>
      </c>
      <c r="EP142" s="59">
        <f t="shared" si="154"/>
        <v>119.00926870519527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0.1001560528269767</v>
      </c>
      <c r="EW142" s="21">
        <f>EXP(-LN(2)/25)*EW141+(1-EXP(-LN(2)/25))/(LN(2)/25)*Calculateur!ER142*Calculateur!ET142*VLOOKUP('Données projet'!$B$15,Paramètres!$A$1:$I$89,3,0)*0.475*44/12</f>
        <v>0.23261754984783575</v>
      </c>
      <c r="EX142" s="21">
        <f>EXP(-LN(2)/2)*EX141+(1-EXP(-LN(2)/2))/(LN(2)/2)*ER142*EU142*VLOOKUP('Données projet'!$B$15,Paramètres!$A$1:$I$89,3,0)*0.475*44/12</f>
        <v>2.3997726841561459E-16</v>
      </c>
      <c r="EY142" s="22">
        <f t="shared" si="129"/>
        <v>0.33277360267481271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-2.2737367544323206E-13</v>
      </c>
      <c r="FF142" s="17">
        <f>FE142*VLOOKUP('Données projet'!$B$16,Paramètres!$A$1:$I$89,3,0)*VLOOKUP('Données projet'!$B$16,Paramètres!$A$1:$I$89,5,0)</f>
        <v>-1.0936673788819462E-13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197.66963254934603</v>
      </c>
      <c r="FK142" s="59">
        <f t="shared" si="156"/>
        <v>158.08388141976138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0.30800395948103487</v>
      </c>
      <c r="FR142" s="21">
        <f>EXP(-LN(2)/25)*FR141+(1-EXP(-LN(2)/25))/(LN(2)/25)*Calculateur!FM142*Calculateur!FO142*VLOOKUP('Données projet'!$B$16,Paramètres!$A$1:$I$89,3,0)*0.475*44/12</f>
        <v>0.25874714768024509</v>
      </c>
      <c r="FS142" s="21">
        <f>EXP(-LN(2)/2)*FS141+(1-EXP(-LN(2)/2))/(LN(2)/2)*FM142*FP142*VLOOKUP('Données projet'!$B$16,Paramètres!$A$1:$I$89,3,0)*0.475*44/12</f>
        <v>3.2492972263768373E-16</v>
      </c>
      <c r="FT142" s="22">
        <f t="shared" si="132"/>
        <v>0.5667511071612803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5.6843418860808015E-14</v>
      </c>
      <c r="GA142" s="17">
        <f>FZ142*VLOOKUP('Données projet'!$B$17,Paramètres!$A$1:$I$89,3,0)*VLOOKUP('Données projet'!$B$17,Paramètres!$A$1:$I$89,5,0)</f>
        <v>3.3992364478763198E-14</v>
      </c>
      <c r="GB142" s="13">
        <f t="shared" si="157"/>
        <v>5.790027782444094E-13</v>
      </c>
      <c r="GC142" s="20">
        <f t="shared" si="133"/>
        <v>1.0676332069095257E-12</v>
      </c>
      <c r="GD142" s="59">
        <f t="shared" si="134"/>
        <v>293.33333333333439</v>
      </c>
      <c r="GE142" s="59">
        <f ca="1">AVERAGE(OFFSET($GD$3,0,0,'Données projet'!$E$17+1,1))-AVERAGE(OFFSET($H$3,0,0,'Données projet'!$E$17+1,1))</f>
        <v>165.39579887388538</v>
      </c>
      <c r="GF142" s="59">
        <f t="shared" si="158"/>
        <v>155.89639262545802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0.35497010254141914</v>
      </c>
      <c r="GN142" s="21">
        <f>EXP(-LN(2)/2)*GN141+(1-EXP(-LN(2)/2))/(LN(2)/2)*GH142*GK142*VLOOKUP('Données projet'!$B$17,Paramètres!$A$1:$I$89,3,0)*0.475*44/12</f>
        <v>5.4482348585941644E-16</v>
      </c>
      <c r="GO142" s="21">
        <f t="shared" si="135"/>
        <v>0.3549701025414197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2.8421709430404007E-14</v>
      </c>
      <c r="GV142" s="17">
        <f>GU142*VLOOKUP('Données projet'!$B$18,Paramètres!$A$1:$I$89,3,0)*VLOOKUP('Données projet'!$B$18,Paramètres!$A$1:$I$89,5,0)</f>
        <v>3.0593128030886874E-14</v>
      </c>
      <c r="GW142" s="13">
        <f t="shared" si="159"/>
        <v>5.2753263159251616E-13</v>
      </c>
      <c r="GX142" s="20">
        <f t="shared" si="136"/>
        <v>9.7206903134409357E-13</v>
      </c>
      <c r="GY142" s="59">
        <f t="shared" si="137"/>
        <v>293.33333333333428</v>
      </c>
      <c r="GZ142" s="59">
        <f ca="1">AVERAGE(OFFSET($GY$3,0,0,'Données projet'!$E$18+1,1))-AVERAGE(OFFSET($H$3,0,0,'Données projet'!$E$18+1,1))</f>
        <v>186.60545265015247</v>
      </c>
      <c r="HA142" s="59">
        <f t="shared" si="160"/>
        <v>69.239647548491234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0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0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1.9065282685915009E-13</v>
      </c>
      <c r="P143" s="13">
        <f t="shared" si="141"/>
        <v>2.6568987209435707E-12</v>
      </c>
      <c r="Q143" s="20">
        <f t="shared" si="108"/>
        <v>4.959485612423072E-12</v>
      </c>
      <c r="R143" s="59">
        <f t="shared" si="109"/>
        <v>293.33333333333826</v>
      </c>
      <c r="S143" s="59">
        <f ca="1">AVERAGE(OFFSET($R$3,0,0,'Données projet'!$E$9+1,1))-AVERAGE(OFFSET($H$3,0,0,'Données projet'!$E$9+1,1))</f>
        <v>235.10258076192054</v>
      </c>
      <c r="T143" s="59">
        <f t="shared" si="142"/>
        <v>233.47316052603765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0.38787149829107787</v>
      </c>
      <c r="AA143" s="21">
        <f>EXP(-LN(2)/25)*AA142+(1-EXP(-LN(2)/25))/(LN(2)/25)*Calculateur!V143*Calculateur!X143*VLOOKUP('Données projet'!$B$9,Paramètres!$A$1:$I$89,3,0)*0.475*44/12</f>
        <v>0.87318937699682608</v>
      </c>
      <c r="AB143" s="21">
        <f>EXP(-LN(2)/2)*AB142+(1-EXP(-LN(2)/2))/(LN(2)/2)*V143*Y143*VLOOKUP('Données projet'!$B$9,Paramètres!$A$1:$I$89,3,0)*0.475*44/12</f>
        <v>6.6952226325988887E-16</v>
      </c>
      <c r="AC143" s="22">
        <f t="shared" si="111"/>
        <v>1.2610608752879047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2.2737367544323206E-13</v>
      </c>
      <c r="AJ143" s="13">
        <f>AI143*VLOOKUP('Données projet'!$B$10,Paramètres!$A$1:$I$89,3,0)*VLOOKUP('Données projet'!$B$10,Paramètres!$A$1:$I$89,5,0)</f>
        <v>1.2414602679200471E-13</v>
      </c>
      <c r="AK143" s="13">
        <f t="shared" si="143"/>
        <v>1.8186582995804361E-12</v>
      </c>
      <c r="AL143" s="20">
        <f t="shared" si="112"/>
        <v>3.3837175350986671E-12</v>
      </c>
      <c r="AM143" s="59">
        <f t="shared" si="113"/>
        <v>293.33333333333672</v>
      </c>
      <c r="AN143" s="59">
        <f ca="1">AVERAGE(OFFSET($AM$3,0,0,'Données projet'!$E$10+1,1))-AVERAGE(OFFSET($H$3,0,0,'Données projet'!$E$10+1,1))</f>
        <v>168.72306536277267</v>
      </c>
      <c r="AO143" s="59">
        <f t="shared" si="144"/>
        <v>203.35476578922339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0.34441020989905419</v>
      </c>
      <c r="AV143" s="21">
        <f>EXP(-LN(2)/25)*AV142+(1-EXP(-LN(2)/25))/(LN(2)/25)*Calculateur!AQ143*Calculateur!AS143*VLOOKUP('Données projet'!$B$10,Paramètres!$A$1:$I$89,3,0)*0.475*44/12</f>
        <v>1.088711810608086</v>
      </c>
      <c r="AW143" s="21">
        <f>EXP(-LN(2)/2)*AW142+(1-EXP(-LN(2)/2))/(LN(2)/2)*AQ143*AT143*VLOOKUP('Données projet'!$B$10,Paramètres!$A$1:$I$89,3,0)*0.475*44/12</f>
        <v>5.5577338903515422E-16</v>
      </c>
      <c r="AX143" s="21">
        <f t="shared" si="114"/>
        <v>1.4331220205071409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3.3992364478763198E-14</v>
      </c>
      <c r="BF143" s="13">
        <f t="shared" si="145"/>
        <v>5.790027782444094E-13</v>
      </c>
      <c r="BG143" s="20">
        <f t="shared" si="115"/>
        <v>1.0676332069095257E-12</v>
      </c>
      <c r="BH143" s="59">
        <f t="shared" si="116"/>
        <v>293.33333333333439</v>
      </c>
      <c r="BI143" s="59">
        <f ca="1">AVERAGE(OFFSET($BH$3,0,0,'Données projet'!$E$11+1,1))-AVERAGE(OFFSET($H$3,0,0,'Données projet'!$E$11+1,1))</f>
        <v>165.39579887388538</v>
      </c>
      <c r="BJ143" s="59">
        <f t="shared" si="146"/>
        <v>155.89639262545802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0.34526342642035762</v>
      </c>
      <c r="BR143" s="21">
        <f>EXP(-LN(2)/2)*BR142+(1-EXP(-LN(2)/2))/(LN(2)/2)*BL143*BO143*VLOOKUP('Données projet'!$B$11,Paramètres!$A$1:$I$89,3,0)*0.475*44/12</f>
        <v>3.8524838140088645E-16</v>
      </c>
      <c r="BS143" s="22">
        <f t="shared" si="117"/>
        <v>0.34526342642035801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2.8421709430404007E-14</v>
      </c>
      <c r="BZ143" s="13">
        <f>BY143*VLOOKUP('Données projet'!$B$12,Paramètres!$A$1:$I$89,3,0)*VLOOKUP('Données projet'!$B$12,Paramètres!$A$1:$I$89,5,0)</f>
        <v>2.7489477361086758E-14</v>
      </c>
      <c r="CA143" s="13">
        <f t="shared" si="147"/>
        <v>4.7995394886724981E-13</v>
      </c>
      <c r="CB143" s="20">
        <f t="shared" si="118"/>
        <v>8.8379730068101964E-13</v>
      </c>
      <c r="CC143" s="59">
        <f t="shared" si="119"/>
        <v>293.33333333333422</v>
      </c>
      <c r="CD143" s="59">
        <f ca="1">AVERAGE(OFFSET($CC$3,0,0,'Données projet'!$E$12+1,1))-AVERAGE(OFFSET($H$3,0,0,'Données projet'!$E$12+1,1))</f>
        <v>156.26368818265388</v>
      </c>
      <c r="CE143" s="59">
        <f t="shared" si="148"/>
        <v>56.347130462109817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2.8421709430404007E-14</v>
      </c>
      <c r="CU143" s="17">
        <f>CT143*VLOOKUP('Données projet'!$B$13,Paramètres!$A$1:$I$89,3,0)*VLOOKUP('Données projet'!$B$13,Paramètres!$A$1:$I$89,5,0)</f>
        <v>2.3055690689943732E-14</v>
      </c>
      <c r="CV143" s="13">
        <f t="shared" si="149"/>
        <v>4.10868481342271E-13</v>
      </c>
      <c r="CW143" s="20">
        <f t="shared" si="121"/>
        <v>7.5575126628944061E-13</v>
      </c>
      <c r="CX143" s="59">
        <f t="shared" si="122"/>
        <v>293.33333333333405</v>
      </c>
      <c r="CY143" s="59">
        <f ca="1">AVERAGE(OFFSET($CX$3,0,0,'Données projet'!$E$13+1,1))-AVERAGE(OFFSET($H$3,0,0,'Données projet'!$E$13+1,1))</f>
        <v>112.78807760743126</v>
      </c>
      <c r="CZ143" s="59">
        <f t="shared" si="150"/>
        <v>37.867745922003564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-8.5265128291212022E-14</v>
      </c>
      <c r="DP143" s="17">
        <f>DO143*VLOOKUP('Données projet'!$B$14,Paramètres!$A$1:$I$89,3,0)*VLOOKUP('Données projet'!$B$14,Paramètres!$A$1:$I$89,5,0)</f>
        <v>-5.7195848057745024E-14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107.15837202366862</v>
      </c>
      <c r="DU143" s="59">
        <f t="shared" si="152"/>
        <v>139.67031833740026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0.26847382096348071</v>
      </c>
      <c r="EC143" s="21">
        <f>EXP(-LN(2)/2)*EC142+(1-EXP(-LN(2)/2))/(LN(2)/2)*DW143*DZ143*VLOOKUP('Données projet'!$B$14,Paramètres!$A$1:$I$89,3,0)*0.475*44/12</f>
        <v>1.8733557915499925E-16</v>
      </c>
      <c r="ED143" s="22">
        <f t="shared" si="126"/>
        <v>0.26847382096348088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-1.1368683772161603E-13</v>
      </c>
      <c r="EK143" s="17">
        <f>EJ143*VLOOKUP('Données projet'!$B$15,Paramètres!$A$1:$I$89,3,0)*VLOOKUP('Données projet'!$B$15,Paramètres!$A$1:$I$89,5,0)</f>
        <v>-5.3205440053716299E-14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123.60520571614535</v>
      </c>
      <c r="EP143" s="59">
        <f t="shared" si="154"/>
        <v>119.00926870519527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9.8192053720199859E-2</v>
      </c>
      <c r="EW143" s="21">
        <f>EXP(-LN(2)/25)*EW142+(1-EXP(-LN(2)/25))/(LN(2)/25)*Calculateur!ER143*Calculateur!ET143*VLOOKUP('Données projet'!$B$15,Paramètres!$A$1:$I$89,3,0)*0.475*44/12</f>
        <v>0.22625661071442138</v>
      </c>
      <c r="EX143" s="21">
        <f>EXP(-LN(2)/2)*EX142+(1-EXP(-LN(2)/2))/(LN(2)/2)*ER143*EU143*VLOOKUP('Données projet'!$B$15,Paramètres!$A$1:$I$89,3,0)*0.475*44/12</f>
        <v>1.6968955382730537E-16</v>
      </c>
      <c r="EY143" s="22">
        <f t="shared" si="129"/>
        <v>0.32444866443462139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-2.2737367544323206E-13</v>
      </c>
      <c r="FF143" s="17">
        <f>FE143*VLOOKUP('Données projet'!$B$16,Paramètres!$A$1:$I$89,3,0)*VLOOKUP('Données projet'!$B$16,Paramètres!$A$1:$I$89,5,0)</f>
        <v>-1.0936673788819462E-13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197.66963254934603</v>
      </c>
      <c r="FK143" s="59">
        <f t="shared" si="156"/>
        <v>158.08388141976138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0.30196418969947703</v>
      </c>
      <c r="FR143" s="21">
        <f>EXP(-LN(2)/25)*FR142+(1-EXP(-LN(2)/25))/(LN(2)/25)*Calculateur!FM143*Calculateur!FO143*VLOOKUP('Données projet'!$B$16,Paramètres!$A$1:$I$89,3,0)*0.475*44/12</f>
        <v>0.25167169332000766</v>
      </c>
      <c r="FS143" s="21">
        <f>EXP(-LN(2)/2)*FS142+(1-EXP(-LN(2)/2))/(LN(2)/2)*FM143*FP143*VLOOKUP('Données projet'!$B$16,Paramètres!$A$1:$I$89,3,0)*0.475*44/12</f>
        <v>2.297600102861702E-16</v>
      </c>
      <c r="FT143" s="22">
        <f t="shared" si="132"/>
        <v>0.55363588301948496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5.6843418860808015E-14</v>
      </c>
      <c r="GA143" s="17">
        <f>FZ143*VLOOKUP('Données projet'!$B$17,Paramètres!$A$1:$I$89,3,0)*VLOOKUP('Données projet'!$B$17,Paramètres!$A$1:$I$89,5,0)</f>
        <v>3.3992364478763198E-14</v>
      </c>
      <c r="GB143" s="13">
        <f t="shared" si="157"/>
        <v>5.790027782444094E-13</v>
      </c>
      <c r="GC143" s="20">
        <f t="shared" si="133"/>
        <v>1.0676332069095257E-12</v>
      </c>
      <c r="GD143" s="59">
        <f t="shared" si="134"/>
        <v>293.33333333333439</v>
      </c>
      <c r="GE143" s="59">
        <f ca="1">AVERAGE(OFFSET($GD$3,0,0,'Données projet'!$E$17+1,1))-AVERAGE(OFFSET($H$3,0,0,'Données projet'!$E$17+1,1))</f>
        <v>165.39579887388538</v>
      </c>
      <c r="GF143" s="59">
        <f t="shared" si="158"/>
        <v>155.89639262545802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0.34526342642035762</v>
      </c>
      <c r="GN143" s="21">
        <f>EXP(-LN(2)/2)*GN142+(1-EXP(-LN(2)/2))/(LN(2)/2)*GH143*GK143*VLOOKUP('Données projet'!$B$17,Paramètres!$A$1:$I$89,3,0)*0.475*44/12</f>
        <v>3.8524838140088645E-16</v>
      </c>
      <c r="GO143" s="21">
        <f t="shared" si="135"/>
        <v>0.34526342642035801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2.8421709430404007E-14</v>
      </c>
      <c r="GV143" s="17">
        <f>GU143*VLOOKUP('Données projet'!$B$18,Paramètres!$A$1:$I$89,3,0)*VLOOKUP('Données projet'!$B$18,Paramètres!$A$1:$I$89,5,0)</f>
        <v>3.0593128030886874E-14</v>
      </c>
      <c r="GW143" s="13">
        <f t="shared" si="159"/>
        <v>5.2753263159251616E-13</v>
      </c>
      <c r="GX143" s="20">
        <f t="shared" si="136"/>
        <v>9.7206903134409357E-13</v>
      </c>
      <c r="GY143" s="59">
        <f t="shared" si="137"/>
        <v>293.33333333333428</v>
      </c>
      <c r="GZ143" s="59">
        <f ca="1">AVERAGE(OFFSET($GY$3,0,0,'Données projet'!$E$18+1,1))-AVERAGE(OFFSET($H$3,0,0,'Données projet'!$E$18+1,1))</f>
        <v>186.60545265015247</v>
      </c>
      <c r="HA143" s="59">
        <f t="shared" si="160"/>
        <v>69.239647548491234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0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0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1.9065282685915009E-13</v>
      </c>
      <c r="P144" s="13">
        <f t="shared" si="141"/>
        <v>2.6568987209435707E-12</v>
      </c>
      <c r="Q144" s="20">
        <f t="shared" si="108"/>
        <v>4.959485612423072E-12</v>
      </c>
      <c r="R144" s="59">
        <f t="shared" si="109"/>
        <v>293.33333333333826</v>
      </c>
      <c r="S144" s="59">
        <f ca="1">AVERAGE(OFFSET($R$3,0,0,'Données projet'!$E$9+1,1))-AVERAGE(OFFSET($H$3,0,0,'Données projet'!$E$9+1,1))</f>
        <v>235.10258076192054</v>
      </c>
      <c r="T144" s="59">
        <f t="shared" si="142"/>
        <v>233.47316052603765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0.38026557478784362</v>
      </c>
      <c r="AA144" s="21">
        <f>EXP(-LN(2)/25)*AA143+(1-EXP(-LN(2)/25))/(LN(2)/25)*Calculateur!V144*Calculateur!X144*VLOOKUP('Données projet'!$B$9,Paramètres!$A$1:$I$89,3,0)*0.475*44/12</f>
        <v>0.84931196756381422</v>
      </c>
      <c r="AB144" s="21">
        <f>EXP(-LN(2)/2)*AB143+(1-EXP(-LN(2)/2))/(LN(2)/2)*V144*Y144*VLOOKUP('Données projet'!$B$9,Paramètres!$A$1:$I$89,3,0)*0.475*44/12</f>
        <v>4.734237325064323E-16</v>
      </c>
      <c r="AC144" s="22">
        <f t="shared" si="111"/>
        <v>1.2295775423516582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2.2737367544323206E-13</v>
      </c>
      <c r="AJ144" s="13">
        <f>AI144*VLOOKUP('Données projet'!$B$10,Paramètres!$A$1:$I$89,3,0)*VLOOKUP('Données projet'!$B$10,Paramètres!$A$1:$I$89,5,0)</f>
        <v>1.2414602679200471E-13</v>
      </c>
      <c r="AK144" s="13">
        <f t="shared" si="143"/>
        <v>1.8186582995804361E-12</v>
      </c>
      <c r="AL144" s="20">
        <f t="shared" si="112"/>
        <v>3.3837175350986671E-12</v>
      </c>
      <c r="AM144" s="59">
        <f t="shared" si="113"/>
        <v>293.33333333333672</v>
      </c>
      <c r="AN144" s="59">
        <f ca="1">AVERAGE(OFFSET($AM$3,0,0,'Données projet'!$E$10+1,1))-AVERAGE(OFFSET($H$3,0,0,'Données projet'!$E$10+1,1))</f>
        <v>168.72306536277267</v>
      </c>
      <c r="AO144" s="59">
        <f t="shared" si="144"/>
        <v>203.35476578922339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0.33765653575241911</v>
      </c>
      <c r="AV144" s="21">
        <f>EXP(-LN(2)/25)*AV143+(1-EXP(-LN(2)/25))/(LN(2)/25)*Calculateur!AQ144*Calculateur!AS144*VLOOKUP('Données projet'!$B$10,Paramètres!$A$1:$I$89,3,0)*0.475*44/12</f>
        <v>1.058940928894142</v>
      </c>
      <c r="AW144" s="21">
        <f>EXP(-LN(2)/2)*AW143+(1-EXP(-LN(2)/2))/(LN(2)/2)*AQ144*AT144*VLOOKUP('Données projet'!$B$10,Paramètres!$A$1:$I$89,3,0)*0.475*44/12</f>
        <v>3.9299113218978676E-16</v>
      </c>
      <c r="AX144" s="21">
        <f t="shared" si="114"/>
        <v>1.3965974646465615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3.3992364478763198E-14</v>
      </c>
      <c r="BF144" s="13">
        <f t="shared" si="145"/>
        <v>5.790027782444094E-13</v>
      </c>
      <c r="BG144" s="20">
        <f t="shared" si="115"/>
        <v>1.0676332069095257E-12</v>
      </c>
      <c r="BH144" s="59">
        <f t="shared" si="116"/>
        <v>293.33333333333439</v>
      </c>
      <c r="BI144" s="59">
        <f ca="1">AVERAGE(OFFSET($BH$3,0,0,'Données projet'!$E$11+1,1))-AVERAGE(OFFSET($H$3,0,0,'Données projet'!$E$11+1,1))</f>
        <v>165.39579887388538</v>
      </c>
      <c r="BJ144" s="59">
        <f t="shared" si="146"/>
        <v>155.89639262545802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0.33582217986827845</v>
      </c>
      <c r="BR144" s="21">
        <f>EXP(-LN(2)/2)*BR143+(1-EXP(-LN(2)/2))/(LN(2)/2)*BL144*BO144*VLOOKUP('Données projet'!$B$11,Paramètres!$A$1:$I$89,3,0)*0.475*44/12</f>
        <v>2.7241174292970822E-16</v>
      </c>
      <c r="BS144" s="22">
        <f t="shared" si="117"/>
        <v>0.33582217986827873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2.8421709430404007E-14</v>
      </c>
      <c r="BZ144" s="13">
        <f>BY144*VLOOKUP('Données projet'!$B$12,Paramètres!$A$1:$I$89,3,0)*VLOOKUP('Données projet'!$B$12,Paramètres!$A$1:$I$89,5,0)</f>
        <v>2.7489477361086758E-14</v>
      </c>
      <c r="CA144" s="13">
        <f t="shared" si="147"/>
        <v>4.7995394886724981E-13</v>
      </c>
      <c r="CB144" s="20">
        <f t="shared" si="118"/>
        <v>8.8379730068101964E-13</v>
      </c>
      <c r="CC144" s="59">
        <f t="shared" si="119"/>
        <v>293.33333333333422</v>
      </c>
      <c r="CD144" s="59">
        <f ca="1">AVERAGE(OFFSET($CC$3,0,0,'Données projet'!$E$12+1,1))-AVERAGE(OFFSET($H$3,0,0,'Données projet'!$E$12+1,1))</f>
        <v>156.26368818265388</v>
      </c>
      <c r="CE144" s="59">
        <f t="shared" si="148"/>
        <v>56.347130462109817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2.8421709430404007E-14</v>
      </c>
      <c r="CU144" s="17">
        <f>CT144*VLOOKUP('Données projet'!$B$13,Paramètres!$A$1:$I$89,3,0)*VLOOKUP('Données projet'!$B$13,Paramètres!$A$1:$I$89,5,0)</f>
        <v>2.3055690689943732E-14</v>
      </c>
      <c r="CV144" s="13">
        <f t="shared" si="149"/>
        <v>4.10868481342271E-13</v>
      </c>
      <c r="CW144" s="20">
        <f t="shared" si="121"/>
        <v>7.5575126628944061E-13</v>
      </c>
      <c r="CX144" s="59">
        <f t="shared" si="122"/>
        <v>293.33333333333405</v>
      </c>
      <c r="CY144" s="59">
        <f ca="1">AVERAGE(OFFSET($CX$3,0,0,'Données projet'!$E$13+1,1))-AVERAGE(OFFSET($H$3,0,0,'Données projet'!$E$13+1,1))</f>
        <v>112.78807760743126</v>
      </c>
      <c r="CZ144" s="59">
        <f t="shared" si="150"/>
        <v>37.867745922003564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-8.5265128291212022E-14</v>
      </c>
      <c r="DP144" s="17">
        <f>DO144*VLOOKUP('Données projet'!$B$14,Paramètres!$A$1:$I$89,3,0)*VLOOKUP('Données projet'!$B$14,Paramètres!$A$1:$I$89,5,0)</f>
        <v>-5.7195848057745024E-14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107.15837202366862</v>
      </c>
      <c r="DU144" s="59">
        <f t="shared" si="152"/>
        <v>139.67031833740026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0.2611323902108097</v>
      </c>
      <c r="EC144" s="21">
        <f>EXP(-LN(2)/2)*EC143+(1-EXP(-LN(2)/2))/(LN(2)/2)*DW144*DZ144*VLOOKUP('Données projet'!$B$14,Paramètres!$A$1:$I$89,3,0)*0.475*44/12</f>
        <v>1.3246625837800921E-16</v>
      </c>
      <c r="ED144" s="22">
        <f t="shared" si="126"/>
        <v>0.26113239021080981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-1.1368683772161603E-13</v>
      </c>
      <c r="EK144" s="17">
        <f>EJ144*VLOOKUP('Données projet'!$B$15,Paramètres!$A$1:$I$89,3,0)*VLOOKUP('Données projet'!$B$15,Paramètres!$A$1:$I$89,5,0)</f>
        <v>-5.3205440053716299E-14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123.60520571614535</v>
      </c>
      <c r="EP144" s="59">
        <f t="shared" si="154"/>
        <v>119.00926870519527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9.6266567437985742E-2</v>
      </c>
      <c r="EW144" s="21">
        <f>EXP(-LN(2)/25)*EW143+(1-EXP(-LN(2)/25))/(LN(2)/25)*Calculateur!ER144*Calculateur!ET144*VLOOKUP('Données projet'!$B$15,Paramètres!$A$1:$I$89,3,0)*0.475*44/12</f>
        <v>0.22006961179611748</v>
      </c>
      <c r="EX144" s="21">
        <f>EXP(-LN(2)/2)*EX143+(1-EXP(-LN(2)/2))/(LN(2)/2)*ER144*EU144*VLOOKUP('Données projet'!$B$15,Paramètres!$A$1:$I$89,3,0)*0.475*44/12</f>
        <v>1.1998863420780729E-16</v>
      </c>
      <c r="EY144" s="22">
        <f t="shared" si="129"/>
        <v>0.31633617923410334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-2.2737367544323206E-13</v>
      </c>
      <c r="FF144" s="17">
        <f>FE144*VLOOKUP('Données projet'!$B$16,Paramètres!$A$1:$I$89,3,0)*VLOOKUP('Données projet'!$B$16,Paramètres!$A$1:$I$89,5,0)</f>
        <v>-1.0936673788819462E-13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197.66963254934603</v>
      </c>
      <c r="FK144" s="59">
        <f t="shared" si="156"/>
        <v>158.08388141976138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0.29604285611943976</v>
      </c>
      <c r="FR144" s="21">
        <f>EXP(-LN(2)/25)*FR143+(1-EXP(-LN(2)/25))/(LN(2)/25)*Calculateur!FM144*Calculateur!FO144*VLOOKUP('Données projet'!$B$16,Paramètres!$A$1:$I$89,3,0)*0.475*44/12</f>
        <v>0.24478971763133289</v>
      </c>
      <c r="FS144" s="21">
        <f>EXP(-LN(2)/2)*FS143+(1-EXP(-LN(2)/2))/(LN(2)/2)*FM144*FP144*VLOOKUP('Données projet'!$B$16,Paramètres!$A$1:$I$89,3,0)*0.475*44/12</f>
        <v>1.6246486131884186E-16</v>
      </c>
      <c r="FT144" s="22">
        <f t="shared" si="132"/>
        <v>0.54083257375077276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5.6843418860808015E-14</v>
      </c>
      <c r="GA144" s="17">
        <f>FZ144*VLOOKUP('Données projet'!$B$17,Paramètres!$A$1:$I$89,3,0)*VLOOKUP('Données projet'!$B$17,Paramètres!$A$1:$I$89,5,0)</f>
        <v>3.3992364478763198E-14</v>
      </c>
      <c r="GB144" s="13">
        <f t="shared" si="157"/>
        <v>5.790027782444094E-13</v>
      </c>
      <c r="GC144" s="20">
        <f t="shared" si="133"/>
        <v>1.0676332069095257E-12</v>
      </c>
      <c r="GD144" s="59">
        <f t="shared" si="134"/>
        <v>293.33333333333439</v>
      </c>
      <c r="GE144" s="59">
        <f ca="1">AVERAGE(OFFSET($GD$3,0,0,'Données projet'!$E$17+1,1))-AVERAGE(OFFSET($H$3,0,0,'Données projet'!$E$17+1,1))</f>
        <v>165.39579887388538</v>
      </c>
      <c r="GF144" s="59">
        <f t="shared" si="158"/>
        <v>155.89639262545802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0.33582217986827845</v>
      </c>
      <c r="GN144" s="21">
        <f>EXP(-LN(2)/2)*GN143+(1-EXP(-LN(2)/2))/(LN(2)/2)*GH144*GK144*VLOOKUP('Données projet'!$B$17,Paramètres!$A$1:$I$89,3,0)*0.475*44/12</f>
        <v>2.7241174292970822E-16</v>
      </c>
      <c r="GO144" s="21">
        <f t="shared" si="135"/>
        <v>0.33582217986827873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2.8421709430404007E-14</v>
      </c>
      <c r="GV144" s="17">
        <f>GU144*VLOOKUP('Données projet'!$B$18,Paramètres!$A$1:$I$89,3,0)*VLOOKUP('Données projet'!$B$18,Paramètres!$A$1:$I$89,5,0)</f>
        <v>3.0593128030886874E-14</v>
      </c>
      <c r="GW144" s="13">
        <f t="shared" si="159"/>
        <v>5.2753263159251616E-13</v>
      </c>
      <c r="GX144" s="20">
        <f t="shared" si="136"/>
        <v>9.7206903134409357E-13</v>
      </c>
      <c r="GY144" s="59">
        <f t="shared" si="137"/>
        <v>293.33333333333428</v>
      </c>
      <c r="GZ144" s="59">
        <f ca="1">AVERAGE(OFFSET($GY$3,0,0,'Données projet'!$E$18+1,1))-AVERAGE(OFFSET($H$3,0,0,'Données projet'!$E$18+1,1))</f>
        <v>186.60545265015247</v>
      </c>
      <c r="HA144" s="59">
        <f t="shared" si="160"/>
        <v>69.239647548491234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0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0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1.9065282685915009E-13</v>
      </c>
      <c r="P145" s="13">
        <f t="shared" si="141"/>
        <v>2.6568987209435707E-12</v>
      </c>
      <c r="Q145" s="20">
        <f t="shared" si="108"/>
        <v>4.959485612423072E-12</v>
      </c>
      <c r="R145" s="59">
        <f t="shared" si="109"/>
        <v>293.33333333333826</v>
      </c>
      <c r="S145" s="59">
        <f ca="1">AVERAGE(OFFSET($R$3,0,0,'Données projet'!$E$9+1,1))-AVERAGE(OFFSET($H$3,0,0,'Données projet'!$E$9+1,1))</f>
        <v>235.10258076192054</v>
      </c>
      <c r="T145" s="59">
        <f t="shared" si="142"/>
        <v>233.47316052603765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0.37280879880535256</v>
      </c>
      <c r="AA145" s="21">
        <f>EXP(-LN(2)/25)*AA144+(1-EXP(-LN(2)/25))/(LN(2)/25)*Calculateur!V145*Calculateur!X145*VLOOKUP('Données projet'!$B$9,Paramètres!$A$1:$I$89,3,0)*0.475*44/12</f>
        <v>0.82608748714740643</v>
      </c>
      <c r="AB145" s="21">
        <f>EXP(-LN(2)/2)*AB144+(1-EXP(-LN(2)/2))/(LN(2)/2)*V145*Y145*VLOOKUP('Données projet'!$B$9,Paramètres!$A$1:$I$89,3,0)*0.475*44/12</f>
        <v>3.3476113162994444E-16</v>
      </c>
      <c r="AC145" s="22">
        <f t="shared" si="111"/>
        <v>1.1988962859527594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2.2737367544323206E-13</v>
      </c>
      <c r="AJ145" s="13">
        <f>AI145*VLOOKUP('Données projet'!$B$10,Paramètres!$A$1:$I$89,3,0)*VLOOKUP('Données projet'!$B$10,Paramètres!$A$1:$I$89,5,0)</f>
        <v>1.2414602679200471E-13</v>
      </c>
      <c r="AK145" s="13">
        <f t="shared" si="143"/>
        <v>1.8186582995804361E-12</v>
      </c>
      <c r="AL145" s="20">
        <f t="shared" si="112"/>
        <v>3.3837175350986671E-12</v>
      </c>
      <c r="AM145" s="59">
        <f t="shared" si="113"/>
        <v>293.33333333333672</v>
      </c>
      <c r="AN145" s="59">
        <f ca="1">AVERAGE(OFFSET($AM$3,0,0,'Données projet'!$E$10+1,1))-AVERAGE(OFFSET($H$3,0,0,'Données projet'!$E$10+1,1))</f>
        <v>168.72306536277267</v>
      </c>
      <c r="AO145" s="59">
        <f t="shared" si="144"/>
        <v>203.35476578922339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0.33103529703646511</v>
      </c>
      <c r="AV145" s="21">
        <f>EXP(-LN(2)/25)*AV144+(1-EXP(-LN(2)/25))/(LN(2)/25)*Calculateur!AQ145*Calculateur!AS145*VLOOKUP('Données projet'!$B$10,Paramètres!$A$1:$I$89,3,0)*0.475*44/12</f>
        <v>1.0299841335062485</v>
      </c>
      <c r="AW145" s="21">
        <f>EXP(-LN(2)/2)*AW144+(1-EXP(-LN(2)/2))/(LN(2)/2)*AQ145*AT145*VLOOKUP('Données projet'!$B$10,Paramètres!$A$1:$I$89,3,0)*0.475*44/12</f>
        <v>2.7788669451757711E-16</v>
      </c>
      <c r="AX145" s="21">
        <f t="shared" si="114"/>
        <v>1.3610194305427139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3.3992364478763198E-14</v>
      </c>
      <c r="BF145" s="13">
        <f t="shared" si="145"/>
        <v>5.790027782444094E-13</v>
      </c>
      <c r="BG145" s="20">
        <f t="shared" si="115"/>
        <v>1.0676332069095257E-12</v>
      </c>
      <c r="BH145" s="59">
        <f t="shared" si="116"/>
        <v>293.33333333333439</v>
      </c>
      <c r="BI145" s="59">
        <f ca="1">AVERAGE(OFFSET($BH$3,0,0,'Données projet'!$E$11+1,1))-AVERAGE(OFFSET($H$3,0,0,'Données projet'!$E$11+1,1))</f>
        <v>165.39579887388538</v>
      </c>
      <c r="BJ145" s="59">
        <f t="shared" si="146"/>
        <v>155.89639262545802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0.32663910469965945</v>
      </c>
      <c r="BR145" s="21">
        <f>EXP(-LN(2)/2)*BR144+(1-EXP(-LN(2)/2))/(LN(2)/2)*BL145*BO145*VLOOKUP('Données projet'!$B$11,Paramètres!$A$1:$I$89,3,0)*0.475*44/12</f>
        <v>1.9262419070044323E-16</v>
      </c>
      <c r="BS145" s="22">
        <f t="shared" si="117"/>
        <v>0.32663910469965962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2.8421709430404007E-14</v>
      </c>
      <c r="BZ145" s="13">
        <f>BY145*VLOOKUP('Données projet'!$B$12,Paramètres!$A$1:$I$89,3,0)*VLOOKUP('Données projet'!$B$12,Paramètres!$A$1:$I$89,5,0)</f>
        <v>2.7489477361086758E-14</v>
      </c>
      <c r="CA145" s="13">
        <f t="shared" si="147"/>
        <v>4.7995394886724981E-13</v>
      </c>
      <c r="CB145" s="20">
        <f t="shared" si="118"/>
        <v>8.8379730068101964E-13</v>
      </c>
      <c r="CC145" s="59">
        <f t="shared" si="119"/>
        <v>293.33333333333422</v>
      </c>
      <c r="CD145" s="59">
        <f ca="1">AVERAGE(OFFSET($CC$3,0,0,'Données projet'!$E$12+1,1))-AVERAGE(OFFSET($H$3,0,0,'Données projet'!$E$12+1,1))</f>
        <v>156.26368818265388</v>
      </c>
      <c r="CE145" s="59">
        <f t="shared" si="148"/>
        <v>56.347130462109817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2.8421709430404007E-14</v>
      </c>
      <c r="CU145" s="17">
        <f>CT145*VLOOKUP('Données projet'!$B$13,Paramètres!$A$1:$I$89,3,0)*VLOOKUP('Données projet'!$B$13,Paramètres!$A$1:$I$89,5,0)</f>
        <v>2.3055690689943732E-14</v>
      </c>
      <c r="CV145" s="13">
        <f t="shared" si="149"/>
        <v>4.10868481342271E-13</v>
      </c>
      <c r="CW145" s="20">
        <f t="shared" si="121"/>
        <v>7.5575126628944061E-13</v>
      </c>
      <c r="CX145" s="59">
        <f t="shared" si="122"/>
        <v>293.33333333333405</v>
      </c>
      <c r="CY145" s="59">
        <f ca="1">AVERAGE(OFFSET($CX$3,0,0,'Données projet'!$E$13+1,1))-AVERAGE(OFFSET($H$3,0,0,'Données projet'!$E$13+1,1))</f>
        <v>112.78807760743126</v>
      </c>
      <c r="CZ145" s="59">
        <f t="shared" si="150"/>
        <v>37.867745922003564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-8.5265128291212022E-14</v>
      </c>
      <c r="DP145" s="17">
        <f>DO145*VLOOKUP('Données projet'!$B$14,Paramètres!$A$1:$I$89,3,0)*VLOOKUP('Données projet'!$B$14,Paramètres!$A$1:$I$89,5,0)</f>
        <v>-5.7195848057745024E-14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107.15837202366862</v>
      </c>
      <c r="DU145" s="59">
        <f t="shared" si="152"/>
        <v>139.67031833740026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0.25399171126813952</v>
      </c>
      <c r="EC145" s="21">
        <f>EXP(-LN(2)/2)*EC144+(1-EXP(-LN(2)/2))/(LN(2)/2)*DW145*DZ145*VLOOKUP('Données projet'!$B$14,Paramètres!$A$1:$I$89,3,0)*0.475*44/12</f>
        <v>9.3667789577499626E-17</v>
      </c>
      <c r="ED145" s="22">
        <f t="shared" si="126"/>
        <v>0.25399171126813963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-1.1368683772161603E-13</v>
      </c>
      <c r="EK145" s="17">
        <f>EJ145*VLOOKUP('Données projet'!$B$15,Paramètres!$A$1:$I$89,3,0)*VLOOKUP('Données projet'!$B$15,Paramètres!$A$1:$I$89,5,0)</f>
        <v>-5.3205440053716299E-14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123.60520571614535</v>
      </c>
      <c r="EP145" s="59">
        <f t="shared" si="154"/>
        <v>119.00926870519527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9.4378838767335174E-2</v>
      </c>
      <c r="EW145" s="21">
        <f>EXP(-LN(2)/25)*EW144+(1-EXP(-LN(2)/25))/(LN(2)/25)*Calculateur!ER145*Calculateur!ET145*VLOOKUP('Données projet'!$B$15,Paramètres!$A$1:$I$89,3,0)*0.475*44/12</f>
        <v>0.21405179668859473</v>
      </c>
      <c r="EX145" s="21">
        <f>EXP(-LN(2)/2)*EX144+(1-EXP(-LN(2)/2))/(LN(2)/2)*ER145*EU145*VLOOKUP('Données projet'!$B$15,Paramètres!$A$1:$I$89,3,0)*0.475*44/12</f>
        <v>8.4844776913652685E-17</v>
      </c>
      <c r="EY145" s="22">
        <f t="shared" si="129"/>
        <v>0.30843063545593002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-2.2737367544323206E-13</v>
      </c>
      <c r="FF145" s="17">
        <f>FE145*VLOOKUP('Données projet'!$B$16,Paramètres!$A$1:$I$89,3,0)*VLOOKUP('Données projet'!$B$16,Paramètres!$A$1:$I$89,5,0)</f>
        <v>-1.0936673788819462E-13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197.66963254934603</v>
      </c>
      <c r="FK145" s="59">
        <f t="shared" si="156"/>
        <v>158.08388141976138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0.29023763627925014</v>
      </c>
      <c r="FR145" s="21">
        <f>EXP(-LN(2)/25)*FR144+(1-EXP(-LN(2)/25))/(LN(2)/25)*Calculateur!FM145*Calculateur!FO145*VLOOKUP('Données projet'!$B$16,Paramètres!$A$1:$I$89,3,0)*0.475*44/12</f>
        <v>0.23809592992977233</v>
      </c>
      <c r="FS145" s="21">
        <f>EXP(-LN(2)/2)*FS144+(1-EXP(-LN(2)/2))/(LN(2)/2)*FM145*FP145*VLOOKUP('Données projet'!$B$16,Paramètres!$A$1:$I$89,3,0)*0.475*44/12</f>
        <v>1.148800051430851E-16</v>
      </c>
      <c r="FT145" s="22">
        <f t="shared" si="132"/>
        <v>0.52833356620902261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5.6843418860808015E-14</v>
      </c>
      <c r="GA145" s="17">
        <f>FZ145*VLOOKUP('Données projet'!$B$17,Paramètres!$A$1:$I$89,3,0)*VLOOKUP('Données projet'!$B$17,Paramètres!$A$1:$I$89,5,0)</f>
        <v>3.3992364478763198E-14</v>
      </c>
      <c r="GB145" s="13">
        <f t="shared" si="157"/>
        <v>5.790027782444094E-13</v>
      </c>
      <c r="GC145" s="20">
        <f t="shared" si="133"/>
        <v>1.0676332069095257E-12</v>
      </c>
      <c r="GD145" s="59">
        <f t="shared" si="134"/>
        <v>293.33333333333439</v>
      </c>
      <c r="GE145" s="59">
        <f ca="1">AVERAGE(OFFSET($GD$3,0,0,'Données projet'!$E$17+1,1))-AVERAGE(OFFSET($H$3,0,0,'Données projet'!$E$17+1,1))</f>
        <v>165.39579887388538</v>
      </c>
      <c r="GF145" s="59">
        <f t="shared" si="158"/>
        <v>155.89639262545802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0.32663910469965945</v>
      </c>
      <c r="GN145" s="21">
        <f>EXP(-LN(2)/2)*GN144+(1-EXP(-LN(2)/2))/(LN(2)/2)*GH145*GK145*VLOOKUP('Données projet'!$B$17,Paramètres!$A$1:$I$89,3,0)*0.475*44/12</f>
        <v>1.9262419070044323E-16</v>
      </c>
      <c r="GO145" s="21">
        <f t="shared" si="135"/>
        <v>0.32663910469965962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2.8421709430404007E-14</v>
      </c>
      <c r="GV145" s="17">
        <f>GU145*VLOOKUP('Données projet'!$B$18,Paramètres!$A$1:$I$89,3,0)*VLOOKUP('Données projet'!$B$18,Paramètres!$A$1:$I$89,5,0)</f>
        <v>3.0593128030886874E-14</v>
      </c>
      <c r="GW145" s="13">
        <f t="shared" si="159"/>
        <v>5.2753263159251616E-13</v>
      </c>
      <c r="GX145" s="20">
        <f t="shared" si="136"/>
        <v>9.7206903134409357E-13</v>
      </c>
      <c r="GY145" s="59">
        <f t="shared" si="137"/>
        <v>293.33333333333428</v>
      </c>
      <c r="GZ145" s="59">
        <f ca="1">AVERAGE(OFFSET($GY$3,0,0,'Données projet'!$E$18+1,1))-AVERAGE(OFFSET($H$3,0,0,'Données projet'!$E$18+1,1))</f>
        <v>186.60545265015247</v>
      </c>
      <c r="HA145" s="59">
        <f t="shared" si="160"/>
        <v>69.239647548491234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0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0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1.9065282685915009E-13</v>
      </c>
      <c r="P146" s="13">
        <f t="shared" si="141"/>
        <v>2.6568987209435707E-12</v>
      </c>
      <c r="Q146" s="20">
        <f t="shared" si="108"/>
        <v>4.959485612423072E-12</v>
      </c>
      <c r="R146" s="59">
        <f t="shared" si="109"/>
        <v>293.33333333333826</v>
      </c>
      <c r="S146" s="59">
        <f ca="1">AVERAGE(OFFSET($R$3,0,0,'Données projet'!$E$9+1,1))-AVERAGE(OFFSET($H$3,0,0,'Données projet'!$E$9+1,1))</f>
        <v>235.10258076192054</v>
      </c>
      <c r="T146" s="59">
        <f t="shared" si="142"/>
        <v>233.47316052603765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0.36549824565169386</v>
      </c>
      <c r="AA146" s="21">
        <f>EXP(-LN(2)/25)*AA145+(1-EXP(-LN(2)/25))/(LN(2)/25)*Calculateur!V146*Calculateur!X146*VLOOKUP('Données projet'!$B$9,Paramètres!$A$1:$I$89,3,0)*0.475*44/12</f>
        <v>0.80349808136930767</v>
      </c>
      <c r="AB146" s="21">
        <f>EXP(-LN(2)/2)*AB145+(1-EXP(-LN(2)/2))/(LN(2)/2)*V146*Y146*VLOOKUP('Données projet'!$B$9,Paramètres!$A$1:$I$89,3,0)*0.475*44/12</f>
        <v>2.3671186625321615E-16</v>
      </c>
      <c r="AC146" s="22">
        <f t="shared" si="111"/>
        <v>1.1689963270210018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2.2737367544323206E-13</v>
      </c>
      <c r="AJ146" s="13">
        <f>AI146*VLOOKUP('Données projet'!$B$10,Paramètres!$A$1:$I$89,3,0)*VLOOKUP('Données projet'!$B$10,Paramètres!$A$1:$I$89,5,0)</f>
        <v>1.2414602679200471E-13</v>
      </c>
      <c r="AK146" s="13">
        <f t="shared" si="143"/>
        <v>1.8186582995804361E-12</v>
      </c>
      <c r="AL146" s="20">
        <f t="shared" si="112"/>
        <v>3.3837175350986671E-12</v>
      </c>
      <c r="AM146" s="59">
        <f t="shared" si="113"/>
        <v>293.33333333333672</v>
      </c>
      <c r="AN146" s="59">
        <f ca="1">AVERAGE(OFFSET($AM$3,0,0,'Données projet'!$E$10+1,1))-AVERAGE(OFFSET($H$3,0,0,'Données projet'!$E$10+1,1))</f>
        <v>168.72306536277267</v>
      </c>
      <c r="AO146" s="59">
        <f t="shared" si="144"/>
        <v>203.35476578922339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0.32454389677317413</v>
      </c>
      <c r="AV146" s="21">
        <f>EXP(-LN(2)/25)*AV145+(1-EXP(-LN(2)/25))/(LN(2)/25)*Calculateur!AQ146*Calculateur!AS146*VLOOKUP('Données projet'!$B$10,Paramètres!$A$1:$I$89,3,0)*0.475*44/12</f>
        <v>1.0018191632110087</v>
      </c>
      <c r="AW146" s="21">
        <f>EXP(-LN(2)/2)*AW145+(1-EXP(-LN(2)/2))/(LN(2)/2)*AQ146*AT146*VLOOKUP('Données projet'!$B$10,Paramètres!$A$1:$I$89,3,0)*0.475*44/12</f>
        <v>1.9649556609489338E-16</v>
      </c>
      <c r="AX146" s="21">
        <f t="shared" si="114"/>
        <v>1.3263630599841831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3.3992364478763198E-14</v>
      </c>
      <c r="BF146" s="13">
        <f t="shared" si="145"/>
        <v>5.790027782444094E-13</v>
      </c>
      <c r="BG146" s="20">
        <f t="shared" si="115"/>
        <v>1.0676332069095257E-12</v>
      </c>
      <c r="BH146" s="59">
        <f t="shared" si="116"/>
        <v>293.33333333333439</v>
      </c>
      <c r="BI146" s="59">
        <f ca="1">AVERAGE(OFFSET($BH$3,0,0,'Données projet'!$E$11+1,1))-AVERAGE(OFFSET($H$3,0,0,'Données projet'!$E$11+1,1))</f>
        <v>165.39579887388538</v>
      </c>
      <c r="BJ146" s="59">
        <f t="shared" si="146"/>
        <v>155.89639262545802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0.31770714120444332</v>
      </c>
      <c r="BR146" s="21">
        <f>EXP(-LN(2)/2)*BR145+(1-EXP(-LN(2)/2))/(LN(2)/2)*BL146*BO146*VLOOKUP('Données projet'!$B$11,Paramètres!$A$1:$I$89,3,0)*0.475*44/12</f>
        <v>1.3620587146485411E-16</v>
      </c>
      <c r="BS146" s="22">
        <f t="shared" si="117"/>
        <v>0.31770714120444343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2.8421709430404007E-14</v>
      </c>
      <c r="BZ146" s="13">
        <f>BY146*VLOOKUP('Données projet'!$B$12,Paramètres!$A$1:$I$89,3,0)*VLOOKUP('Données projet'!$B$12,Paramètres!$A$1:$I$89,5,0)</f>
        <v>2.7489477361086758E-14</v>
      </c>
      <c r="CA146" s="13">
        <f t="shared" si="147"/>
        <v>4.7995394886724981E-13</v>
      </c>
      <c r="CB146" s="20">
        <f t="shared" si="118"/>
        <v>8.8379730068101964E-13</v>
      </c>
      <c r="CC146" s="59">
        <f t="shared" si="119"/>
        <v>293.33333333333422</v>
      </c>
      <c r="CD146" s="59">
        <f ca="1">AVERAGE(OFFSET($CC$3,0,0,'Données projet'!$E$12+1,1))-AVERAGE(OFFSET($H$3,0,0,'Données projet'!$E$12+1,1))</f>
        <v>156.26368818265388</v>
      </c>
      <c r="CE146" s="59">
        <f t="shared" si="148"/>
        <v>56.347130462109817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2.8421709430404007E-14</v>
      </c>
      <c r="CU146" s="17">
        <f>CT146*VLOOKUP('Données projet'!$B$13,Paramètres!$A$1:$I$89,3,0)*VLOOKUP('Données projet'!$B$13,Paramètres!$A$1:$I$89,5,0)</f>
        <v>2.3055690689943732E-14</v>
      </c>
      <c r="CV146" s="13">
        <f t="shared" si="149"/>
        <v>4.10868481342271E-13</v>
      </c>
      <c r="CW146" s="20">
        <f t="shared" si="121"/>
        <v>7.5575126628944061E-13</v>
      </c>
      <c r="CX146" s="59">
        <f t="shared" si="122"/>
        <v>293.33333333333405</v>
      </c>
      <c r="CY146" s="59">
        <f ca="1">AVERAGE(OFFSET($CX$3,0,0,'Données projet'!$E$13+1,1))-AVERAGE(OFFSET($H$3,0,0,'Données projet'!$E$13+1,1))</f>
        <v>112.78807760743126</v>
      </c>
      <c r="CZ146" s="59">
        <f t="shared" si="150"/>
        <v>37.867745922003564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-8.5265128291212022E-14</v>
      </c>
      <c r="DP146" s="17">
        <f>DO146*VLOOKUP('Données projet'!$B$14,Paramètres!$A$1:$I$89,3,0)*VLOOKUP('Données projet'!$B$14,Paramètres!$A$1:$I$89,5,0)</f>
        <v>-5.7195848057745024E-14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107.15837202366862</v>
      </c>
      <c r="DU146" s="59">
        <f t="shared" si="152"/>
        <v>139.67031833740026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0.24704629456666866</v>
      </c>
      <c r="EC146" s="21">
        <f>EXP(-LN(2)/2)*EC145+(1-EXP(-LN(2)/2))/(LN(2)/2)*DW146*DZ146*VLOOKUP('Données projet'!$B$14,Paramètres!$A$1:$I$89,3,0)*0.475*44/12</f>
        <v>6.6233129189004604E-17</v>
      </c>
      <c r="ED146" s="22">
        <f t="shared" si="126"/>
        <v>0.24704629456666871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-1.1368683772161603E-13</v>
      </c>
      <c r="EK146" s="17">
        <f>EJ146*VLOOKUP('Données projet'!$B$15,Paramètres!$A$1:$I$89,3,0)*VLOOKUP('Données projet'!$B$15,Paramètres!$A$1:$I$89,5,0)</f>
        <v>-5.3205440053716299E-14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123.60520571614535</v>
      </c>
      <c r="EP146" s="59">
        <f t="shared" si="154"/>
        <v>119.00926870519527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9.2528127304515262E-2</v>
      </c>
      <c r="EW146" s="21">
        <f>EXP(-LN(2)/25)*EW145+(1-EXP(-LN(2)/25))/(LN(2)/25)*Calculateur!ER146*Calculateur!ET146*VLOOKUP('Données projet'!$B$15,Paramètres!$A$1:$I$89,3,0)*0.475*44/12</f>
        <v>0.20819853905165034</v>
      </c>
      <c r="EX146" s="21">
        <f>EXP(-LN(2)/2)*EX145+(1-EXP(-LN(2)/2))/(LN(2)/2)*ER146*EU146*VLOOKUP('Données projet'!$B$15,Paramètres!$A$1:$I$89,3,0)*0.475*44/12</f>
        <v>5.9994317103903647E-17</v>
      </c>
      <c r="EY146" s="22">
        <f t="shared" si="129"/>
        <v>0.30072666635616568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-2.2737367544323206E-13</v>
      </c>
      <c r="FF146" s="17">
        <f>FE146*VLOOKUP('Données projet'!$B$16,Paramètres!$A$1:$I$89,3,0)*VLOOKUP('Données projet'!$B$16,Paramètres!$A$1:$I$89,5,0)</f>
        <v>-1.0936673788819462E-13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197.66963254934603</v>
      </c>
      <c r="FK146" s="59">
        <f t="shared" si="156"/>
        <v>158.08388141976138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0.28454625325929217</v>
      </c>
      <c r="FR146" s="21">
        <f>EXP(-LN(2)/25)*FR145+(1-EXP(-LN(2)/25))/(LN(2)/25)*Calculateur!FM146*Calculateur!FO146*VLOOKUP('Données projet'!$B$16,Paramètres!$A$1:$I$89,3,0)*0.475*44/12</f>
        <v>0.23158518420492191</v>
      </c>
      <c r="FS146" s="21">
        <f>EXP(-LN(2)/2)*FS145+(1-EXP(-LN(2)/2))/(LN(2)/2)*FM146*FP146*VLOOKUP('Données projet'!$B$16,Paramètres!$A$1:$I$89,3,0)*0.475*44/12</f>
        <v>8.1232430659420932E-17</v>
      </c>
      <c r="FT146" s="22">
        <f t="shared" si="132"/>
        <v>0.51613143746421419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5.6843418860808015E-14</v>
      </c>
      <c r="GA146" s="17">
        <f>FZ146*VLOOKUP('Données projet'!$B$17,Paramètres!$A$1:$I$89,3,0)*VLOOKUP('Données projet'!$B$17,Paramètres!$A$1:$I$89,5,0)</f>
        <v>3.3992364478763198E-14</v>
      </c>
      <c r="GB146" s="13">
        <f t="shared" si="157"/>
        <v>5.790027782444094E-13</v>
      </c>
      <c r="GC146" s="20">
        <f t="shared" si="133"/>
        <v>1.0676332069095257E-12</v>
      </c>
      <c r="GD146" s="59">
        <f t="shared" si="134"/>
        <v>293.33333333333439</v>
      </c>
      <c r="GE146" s="59">
        <f ca="1">AVERAGE(OFFSET($GD$3,0,0,'Données projet'!$E$17+1,1))-AVERAGE(OFFSET($H$3,0,0,'Données projet'!$E$17+1,1))</f>
        <v>165.39579887388538</v>
      </c>
      <c r="GF146" s="59">
        <f t="shared" si="158"/>
        <v>155.89639262545802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0.31770714120444332</v>
      </c>
      <c r="GN146" s="21">
        <f>EXP(-LN(2)/2)*GN145+(1-EXP(-LN(2)/2))/(LN(2)/2)*GH146*GK146*VLOOKUP('Données projet'!$B$17,Paramètres!$A$1:$I$89,3,0)*0.475*44/12</f>
        <v>1.3620587146485411E-16</v>
      </c>
      <c r="GO146" s="21">
        <f t="shared" si="135"/>
        <v>0.31770714120444343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2.8421709430404007E-14</v>
      </c>
      <c r="GV146" s="17">
        <f>GU146*VLOOKUP('Données projet'!$B$18,Paramètres!$A$1:$I$89,3,0)*VLOOKUP('Données projet'!$B$18,Paramètres!$A$1:$I$89,5,0)</f>
        <v>3.0593128030886874E-14</v>
      </c>
      <c r="GW146" s="13">
        <f t="shared" si="159"/>
        <v>5.2753263159251616E-13</v>
      </c>
      <c r="GX146" s="20">
        <f t="shared" si="136"/>
        <v>9.7206903134409357E-13</v>
      </c>
      <c r="GY146" s="59">
        <f t="shared" si="137"/>
        <v>293.33333333333428</v>
      </c>
      <c r="GZ146" s="59">
        <f ca="1">AVERAGE(OFFSET($GY$3,0,0,'Données projet'!$E$18+1,1))-AVERAGE(OFFSET($H$3,0,0,'Données projet'!$E$18+1,1))</f>
        <v>186.60545265015247</v>
      </c>
      <c r="HA146" s="59">
        <f t="shared" si="160"/>
        <v>69.239647548491234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0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0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1.9065282685915009E-13</v>
      </c>
      <c r="P147" s="13">
        <f t="shared" si="141"/>
        <v>2.6568987209435707E-12</v>
      </c>
      <c r="Q147" s="20">
        <f t="shared" si="108"/>
        <v>4.959485612423072E-12</v>
      </c>
      <c r="R147" s="59">
        <f t="shared" si="109"/>
        <v>293.33333333333826</v>
      </c>
      <c r="S147" s="59">
        <f ca="1">AVERAGE(OFFSET($R$3,0,0,'Données projet'!$E$9+1,1))-AVERAGE(OFFSET($H$3,0,0,'Données projet'!$E$9+1,1))</f>
        <v>235.10258076192054</v>
      </c>
      <c r="T147" s="59">
        <f t="shared" si="142"/>
        <v>233.47316052603765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0.35833104798638132</v>
      </c>
      <c r="AA147" s="21">
        <f>EXP(-LN(2)/25)*AA146+(1-EXP(-LN(2)/25))/(LN(2)/25)*Calculateur!V147*Calculateur!X147*VLOOKUP('Données projet'!$B$9,Paramètres!$A$1:$I$89,3,0)*0.475*44/12</f>
        <v>0.7815263840801363</v>
      </c>
      <c r="AB147" s="21">
        <f>EXP(-LN(2)/2)*AB146+(1-EXP(-LN(2)/2))/(LN(2)/2)*V147*Y147*VLOOKUP('Données projet'!$B$9,Paramètres!$A$1:$I$89,3,0)*0.475*44/12</f>
        <v>1.6738056581497222E-16</v>
      </c>
      <c r="AC147" s="22">
        <f t="shared" si="111"/>
        <v>1.1398574320665178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2.2737367544323206E-13</v>
      </c>
      <c r="AJ147" s="13">
        <f>AI147*VLOOKUP('Données projet'!$B$10,Paramètres!$A$1:$I$89,3,0)*VLOOKUP('Données projet'!$B$10,Paramètres!$A$1:$I$89,5,0)</f>
        <v>1.2414602679200471E-13</v>
      </c>
      <c r="AK147" s="13">
        <f t="shared" si="143"/>
        <v>1.8186582995804361E-12</v>
      </c>
      <c r="AL147" s="20">
        <f t="shared" si="112"/>
        <v>3.3837175350986671E-12</v>
      </c>
      <c r="AM147" s="59">
        <f t="shared" si="113"/>
        <v>293.33333333333672</v>
      </c>
      <c r="AN147" s="59">
        <f ca="1">AVERAGE(OFFSET($AM$3,0,0,'Données projet'!$E$10+1,1))-AVERAGE(OFFSET($H$3,0,0,'Données projet'!$E$10+1,1))</f>
        <v>168.72306536277267</v>
      </c>
      <c r="AO147" s="59">
        <f t="shared" si="144"/>
        <v>203.35476578922339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0.31817978890968307</v>
      </c>
      <c r="AV147" s="21">
        <f>EXP(-LN(2)/25)*AV146+(1-EXP(-LN(2)/25))/(LN(2)/25)*Calculateur!AQ147*Calculateur!AS147*VLOOKUP('Données projet'!$B$10,Paramètres!$A$1:$I$89,3,0)*0.475*44/12</f>
        <v>0.97442436550962364</v>
      </c>
      <c r="AW147" s="21">
        <f>EXP(-LN(2)/2)*AW146+(1-EXP(-LN(2)/2))/(LN(2)/2)*AQ147*AT147*VLOOKUP('Données projet'!$B$10,Paramètres!$A$1:$I$89,3,0)*0.475*44/12</f>
        <v>1.3894334725878856E-16</v>
      </c>
      <c r="AX147" s="21">
        <f t="shared" si="114"/>
        <v>1.292604154419307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3.3992364478763198E-14</v>
      </c>
      <c r="BF147" s="13">
        <f t="shared" si="145"/>
        <v>5.790027782444094E-13</v>
      </c>
      <c r="BG147" s="20">
        <f t="shared" si="115"/>
        <v>1.0676332069095257E-12</v>
      </c>
      <c r="BH147" s="59">
        <f t="shared" si="116"/>
        <v>293.33333333333439</v>
      </c>
      <c r="BI147" s="59">
        <f ca="1">AVERAGE(OFFSET($BH$3,0,0,'Données projet'!$E$11+1,1))-AVERAGE(OFFSET($H$3,0,0,'Données projet'!$E$11+1,1))</f>
        <v>165.39579887388538</v>
      </c>
      <c r="BJ147" s="59">
        <f t="shared" si="146"/>
        <v>155.89639262545802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0.30901942272071542</v>
      </c>
      <c r="BR147" s="21">
        <f>EXP(-LN(2)/2)*BR146+(1-EXP(-LN(2)/2))/(LN(2)/2)*BL147*BO147*VLOOKUP('Données projet'!$B$11,Paramètres!$A$1:$I$89,3,0)*0.475*44/12</f>
        <v>9.6312095350221614E-17</v>
      </c>
      <c r="BS147" s="22">
        <f t="shared" si="117"/>
        <v>0.30901942272071553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2.8421709430404007E-14</v>
      </c>
      <c r="BZ147" s="13">
        <f>BY147*VLOOKUP('Données projet'!$B$12,Paramètres!$A$1:$I$89,3,0)*VLOOKUP('Données projet'!$B$12,Paramètres!$A$1:$I$89,5,0)</f>
        <v>2.7489477361086758E-14</v>
      </c>
      <c r="CA147" s="13">
        <f t="shared" si="147"/>
        <v>4.7995394886724981E-13</v>
      </c>
      <c r="CB147" s="20">
        <f t="shared" si="118"/>
        <v>8.8379730068101964E-13</v>
      </c>
      <c r="CC147" s="59">
        <f t="shared" si="119"/>
        <v>293.33333333333422</v>
      </c>
      <c r="CD147" s="59">
        <f ca="1">AVERAGE(OFFSET($CC$3,0,0,'Données projet'!$E$12+1,1))-AVERAGE(OFFSET($H$3,0,0,'Données projet'!$E$12+1,1))</f>
        <v>156.26368818265388</v>
      </c>
      <c r="CE147" s="59">
        <f t="shared" si="148"/>
        <v>56.347130462109817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2.8421709430404007E-14</v>
      </c>
      <c r="CU147" s="17">
        <f>CT147*VLOOKUP('Données projet'!$B$13,Paramètres!$A$1:$I$89,3,0)*VLOOKUP('Données projet'!$B$13,Paramètres!$A$1:$I$89,5,0)</f>
        <v>2.3055690689943732E-14</v>
      </c>
      <c r="CV147" s="13">
        <f t="shared" si="149"/>
        <v>4.10868481342271E-13</v>
      </c>
      <c r="CW147" s="20">
        <f t="shared" si="121"/>
        <v>7.5575126628944061E-13</v>
      </c>
      <c r="CX147" s="59">
        <f t="shared" si="122"/>
        <v>293.33333333333405</v>
      </c>
      <c r="CY147" s="59">
        <f ca="1">AVERAGE(OFFSET($CX$3,0,0,'Données projet'!$E$13+1,1))-AVERAGE(OFFSET($H$3,0,0,'Données projet'!$E$13+1,1))</f>
        <v>112.78807760743126</v>
      </c>
      <c r="CZ147" s="59">
        <f t="shared" si="150"/>
        <v>37.867745922003564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-8.5265128291212022E-14</v>
      </c>
      <c r="DP147" s="17">
        <f>DO147*VLOOKUP('Données projet'!$B$14,Paramètres!$A$1:$I$89,3,0)*VLOOKUP('Données projet'!$B$14,Paramètres!$A$1:$I$89,5,0)</f>
        <v>-5.7195848057745024E-14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107.15837202366862</v>
      </c>
      <c r="DU147" s="59">
        <f t="shared" si="152"/>
        <v>139.67031833740026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0.2402908006501431</v>
      </c>
      <c r="EC147" s="21">
        <f>EXP(-LN(2)/2)*EC146+(1-EXP(-LN(2)/2))/(LN(2)/2)*DW147*DZ147*VLOOKUP('Données projet'!$B$14,Paramètres!$A$1:$I$89,3,0)*0.475*44/12</f>
        <v>4.6833894788749813E-17</v>
      </c>
      <c r="ED147" s="22">
        <f t="shared" si="126"/>
        <v>0.24029080065014316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-1.1368683772161603E-13</v>
      </c>
      <c r="EK147" s="17">
        <f>EJ147*VLOOKUP('Données projet'!$B$15,Paramètres!$A$1:$I$89,3,0)*VLOOKUP('Données projet'!$B$15,Paramètres!$A$1:$I$89,5,0)</f>
        <v>-5.3205440053716299E-14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123.60520571614535</v>
      </c>
      <c r="EP147" s="59">
        <f t="shared" si="154"/>
        <v>119.00926870519527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9.0713707164658722E-2</v>
      </c>
      <c r="EW147" s="21">
        <f>EXP(-LN(2)/25)*EW146+(1-EXP(-LN(2)/25))/(LN(2)/25)*Calculateur!ER147*Calculateur!ET147*VLOOKUP('Données projet'!$B$15,Paramètres!$A$1:$I$89,3,0)*0.475*44/12</f>
        <v>0.20250533905259763</v>
      </c>
      <c r="EX147" s="21">
        <f>EXP(-LN(2)/2)*EX146+(1-EXP(-LN(2)/2))/(LN(2)/2)*ER147*EU147*VLOOKUP('Données projet'!$B$15,Paramètres!$A$1:$I$89,3,0)*0.475*44/12</f>
        <v>4.2422388456826342E-17</v>
      </c>
      <c r="EY147" s="22">
        <f t="shared" si="129"/>
        <v>0.29321904621725642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-2.2737367544323206E-13</v>
      </c>
      <c r="FF147" s="17">
        <f>FE147*VLOOKUP('Données projet'!$B$16,Paramètres!$A$1:$I$89,3,0)*VLOOKUP('Données projet'!$B$16,Paramètres!$A$1:$I$89,5,0)</f>
        <v>-1.0936673788819462E-13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197.66963254934603</v>
      </c>
      <c r="FK147" s="59">
        <f t="shared" si="156"/>
        <v>158.08388141976138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0.2789664747889547</v>
      </c>
      <c r="FR147" s="21">
        <f>EXP(-LN(2)/25)*FR146+(1-EXP(-LN(2)/25))/(LN(2)/25)*Calculateur!FM147*Calculateur!FO147*VLOOKUP('Données projet'!$B$16,Paramètres!$A$1:$I$89,3,0)*0.475*44/12</f>
        <v>0.22525247516430277</v>
      </c>
      <c r="FS147" s="21">
        <f>EXP(-LN(2)/2)*FS146+(1-EXP(-LN(2)/2))/(LN(2)/2)*FM147*FP147*VLOOKUP('Données projet'!$B$16,Paramètres!$A$1:$I$89,3,0)*0.475*44/12</f>
        <v>5.7440002571542549E-17</v>
      </c>
      <c r="FT147" s="22">
        <f t="shared" si="132"/>
        <v>0.50421894995325756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5.6843418860808015E-14</v>
      </c>
      <c r="GA147" s="17">
        <f>FZ147*VLOOKUP('Données projet'!$B$17,Paramètres!$A$1:$I$89,3,0)*VLOOKUP('Données projet'!$B$17,Paramètres!$A$1:$I$89,5,0)</f>
        <v>3.3992364478763198E-14</v>
      </c>
      <c r="GB147" s="13">
        <f t="shared" si="157"/>
        <v>5.790027782444094E-13</v>
      </c>
      <c r="GC147" s="20">
        <f t="shared" si="133"/>
        <v>1.0676332069095257E-12</v>
      </c>
      <c r="GD147" s="59">
        <f t="shared" si="134"/>
        <v>293.33333333333439</v>
      </c>
      <c r="GE147" s="59">
        <f ca="1">AVERAGE(OFFSET($GD$3,0,0,'Données projet'!$E$17+1,1))-AVERAGE(OFFSET($H$3,0,0,'Données projet'!$E$17+1,1))</f>
        <v>165.39579887388538</v>
      </c>
      <c r="GF147" s="59">
        <f t="shared" si="158"/>
        <v>155.89639262545802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0.30901942272071542</v>
      </c>
      <c r="GN147" s="21">
        <f>EXP(-LN(2)/2)*GN146+(1-EXP(-LN(2)/2))/(LN(2)/2)*GH147*GK147*VLOOKUP('Données projet'!$B$17,Paramètres!$A$1:$I$89,3,0)*0.475*44/12</f>
        <v>9.6312095350221614E-17</v>
      </c>
      <c r="GO147" s="21">
        <f t="shared" si="135"/>
        <v>0.30901942272071553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2.8421709430404007E-14</v>
      </c>
      <c r="GV147" s="17">
        <f>GU147*VLOOKUP('Données projet'!$B$18,Paramètres!$A$1:$I$89,3,0)*VLOOKUP('Données projet'!$B$18,Paramètres!$A$1:$I$89,5,0)</f>
        <v>3.0593128030886874E-14</v>
      </c>
      <c r="GW147" s="13">
        <f t="shared" si="159"/>
        <v>5.2753263159251616E-13</v>
      </c>
      <c r="GX147" s="20">
        <f t="shared" si="136"/>
        <v>9.7206903134409357E-13</v>
      </c>
      <c r="GY147" s="59">
        <f t="shared" si="137"/>
        <v>293.33333333333428</v>
      </c>
      <c r="GZ147" s="59">
        <f ca="1">AVERAGE(OFFSET($GY$3,0,0,'Données projet'!$E$18+1,1))-AVERAGE(OFFSET($H$3,0,0,'Données projet'!$E$18+1,1))</f>
        <v>186.60545265015247</v>
      </c>
      <c r="HA147" s="59">
        <f t="shared" si="160"/>
        <v>69.239647548491234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0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0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1.9065282685915009E-13</v>
      </c>
      <c r="P148" s="13">
        <f t="shared" si="141"/>
        <v>2.6568987209435707E-12</v>
      </c>
      <c r="Q148" s="20">
        <f t="shared" si="108"/>
        <v>4.959485612423072E-12</v>
      </c>
      <c r="R148" s="59">
        <f t="shared" si="109"/>
        <v>293.33333333333826</v>
      </c>
      <c r="S148" s="59">
        <f ca="1">AVERAGE(OFFSET($R$3,0,0,'Données projet'!$E$9+1,1))-AVERAGE(OFFSET($H$3,0,0,'Données projet'!$E$9+1,1))</f>
        <v>235.10258076192054</v>
      </c>
      <c r="T148" s="59">
        <f t="shared" si="142"/>
        <v>233.47316052603765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0.35130439469572661</v>
      </c>
      <c r="AA148" s="21">
        <f>EXP(-LN(2)/25)*AA147+(1-EXP(-LN(2)/25))/(LN(2)/25)*Calculateur!V148*Calculateur!X148*VLOOKUP('Données projet'!$B$9,Paramètres!$A$1:$I$89,3,0)*0.475*44/12</f>
        <v>0.76015550400877863</v>
      </c>
      <c r="AB148" s="21">
        <f>EXP(-LN(2)/2)*AB147+(1-EXP(-LN(2)/2))/(LN(2)/2)*V148*Y148*VLOOKUP('Données projet'!$B$9,Paramètres!$A$1:$I$89,3,0)*0.475*44/12</f>
        <v>1.1835593312660808E-16</v>
      </c>
      <c r="AC148" s="22">
        <f t="shared" si="111"/>
        <v>1.1114598987045055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2.2737367544323206E-13</v>
      </c>
      <c r="AJ148" s="13">
        <f>AI148*VLOOKUP('Données projet'!$B$10,Paramètres!$A$1:$I$89,3,0)*VLOOKUP('Données projet'!$B$10,Paramètres!$A$1:$I$89,5,0)</f>
        <v>1.2414602679200471E-13</v>
      </c>
      <c r="AK148" s="13">
        <f t="shared" si="143"/>
        <v>1.8186582995804361E-12</v>
      </c>
      <c r="AL148" s="20">
        <f t="shared" si="112"/>
        <v>3.3837175350986671E-12</v>
      </c>
      <c r="AM148" s="59">
        <f t="shared" si="113"/>
        <v>293.33333333333672</v>
      </c>
      <c r="AN148" s="59">
        <f ca="1">AVERAGE(OFFSET($AM$3,0,0,'Données projet'!$E$10+1,1))-AVERAGE(OFFSET($H$3,0,0,'Données projet'!$E$10+1,1))</f>
        <v>168.72306536277267</v>
      </c>
      <c r="AO148" s="59">
        <f t="shared" si="144"/>
        <v>203.35476578922339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0.31194047731967256</v>
      </c>
      <c r="AV148" s="21">
        <f>EXP(-LN(2)/25)*AV147+(1-EXP(-LN(2)/25))/(LN(2)/25)*Calculateur!AQ148*Calculateur!AS148*VLOOKUP('Données projet'!$B$10,Paramètres!$A$1:$I$89,3,0)*0.475*44/12</f>
        <v>0.94777867999201271</v>
      </c>
      <c r="AW148" s="21">
        <f>EXP(-LN(2)/2)*AW147+(1-EXP(-LN(2)/2))/(LN(2)/2)*AQ148*AT148*VLOOKUP('Données projet'!$B$10,Paramètres!$A$1:$I$89,3,0)*0.475*44/12</f>
        <v>9.8247783047446689E-17</v>
      </c>
      <c r="AX148" s="21">
        <f t="shared" si="114"/>
        <v>1.2597191573116853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3.3992364478763198E-14</v>
      </c>
      <c r="BF148" s="13">
        <f t="shared" si="145"/>
        <v>5.790027782444094E-13</v>
      </c>
      <c r="BG148" s="20">
        <f t="shared" si="115"/>
        <v>1.0676332069095257E-12</v>
      </c>
      <c r="BH148" s="59">
        <f t="shared" si="116"/>
        <v>293.33333333333439</v>
      </c>
      <c r="BI148" s="59">
        <f ca="1">AVERAGE(OFFSET($BH$3,0,0,'Données projet'!$E$11+1,1))-AVERAGE(OFFSET($H$3,0,0,'Données projet'!$E$11+1,1))</f>
        <v>165.39579887388538</v>
      </c>
      <c r="BJ148" s="59">
        <f t="shared" si="146"/>
        <v>155.89639262545802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0.30056927035579228</v>
      </c>
      <c r="BR148" s="21">
        <f>EXP(-LN(2)/2)*BR147+(1-EXP(-LN(2)/2))/(LN(2)/2)*BL148*BO148*VLOOKUP('Données projet'!$B$11,Paramètres!$A$1:$I$89,3,0)*0.475*44/12</f>
        <v>6.8102935732427055E-17</v>
      </c>
      <c r="BS148" s="22">
        <f t="shared" si="117"/>
        <v>0.30056927035579234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2.8421709430404007E-14</v>
      </c>
      <c r="BZ148" s="13">
        <f>BY148*VLOOKUP('Données projet'!$B$12,Paramètres!$A$1:$I$89,3,0)*VLOOKUP('Données projet'!$B$12,Paramètres!$A$1:$I$89,5,0)</f>
        <v>2.7489477361086758E-14</v>
      </c>
      <c r="CA148" s="13">
        <f t="shared" si="147"/>
        <v>4.7995394886724981E-13</v>
      </c>
      <c r="CB148" s="20">
        <f t="shared" si="118"/>
        <v>8.8379730068101964E-13</v>
      </c>
      <c r="CC148" s="59">
        <f t="shared" si="119"/>
        <v>293.33333333333422</v>
      </c>
      <c r="CD148" s="59">
        <f ca="1">AVERAGE(OFFSET($CC$3,0,0,'Données projet'!$E$12+1,1))-AVERAGE(OFFSET($H$3,0,0,'Données projet'!$E$12+1,1))</f>
        <v>156.26368818265388</v>
      </c>
      <c r="CE148" s="59">
        <f t="shared" si="148"/>
        <v>56.347130462109817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2.8421709430404007E-14</v>
      </c>
      <c r="CU148" s="17">
        <f>CT148*VLOOKUP('Données projet'!$B$13,Paramètres!$A$1:$I$89,3,0)*VLOOKUP('Données projet'!$B$13,Paramètres!$A$1:$I$89,5,0)</f>
        <v>2.3055690689943732E-14</v>
      </c>
      <c r="CV148" s="13">
        <f t="shared" si="149"/>
        <v>4.10868481342271E-13</v>
      </c>
      <c r="CW148" s="20">
        <f t="shared" si="121"/>
        <v>7.5575126628944061E-13</v>
      </c>
      <c r="CX148" s="59">
        <f t="shared" si="122"/>
        <v>293.33333333333405</v>
      </c>
      <c r="CY148" s="59">
        <f ca="1">AVERAGE(OFFSET($CX$3,0,0,'Données projet'!$E$13+1,1))-AVERAGE(OFFSET($H$3,0,0,'Données projet'!$E$13+1,1))</f>
        <v>112.78807760743126</v>
      </c>
      <c r="CZ148" s="59">
        <f t="shared" si="150"/>
        <v>37.867745922003564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-8.5265128291212022E-14</v>
      </c>
      <c r="DP148" s="17">
        <f>DO148*VLOOKUP('Données projet'!$B$14,Paramètres!$A$1:$I$89,3,0)*VLOOKUP('Données projet'!$B$14,Paramètres!$A$1:$I$89,5,0)</f>
        <v>-5.7195848057745024E-14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107.15837202366862</v>
      </c>
      <c r="DU148" s="59">
        <f t="shared" si="152"/>
        <v>139.67031833740026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0.23372003607002093</v>
      </c>
      <c r="EC148" s="21">
        <f>EXP(-LN(2)/2)*EC147+(1-EXP(-LN(2)/2))/(LN(2)/2)*DW148*DZ148*VLOOKUP('Données projet'!$B$14,Paramètres!$A$1:$I$89,3,0)*0.475*44/12</f>
        <v>3.3116564594502302E-17</v>
      </c>
      <c r="ED148" s="22">
        <f t="shared" si="126"/>
        <v>0.23372003607002095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-1.1368683772161603E-13</v>
      </c>
      <c r="EK148" s="17">
        <f>EJ148*VLOOKUP('Données projet'!$B$15,Paramètres!$A$1:$I$89,3,0)*VLOOKUP('Données projet'!$B$15,Paramètres!$A$1:$I$89,5,0)</f>
        <v>-5.3205440053716299E-14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123.60520571614535</v>
      </c>
      <c r="EP148" s="59">
        <f t="shared" si="154"/>
        <v>119.00926870519527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8.893486669705776E-2</v>
      </c>
      <c r="EW148" s="21">
        <f>EXP(-LN(2)/25)*EW147+(1-EXP(-LN(2)/25))/(LN(2)/25)*Calculateur!ER148*Calculateur!ET148*VLOOKUP('Données projet'!$B$15,Paramètres!$A$1:$I$89,3,0)*0.475*44/12</f>
        <v>0.1969678199069114</v>
      </c>
      <c r="EX148" s="21">
        <f>EXP(-LN(2)/2)*EX147+(1-EXP(-LN(2)/2))/(LN(2)/2)*ER148*EU148*VLOOKUP('Données projet'!$B$15,Paramètres!$A$1:$I$89,3,0)*0.475*44/12</f>
        <v>2.9997158551951823E-17</v>
      </c>
      <c r="EY148" s="22">
        <f t="shared" si="129"/>
        <v>0.28590268660396922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-2.2737367544323206E-13</v>
      </c>
      <c r="FF148" s="17">
        <f>FE148*VLOOKUP('Données projet'!$B$16,Paramètres!$A$1:$I$89,3,0)*VLOOKUP('Données projet'!$B$16,Paramètres!$A$1:$I$89,5,0)</f>
        <v>-1.0936673788819462E-13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197.66963254934603</v>
      </c>
      <c r="FK148" s="59">
        <f t="shared" si="156"/>
        <v>158.08388141976138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0.27349611237109173</v>
      </c>
      <c r="FR148" s="21">
        <f>EXP(-LN(2)/25)*FR147+(1-EXP(-LN(2)/25))/(LN(2)/25)*Calculateur!FM148*Calculateur!FO148*VLOOKUP('Données projet'!$B$16,Paramètres!$A$1:$I$89,3,0)*0.475*44/12</f>
        <v>0.21909293438542207</v>
      </c>
      <c r="FS148" s="21">
        <f>EXP(-LN(2)/2)*FS147+(1-EXP(-LN(2)/2))/(LN(2)/2)*FM148*FP148*VLOOKUP('Données projet'!$B$16,Paramètres!$A$1:$I$89,3,0)*0.475*44/12</f>
        <v>4.0616215329710466E-17</v>
      </c>
      <c r="FT148" s="22">
        <f t="shared" si="132"/>
        <v>0.49258904675651388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5.6843418860808015E-14</v>
      </c>
      <c r="GA148" s="17">
        <f>FZ148*VLOOKUP('Données projet'!$B$17,Paramètres!$A$1:$I$89,3,0)*VLOOKUP('Données projet'!$B$17,Paramètres!$A$1:$I$89,5,0)</f>
        <v>3.3992364478763198E-14</v>
      </c>
      <c r="GB148" s="13">
        <f t="shared" si="157"/>
        <v>5.790027782444094E-13</v>
      </c>
      <c r="GC148" s="20">
        <f t="shared" si="133"/>
        <v>1.0676332069095257E-12</v>
      </c>
      <c r="GD148" s="59">
        <f t="shared" si="134"/>
        <v>293.33333333333439</v>
      </c>
      <c r="GE148" s="59">
        <f ca="1">AVERAGE(OFFSET($GD$3,0,0,'Données projet'!$E$17+1,1))-AVERAGE(OFFSET($H$3,0,0,'Données projet'!$E$17+1,1))</f>
        <v>165.39579887388538</v>
      </c>
      <c r="GF148" s="59">
        <f t="shared" si="158"/>
        <v>155.89639262545802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0.30056927035579228</v>
      </c>
      <c r="GN148" s="21">
        <f>EXP(-LN(2)/2)*GN147+(1-EXP(-LN(2)/2))/(LN(2)/2)*GH148*GK148*VLOOKUP('Données projet'!$B$17,Paramètres!$A$1:$I$89,3,0)*0.475*44/12</f>
        <v>6.8102935732427055E-17</v>
      </c>
      <c r="GO148" s="21">
        <f t="shared" si="135"/>
        <v>0.30056927035579234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2.8421709430404007E-14</v>
      </c>
      <c r="GV148" s="17">
        <f>GU148*VLOOKUP('Données projet'!$B$18,Paramètres!$A$1:$I$89,3,0)*VLOOKUP('Données projet'!$B$18,Paramètres!$A$1:$I$89,5,0)</f>
        <v>3.0593128030886874E-14</v>
      </c>
      <c r="GW148" s="13">
        <f t="shared" si="159"/>
        <v>5.2753263159251616E-13</v>
      </c>
      <c r="GX148" s="20">
        <f t="shared" si="136"/>
        <v>9.7206903134409357E-13</v>
      </c>
      <c r="GY148" s="59">
        <f t="shared" si="137"/>
        <v>293.33333333333428</v>
      </c>
      <c r="GZ148" s="59">
        <f ca="1">AVERAGE(OFFSET($GY$3,0,0,'Données projet'!$E$18+1,1))-AVERAGE(OFFSET($H$3,0,0,'Données projet'!$E$18+1,1))</f>
        <v>186.60545265015247</v>
      </c>
      <c r="HA148" s="59">
        <f t="shared" si="160"/>
        <v>69.239647548491234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0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0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1.9065282685915009E-13</v>
      </c>
      <c r="P149" s="13">
        <f t="shared" si="141"/>
        <v>2.6568987209435707E-12</v>
      </c>
      <c r="Q149" s="20">
        <f t="shared" si="108"/>
        <v>4.959485612423072E-12</v>
      </c>
      <c r="R149" s="59">
        <f t="shared" si="109"/>
        <v>293.33333333333826</v>
      </c>
      <c r="S149" s="59">
        <f ca="1">AVERAGE(OFFSET($R$3,0,0,'Données projet'!$E$9+1,1))-AVERAGE(OFFSET($H$3,0,0,'Données projet'!$E$9+1,1))</f>
        <v>235.10258076192054</v>
      </c>
      <c r="T149" s="59">
        <f t="shared" si="142"/>
        <v>233.47316052603765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0.34441552979026629</v>
      </c>
      <c r="AA149" s="21">
        <f>EXP(-LN(2)/25)*AA148+(1-EXP(-LN(2)/25))/(LN(2)/25)*Calculateur!V149*Calculateur!X149*VLOOKUP('Données projet'!$B$9,Paramètres!$A$1:$I$89,3,0)*0.475*44/12</f>
        <v>0.73936901177681802</v>
      </c>
      <c r="AB149" s="21">
        <f>EXP(-LN(2)/2)*AB148+(1-EXP(-LN(2)/2))/(LN(2)/2)*V149*Y149*VLOOKUP('Données projet'!$B$9,Paramètres!$A$1:$I$89,3,0)*0.475*44/12</f>
        <v>8.3690282907486109E-17</v>
      </c>
      <c r="AC149" s="22">
        <f t="shared" si="111"/>
        <v>1.0837845415670844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2.2737367544323206E-13</v>
      </c>
      <c r="AJ149" s="13">
        <f>AI149*VLOOKUP('Données projet'!$B$10,Paramètres!$A$1:$I$89,3,0)*VLOOKUP('Données projet'!$B$10,Paramètres!$A$1:$I$89,5,0)</f>
        <v>1.2414602679200471E-13</v>
      </c>
      <c r="AK149" s="13">
        <f t="shared" si="143"/>
        <v>1.8186582995804361E-12</v>
      </c>
      <c r="AL149" s="20">
        <f t="shared" si="112"/>
        <v>3.3837175350986671E-12</v>
      </c>
      <c r="AM149" s="59">
        <f t="shared" si="113"/>
        <v>293.33333333333672</v>
      </c>
      <c r="AN149" s="59">
        <f ca="1">AVERAGE(OFFSET($AM$3,0,0,'Données projet'!$E$10+1,1))-AVERAGE(OFFSET($H$3,0,0,'Données projet'!$E$10+1,1))</f>
        <v>168.72306536277267</v>
      </c>
      <c r="AO149" s="59">
        <f t="shared" si="144"/>
        <v>203.35476578922339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0.30582351482433784</v>
      </c>
      <c r="AV149" s="21">
        <f>EXP(-LN(2)/25)*AV148+(1-EXP(-LN(2)/25))/(LN(2)/25)*Calculateur!AQ149*Calculateur!AS149*VLOOKUP('Données projet'!$B$10,Paramètres!$A$1:$I$89,3,0)*0.475*44/12</f>
        <v>0.92186162214611655</v>
      </c>
      <c r="AW149" s="21">
        <f>EXP(-LN(2)/2)*AW148+(1-EXP(-LN(2)/2))/(LN(2)/2)*AQ149*AT149*VLOOKUP('Données projet'!$B$10,Paramètres!$A$1:$I$89,3,0)*0.475*44/12</f>
        <v>6.9471673629394278E-17</v>
      </c>
      <c r="AX149" s="21">
        <f t="shared" si="114"/>
        <v>1.2276851369704544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3.3992364478763198E-14</v>
      </c>
      <c r="BF149" s="13">
        <f t="shared" si="145"/>
        <v>5.790027782444094E-13</v>
      </c>
      <c r="BG149" s="20">
        <f t="shared" si="115"/>
        <v>1.0676332069095257E-12</v>
      </c>
      <c r="BH149" s="59">
        <f t="shared" si="116"/>
        <v>293.33333333333439</v>
      </c>
      <c r="BI149" s="59">
        <f ca="1">AVERAGE(OFFSET($BH$3,0,0,'Données projet'!$E$11+1,1))-AVERAGE(OFFSET($H$3,0,0,'Données projet'!$E$11+1,1))</f>
        <v>165.39579887388538</v>
      </c>
      <c r="BJ149" s="59">
        <f t="shared" si="146"/>
        <v>155.89639262545802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0.29235018785166217</v>
      </c>
      <c r="BR149" s="21">
        <f>EXP(-LN(2)/2)*BR148+(1-EXP(-LN(2)/2))/(LN(2)/2)*BL149*BO149*VLOOKUP('Données projet'!$B$11,Paramètres!$A$1:$I$89,3,0)*0.475*44/12</f>
        <v>4.8156047675110807E-17</v>
      </c>
      <c r="BS149" s="22">
        <f t="shared" si="117"/>
        <v>0.29235018785166222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2.8421709430404007E-14</v>
      </c>
      <c r="BZ149" s="13">
        <f>BY149*VLOOKUP('Données projet'!$B$12,Paramètres!$A$1:$I$89,3,0)*VLOOKUP('Données projet'!$B$12,Paramètres!$A$1:$I$89,5,0)</f>
        <v>2.7489477361086758E-14</v>
      </c>
      <c r="CA149" s="13">
        <f t="shared" si="147"/>
        <v>4.7995394886724981E-13</v>
      </c>
      <c r="CB149" s="20">
        <f t="shared" si="118"/>
        <v>8.8379730068101964E-13</v>
      </c>
      <c r="CC149" s="59">
        <f t="shared" si="119"/>
        <v>293.33333333333422</v>
      </c>
      <c r="CD149" s="59">
        <f ca="1">AVERAGE(OFFSET($CC$3,0,0,'Données projet'!$E$12+1,1))-AVERAGE(OFFSET($H$3,0,0,'Données projet'!$E$12+1,1))</f>
        <v>156.26368818265388</v>
      </c>
      <c r="CE149" s="59">
        <f t="shared" si="148"/>
        <v>56.347130462109817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2.8421709430404007E-14</v>
      </c>
      <c r="CU149" s="17">
        <f>CT149*VLOOKUP('Données projet'!$B$13,Paramètres!$A$1:$I$89,3,0)*VLOOKUP('Données projet'!$B$13,Paramètres!$A$1:$I$89,5,0)</f>
        <v>2.3055690689943732E-14</v>
      </c>
      <c r="CV149" s="13">
        <f t="shared" si="149"/>
        <v>4.10868481342271E-13</v>
      </c>
      <c r="CW149" s="20">
        <f t="shared" si="121"/>
        <v>7.5575126628944061E-13</v>
      </c>
      <c r="CX149" s="59">
        <f t="shared" si="122"/>
        <v>293.33333333333405</v>
      </c>
      <c r="CY149" s="59">
        <f ca="1">AVERAGE(OFFSET($CX$3,0,0,'Données projet'!$E$13+1,1))-AVERAGE(OFFSET($H$3,0,0,'Données projet'!$E$13+1,1))</f>
        <v>112.78807760743126</v>
      </c>
      <c r="CZ149" s="59">
        <f t="shared" si="150"/>
        <v>37.867745922003564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-8.5265128291212022E-14</v>
      </c>
      <c r="DP149" s="17">
        <f>DO149*VLOOKUP('Données projet'!$B$14,Paramètres!$A$1:$I$89,3,0)*VLOOKUP('Données projet'!$B$14,Paramètres!$A$1:$I$89,5,0)</f>
        <v>-5.7195848057745024E-14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107.15837202366862</v>
      </c>
      <c r="DU149" s="59">
        <f t="shared" si="152"/>
        <v>139.67031833740026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0.22732894939288367</v>
      </c>
      <c r="EC149" s="21">
        <f>EXP(-LN(2)/2)*EC148+(1-EXP(-LN(2)/2))/(LN(2)/2)*DW149*DZ149*VLOOKUP('Données projet'!$B$14,Paramètres!$A$1:$I$89,3,0)*0.475*44/12</f>
        <v>2.3416947394374906E-17</v>
      </c>
      <c r="ED149" s="22">
        <f t="shared" si="126"/>
        <v>0.2273289493928837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-1.1368683772161603E-13</v>
      </c>
      <c r="EK149" s="17">
        <f>EJ149*VLOOKUP('Données projet'!$B$15,Paramètres!$A$1:$I$89,3,0)*VLOOKUP('Données projet'!$B$15,Paramètres!$A$1:$I$89,5,0)</f>
        <v>-5.3205440053716299E-14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123.60520571614535</v>
      </c>
      <c r="EP149" s="59">
        <f t="shared" si="154"/>
        <v>119.00926870519527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8.7190908206040904E-2</v>
      </c>
      <c r="EW149" s="21">
        <f>EXP(-LN(2)/25)*EW148+(1-EXP(-LN(2)/25))/(LN(2)/25)*Calculateur!ER149*Calculateur!ET149*VLOOKUP('Données projet'!$B$15,Paramètres!$A$1:$I$89,3,0)*0.475*44/12</f>
        <v>0.19158172451346944</v>
      </c>
      <c r="EX149" s="21">
        <f>EXP(-LN(2)/2)*EX148+(1-EXP(-LN(2)/2))/(LN(2)/2)*ER149*EU149*VLOOKUP('Données projet'!$B$15,Paramètres!$A$1:$I$89,3,0)*0.475*44/12</f>
        <v>2.1211194228413171E-17</v>
      </c>
      <c r="EY149" s="22">
        <f t="shared" si="129"/>
        <v>0.27877263271951036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-2.2737367544323206E-13</v>
      </c>
      <c r="FF149" s="17">
        <f>FE149*VLOOKUP('Données projet'!$B$16,Paramètres!$A$1:$I$89,3,0)*VLOOKUP('Données projet'!$B$16,Paramètres!$A$1:$I$89,5,0)</f>
        <v>-1.0936673788819462E-13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197.66963254934603</v>
      </c>
      <c r="FK149" s="59">
        <f t="shared" si="156"/>
        <v>158.08388141976138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0.26813302042365145</v>
      </c>
      <c r="FR149" s="21">
        <f>EXP(-LN(2)/25)*FR148+(1-EXP(-LN(2)/25))/(LN(2)/25)*Calculateur!FM149*Calculateur!FO149*VLOOKUP('Données projet'!$B$16,Paramètres!$A$1:$I$89,3,0)*0.475*44/12</f>
        <v>0.21310182657305604</v>
      </c>
      <c r="FS149" s="21">
        <f>EXP(-LN(2)/2)*FS148+(1-EXP(-LN(2)/2))/(LN(2)/2)*FM149*FP149*VLOOKUP('Données projet'!$B$16,Paramètres!$A$1:$I$89,3,0)*0.475*44/12</f>
        <v>2.8720001285771275E-17</v>
      </c>
      <c r="FT149" s="22">
        <f t="shared" si="132"/>
        <v>0.48123484699670754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5.6843418860808015E-14</v>
      </c>
      <c r="GA149" s="17">
        <f>FZ149*VLOOKUP('Données projet'!$B$17,Paramètres!$A$1:$I$89,3,0)*VLOOKUP('Données projet'!$B$17,Paramètres!$A$1:$I$89,5,0)</f>
        <v>3.3992364478763198E-14</v>
      </c>
      <c r="GB149" s="13">
        <f t="shared" si="157"/>
        <v>5.790027782444094E-13</v>
      </c>
      <c r="GC149" s="20">
        <f t="shared" si="133"/>
        <v>1.0676332069095257E-12</v>
      </c>
      <c r="GD149" s="59">
        <f t="shared" si="134"/>
        <v>293.33333333333439</v>
      </c>
      <c r="GE149" s="59">
        <f ca="1">AVERAGE(OFFSET($GD$3,0,0,'Données projet'!$E$17+1,1))-AVERAGE(OFFSET($H$3,0,0,'Données projet'!$E$17+1,1))</f>
        <v>165.39579887388538</v>
      </c>
      <c r="GF149" s="59">
        <f t="shared" si="158"/>
        <v>155.89639262545802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0.29235018785166217</v>
      </c>
      <c r="GN149" s="21">
        <f>EXP(-LN(2)/2)*GN148+(1-EXP(-LN(2)/2))/(LN(2)/2)*GH149*GK149*VLOOKUP('Données projet'!$B$17,Paramètres!$A$1:$I$89,3,0)*0.475*44/12</f>
        <v>4.8156047675110807E-17</v>
      </c>
      <c r="GO149" s="21">
        <f t="shared" si="135"/>
        <v>0.29235018785166222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2.8421709430404007E-14</v>
      </c>
      <c r="GV149" s="17">
        <f>GU149*VLOOKUP('Données projet'!$B$18,Paramètres!$A$1:$I$89,3,0)*VLOOKUP('Données projet'!$B$18,Paramètres!$A$1:$I$89,5,0)</f>
        <v>3.0593128030886874E-14</v>
      </c>
      <c r="GW149" s="13">
        <f t="shared" si="159"/>
        <v>5.2753263159251616E-13</v>
      </c>
      <c r="GX149" s="20">
        <f t="shared" si="136"/>
        <v>9.7206903134409357E-13</v>
      </c>
      <c r="GY149" s="59">
        <f t="shared" si="137"/>
        <v>293.33333333333428</v>
      </c>
      <c r="GZ149" s="59">
        <f ca="1">AVERAGE(OFFSET($GY$3,0,0,'Données projet'!$E$18+1,1))-AVERAGE(OFFSET($H$3,0,0,'Données projet'!$E$18+1,1))</f>
        <v>186.60545265015247</v>
      </c>
      <c r="HA149" s="59">
        <f t="shared" si="160"/>
        <v>69.239647548491234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0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0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1.9065282685915009E-13</v>
      </c>
      <c r="P150" s="13">
        <f t="shared" si="141"/>
        <v>2.6568987209435707E-12</v>
      </c>
      <c r="Q150" s="20">
        <f t="shared" si="108"/>
        <v>4.959485612423072E-12</v>
      </c>
      <c r="R150" s="59">
        <f t="shared" si="109"/>
        <v>293.33333333333826</v>
      </c>
      <c r="S150" s="59">
        <f ca="1">AVERAGE(OFFSET($R$3,0,0,'Données projet'!$E$9+1,1))-AVERAGE(OFFSET($H$3,0,0,'Données projet'!$E$9+1,1))</f>
        <v>235.10258076192054</v>
      </c>
      <c r="T150" s="59">
        <f t="shared" si="142"/>
        <v>233.47316052603765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0.33766175132380938</v>
      </c>
      <c r="AA150" s="21">
        <f>EXP(-LN(2)/25)*AA149+(1-EXP(-LN(2)/25))/(LN(2)/25)*Calculateur!V150*Calculateur!X150*VLOOKUP('Données projet'!$B$9,Paramètres!$A$1:$I$89,3,0)*0.475*44/12</f>
        <v>0.71915092726805441</v>
      </c>
      <c r="AB150" s="21">
        <f>EXP(-LN(2)/2)*AB149+(1-EXP(-LN(2)/2))/(LN(2)/2)*V150*Y150*VLOOKUP('Données projet'!$B$9,Paramètres!$A$1:$I$89,3,0)*0.475*44/12</f>
        <v>5.9177966563304038E-17</v>
      </c>
      <c r="AC150" s="22">
        <f t="shared" si="111"/>
        <v>1.0568126785918639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2.2737367544323206E-13</v>
      </c>
      <c r="AJ150" s="13">
        <f>AI150*VLOOKUP('Données projet'!$B$10,Paramètres!$A$1:$I$89,3,0)*VLOOKUP('Données projet'!$B$10,Paramètres!$A$1:$I$89,5,0)</f>
        <v>1.2414602679200471E-13</v>
      </c>
      <c r="AK150" s="13">
        <f t="shared" si="143"/>
        <v>1.8186582995804361E-12</v>
      </c>
      <c r="AL150" s="20">
        <f t="shared" si="112"/>
        <v>3.3837175350986671E-12</v>
      </c>
      <c r="AM150" s="59">
        <f t="shared" si="113"/>
        <v>293.33333333333672</v>
      </c>
      <c r="AN150" s="59">
        <f ca="1">AVERAGE(OFFSET($AM$3,0,0,'Données projet'!$E$10+1,1))-AVERAGE(OFFSET($H$3,0,0,'Données projet'!$E$10+1,1))</f>
        <v>168.72306536277267</v>
      </c>
      <c r="AO150" s="59">
        <f t="shared" si="144"/>
        <v>203.35476578922339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0.29982650223255791</v>
      </c>
      <c r="AV150" s="21">
        <f>EXP(-LN(2)/25)*AV149+(1-EXP(-LN(2)/25))/(LN(2)/25)*Calculateur!AQ150*Calculateur!AS150*VLOOKUP('Données projet'!$B$10,Paramètres!$A$1:$I$89,3,0)*0.475*44/12</f>
        <v>0.89665326760993525</v>
      </c>
      <c r="AW150" s="21">
        <f>EXP(-LN(2)/2)*AW149+(1-EXP(-LN(2)/2))/(LN(2)/2)*AQ150*AT150*VLOOKUP('Données projet'!$B$10,Paramètres!$A$1:$I$89,3,0)*0.475*44/12</f>
        <v>4.9123891523723344E-17</v>
      </c>
      <c r="AX150" s="21">
        <f t="shared" si="114"/>
        <v>1.1964797698424932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3.3992364478763198E-14</v>
      </c>
      <c r="BF150" s="13">
        <f t="shared" si="145"/>
        <v>5.790027782444094E-13</v>
      </c>
      <c r="BG150" s="20">
        <f t="shared" si="115"/>
        <v>1.0676332069095257E-12</v>
      </c>
      <c r="BH150" s="59">
        <f t="shared" si="116"/>
        <v>293.33333333333439</v>
      </c>
      <c r="BI150" s="59">
        <f ca="1">AVERAGE(OFFSET($BH$3,0,0,'Données projet'!$E$11+1,1))-AVERAGE(OFFSET($H$3,0,0,'Données projet'!$E$11+1,1))</f>
        <v>165.39579887388538</v>
      </c>
      <c r="BJ150" s="59">
        <f t="shared" si="146"/>
        <v>155.89639262545802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0.28435585659083024</v>
      </c>
      <c r="BR150" s="21">
        <f>EXP(-LN(2)/2)*BR149+(1-EXP(-LN(2)/2))/(LN(2)/2)*BL150*BO150*VLOOKUP('Données projet'!$B$11,Paramètres!$A$1:$I$89,3,0)*0.475*44/12</f>
        <v>3.4051467866213527E-17</v>
      </c>
      <c r="BS150" s="22">
        <f t="shared" si="117"/>
        <v>0.28435585659083029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2.8421709430404007E-14</v>
      </c>
      <c r="BZ150" s="13">
        <f>BY150*VLOOKUP('Données projet'!$B$12,Paramètres!$A$1:$I$89,3,0)*VLOOKUP('Données projet'!$B$12,Paramètres!$A$1:$I$89,5,0)</f>
        <v>2.7489477361086758E-14</v>
      </c>
      <c r="CA150" s="13">
        <f t="shared" si="147"/>
        <v>4.7995394886724981E-13</v>
      </c>
      <c r="CB150" s="20">
        <f t="shared" si="118"/>
        <v>8.8379730068101964E-13</v>
      </c>
      <c r="CC150" s="59">
        <f t="shared" si="119"/>
        <v>293.33333333333422</v>
      </c>
      <c r="CD150" s="59">
        <f ca="1">AVERAGE(OFFSET($CC$3,0,0,'Données projet'!$E$12+1,1))-AVERAGE(OFFSET($H$3,0,0,'Données projet'!$E$12+1,1))</f>
        <v>156.26368818265388</v>
      </c>
      <c r="CE150" s="59">
        <f t="shared" si="148"/>
        <v>56.347130462109817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2.8421709430404007E-14</v>
      </c>
      <c r="CU150" s="17">
        <f>CT150*VLOOKUP('Données projet'!$B$13,Paramètres!$A$1:$I$89,3,0)*VLOOKUP('Données projet'!$B$13,Paramètres!$A$1:$I$89,5,0)</f>
        <v>2.3055690689943732E-14</v>
      </c>
      <c r="CV150" s="13">
        <f t="shared" si="149"/>
        <v>4.10868481342271E-13</v>
      </c>
      <c r="CW150" s="20">
        <f t="shared" si="121"/>
        <v>7.5575126628944061E-13</v>
      </c>
      <c r="CX150" s="59">
        <f t="shared" si="122"/>
        <v>293.33333333333405</v>
      </c>
      <c r="CY150" s="59">
        <f ca="1">AVERAGE(OFFSET($CX$3,0,0,'Données projet'!$E$13+1,1))-AVERAGE(OFFSET($H$3,0,0,'Données projet'!$E$13+1,1))</f>
        <v>112.78807760743126</v>
      </c>
      <c r="CZ150" s="59">
        <f t="shared" si="150"/>
        <v>37.867745922003564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-8.5265128291212022E-14</v>
      </c>
      <c r="DP150" s="17">
        <f>DO150*VLOOKUP('Données projet'!$B$14,Paramètres!$A$1:$I$89,3,0)*VLOOKUP('Données projet'!$B$14,Paramètres!$A$1:$I$89,5,0)</f>
        <v>-5.7195848057745024E-14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107.15837202366862</v>
      </c>
      <c r="DU150" s="59">
        <f t="shared" si="152"/>
        <v>139.67031833740026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0.22111262731702538</v>
      </c>
      <c r="EC150" s="21">
        <f>EXP(-LN(2)/2)*EC149+(1-EXP(-LN(2)/2))/(LN(2)/2)*DW150*DZ150*VLOOKUP('Données projet'!$B$14,Paramètres!$A$1:$I$89,3,0)*0.475*44/12</f>
        <v>1.6558282297251151E-17</v>
      </c>
      <c r="ED150" s="22">
        <f t="shared" si="126"/>
        <v>0.22111262731702541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-1.1368683772161603E-13</v>
      </c>
      <c r="EK150" s="17">
        <f>EJ150*VLOOKUP('Données projet'!$B$15,Paramètres!$A$1:$I$89,3,0)*VLOOKUP('Données projet'!$B$15,Paramètres!$A$1:$I$89,5,0)</f>
        <v>-5.3205440053716299E-14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123.60520571614535</v>
      </c>
      <c r="EP150" s="59">
        <f t="shared" si="154"/>
        <v>119.00926870519527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8.5481147677323246E-2</v>
      </c>
      <c r="EW150" s="21">
        <f>EXP(-LN(2)/25)*EW149+(1-EXP(-LN(2)/25))/(LN(2)/25)*Calculateur!ER150*Calculateur!ET150*VLOOKUP('Données projet'!$B$15,Paramètres!$A$1:$I$89,3,0)*0.475*44/12</f>
        <v>0.1863429121818036</v>
      </c>
      <c r="EX150" s="21">
        <f>EXP(-LN(2)/2)*EX149+(1-EXP(-LN(2)/2))/(LN(2)/2)*ER150*EU150*VLOOKUP('Données projet'!$B$15,Paramètres!$A$1:$I$89,3,0)*0.475*44/12</f>
        <v>1.4998579275975912E-17</v>
      </c>
      <c r="EY150" s="22">
        <f t="shared" si="129"/>
        <v>0.27182405985912683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-2.2737367544323206E-13</v>
      </c>
      <c r="FF150" s="17">
        <f>FE150*VLOOKUP('Données projet'!$B$16,Paramètres!$A$1:$I$89,3,0)*VLOOKUP('Données projet'!$B$16,Paramètres!$A$1:$I$89,5,0)</f>
        <v>-1.0936673788819462E-13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197.66963254934603</v>
      </c>
      <c r="FK150" s="59">
        <f t="shared" si="156"/>
        <v>158.08388141976138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0.26287509543813736</v>
      </c>
      <c r="FR150" s="21">
        <f>EXP(-LN(2)/25)*FR149+(1-EXP(-LN(2)/25))/(LN(2)/25)*Calculateur!FM150*Calculateur!FO150*VLOOKUP('Données projet'!$B$16,Paramètres!$A$1:$I$89,3,0)*0.475*44/12</f>
        <v>0.20727454591887781</v>
      </c>
      <c r="FS150" s="21">
        <f>EXP(-LN(2)/2)*FS149+(1-EXP(-LN(2)/2))/(LN(2)/2)*FM150*FP150*VLOOKUP('Données projet'!$B$16,Paramètres!$A$1:$I$89,3,0)*0.475*44/12</f>
        <v>2.0308107664855233E-17</v>
      </c>
      <c r="FT150" s="22">
        <f t="shared" si="132"/>
        <v>0.4701496413570152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5.6843418860808015E-14</v>
      </c>
      <c r="GA150" s="17">
        <f>FZ150*VLOOKUP('Données projet'!$B$17,Paramètres!$A$1:$I$89,3,0)*VLOOKUP('Données projet'!$B$17,Paramètres!$A$1:$I$89,5,0)</f>
        <v>3.3992364478763198E-14</v>
      </c>
      <c r="GB150" s="13">
        <f t="shared" si="157"/>
        <v>5.790027782444094E-13</v>
      </c>
      <c r="GC150" s="20">
        <f t="shared" si="133"/>
        <v>1.0676332069095257E-12</v>
      </c>
      <c r="GD150" s="59">
        <f t="shared" si="134"/>
        <v>293.33333333333439</v>
      </c>
      <c r="GE150" s="59">
        <f ca="1">AVERAGE(OFFSET($GD$3,0,0,'Données projet'!$E$17+1,1))-AVERAGE(OFFSET($H$3,0,0,'Données projet'!$E$17+1,1))</f>
        <v>165.39579887388538</v>
      </c>
      <c r="GF150" s="59">
        <f t="shared" si="158"/>
        <v>155.89639262545802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0.28435585659083024</v>
      </c>
      <c r="GN150" s="21">
        <f>EXP(-LN(2)/2)*GN149+(1-EXP(-LN(2)/2))/(LN(2)/2)*GH150*GK150*VLOOKUP('Données projet'!$B$17,Paramètres!$A$1:$I$89,3,0)*0.475*44/12</f>
        <v>3.4051467866213527E-17</v>
      </c>
      <c r="GO150" s="21">
        <f t="shared" si="135"/>
        <v>0.28435585659083029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2.8421709430404007E-14</v>
      </c>
      <c r="GV150" s="17">
        <f>GU150*VLOOKUP('Données projet'!$B$18,Paramètres!$A$1:$I$89,3,0)*VLOOKUP('Données projet'!$B$18,Paramètres!$A$1:$I$89,5,0)</f>
        <v>3.0593128030886874E-14</v>
      </c>
      <c r="GW150" s="13">
        <f t="shared" si="159"/>
        <v>5.2753263159251616E-13</v>
      </c>
      <c r="GX150" s="20">
        <f t="shared" si="136"/>
        <v>9.7206903134409357E-13</v>
      </c>
      <c r="GY150" s="59">
        <f t="shared" si="137"/>
        <v>293.33333333333428</v>
      </c>
      <c r="GZ150" s="59">
        <f ca="1">AVERAGE(OFFSET($GY$3,0,0,'Données projet'!$E$18+1,1))-AVERAGE(OFFSET($H$3,0,0,'Données projet'!$E$18+1,1))</f>
        <v>186.60545265015247</v>
      </c>
      <c r="HA150" s="59">
        <f t="shared" si="160"/>
        <v>69.239647548491234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0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0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1.9065282685915009E-13</v>
      </c>
      <c r="P151" s="13">
        <f t="shared" si="141"/>
        <v>2.6568987209435707E-12</v>
      </c>
      <c r="Q151" s="20">
        <f t="shared" si="108"/>
        <v>4.959485612423072E-12</v>
      </c>
      <c r="R151" s="59">
        <f t="shared" si="109"/>
        <v>293.33333333333826</v>
      </c>
      <c r="S151" s="59">
        <f ca="1">AVERAGE(OFFSET($R$3,0,0,'Données projet'!$E$9+1,1))-AVERAGE(OFFSET($H$3,0,0,'Données projet'!$E$9+1,1))</f>
        <v>235.10258076192054</v>
      </c>
      <c r="T151" s="59">
        <f t="shared" si="142"/>
        <v>233.47316052603765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0.33104041033368159</v>
      </c>
      <c r="AA151" s="21">
        <f>EXP(-LN(2)/25)*AA150+(1-EXP(-LN(2)/25))/(LN(2)/25)*Calculateur!V151*Calculateur!X151*VLOOKUP('Données projet'!$B$9,Paramètres!$A$1:$I$89,3,0)*0.475*44/12</f>
        <v>0.69948570734340587</v>
      </c>
      <c r="AB151" s="21">
        <f>EXP(-LN(2)/2)*AB150+(1-EXP(-LN(2)/2))/(LN(2)/2)*V151*Y151*VLOOKUP('Données projet'!$B$9,Paramètres!$A$1:$I$89,3,0)*0.475*44/12</f>
        <v>4.1845141453743055E-17</v>
      </c>
      <c r="AC151" s="22">
        <f t="shared" si="111"/>
        <v>1.0305261176770875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2.2737367544323206E-13</v>
      </c>
      <c r="AJ151" s="13">
        <f>AI151*VLOOKUP('Données projet'!$B$10,Paramètres!$A$1:$I$89,3,0)*VLOOKUP('Données projet'!$B$10,Paramètres!$A$1:$I$89,5,0)</f>
        <v>1.2414602679200471E-13</v>
      </c>
      <c r="AK151" s="13">
        <f t="shared" si="143"/>
        <v>1.8186582995804361E-12</v>
      </c>
      <c r="AL151" s="20">
        <f t="shared" si="112"/>
        <v>3.3837175350986671E-12</v>
      </c>
      <c r="AM151" s="59">
        <f t="shared" si="113"/>
        <v>293.33333333333672</v>
      </c>
      <c r="AN151" s="59">
        <f ca="1">AVERAGE(OFFSET($AM$3,0,0,'Données projet'!$E$10+1,1))-AVERAGE(OFFSET($H$3,0,0,'Données projet'!$E$10+1,1))</f>
        <v>168.72306536277267</v>
      </c>
      <c r="AO151" s="59">
        <f t="shared" si="144"/>
        <v>203.35476578922339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0.29394708739988629</v>
      </c>
      <c r="AV151" s="21">
        <f>EXP(-LN(2)/25)*AV150+(1-EXP(-LN(2)/25))/(LN(2)/25)*Calculateur!AQ151*Calculateur!AS151*VLOOKUP('Données projet'!$B$10,Paramètres!$A$1:$I$89,3,0)*0.475*44/12</f>
        <v>0.87213423685419555</v>
      </c>
      <c r="AW151" s="21">
        <f>EXP(-LN(2)/2)*AW150+(1-EXP(-LN(2)/2))/(LN(2)/2)*AQ151*AT151*VLOOKUP('Données projet'!$B$10,Paramètres!$A$1:$I$89,3,0)*0.475*44/12</f>
        <v>3.4735836814697139E-17</v>
      </c>
      <c r="AX151" s="21">
        <f t="shared" si="114"/>
        <v>1.166081324254082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3.3992364478763198E-14</v>
      </c>
      <c r="BF151" s="13">
        <f t="shared" si="145"/>
        <v>5.790027782444094E-13</v>
      </c>
      <c r="BG151" s="20">
        <f t="shared" si="115"/>
        <v>1.0676332069095257E-12</v>
      </c>
      <c r="BH151" s="59">
        <f t="shared" si="116"/>
        <v>293.33333333333439</v>
      </c>
      <c r="BI151" s="59">
        <f ca="1">AVERAGE(OFFSET($BH$3,0,0,'Données projet'!$E$11+1,1))-AVERAGE(OFFSET($H$3,0,0,'Données projet'!$E$11+1,1))</f>
        <v>165.39579887388538</v>
      </c>
      <c r="BJ151" s="59">
        <f t="shared" si="146"/>
        <v>155.89639262545802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0.27658013073872939</v>
      </c>
      <c r="BR151" s="21">
        <f>EXP(-LN(2)/2)*BR150+(1-EXP(-LN(2)/2))/(LN(2)/2)*BL151*BO151*VLOOKUP('Données projet'!$B$11,Paramètres!$A$1:$I$89,3,0)*0.475*44/12</f>
        <v>2.4078023837555403E-17</v>
      </c>
      <c r="BS151" s="22">
        <f t="shared" si="117"/>
        <v>0.27658013073872939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2.8421709430404007E-14</v>
      </c>
      <c r="BZ151" s="13">
        <f>BY151*VLOOKUP('Données projet'!$B$12,Paramètres!$A$1:$I$89,3,0)*VLOOKUP('Données projet'!$B$12,Paramètres!$A$1:$I$89,5,0)</f>
        <v>2.7489477361086758E-14</v>
      </c>
      <c r="CA151" s="13">
        <f t="shared" si="147"/>
        <v>4.7995394886724981E-13</v>
      </c>
      <c r="CB151" s="20">
        <f t="shared" si="118"/>
        <v>8.8379730068101964E-13</v>
      </c>
      <c r="CC151" s="59">
        <f t="shared" si="119"/>
        <v>293.33333333333422</v>
      </c>
      <c r="CD151" s="59">
        <f ca="1">AVERAGE(OFFSET($CC$3,0,0,'Données projet'!$E$12+1,1))-AVERAGE(OFFSET($H$3,0,0,'Données projet'!$E$12+1,1))</f>
        <v>156.26368818265388</v>
      </c>
      <c r="CE151" s="59">
        <f t="shared" si="148"/>
        <v>56.347130462109817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2.8421709430404007E-14</v>
      </c>
      <c r="CU151" s="17">
        <f>CT151*VLOOKUP('Données projet'!$B$13,Paramètres!$A$1:$I$89,3,0)*VLOOKUP('Données projet'!$B$13,Paramètres!$A$1:$I$89,5,0)</f>
        <v>2.3055690689943732E-14</v>
      </c>
      <c r="CV151" s="13">
        <f t="shared" si="149"/>
        <v>4.10868481342271E-13</v>
      </c>
      <c r="CW151" s="20">
        <f t="shared" si="121"/>
        <v>7.5575126628944061E-13</v>
      </c>
      <c r="CX151" s="59">
        <f t="shared" si="122"/>
        <v>293.33333333333405</v>
      </c>
      <c r="CY151" s="59">
        <f ca="1">AVERAGE(OFFSET($CX$3,0,0,'Données projet'!$E$13+1,1))-AVERAGE(OFFSET($H$3,0,0,'Données projet'!$E$13+1,1))</f>
        <v>112.78807760743126</v>
      </c>
      <c r="CZ151" s="59">
        <f t="shared" si="150"/>
        <v>37.867745922003564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-8.5265128291212022E-14</v>
      </c>
      <c r="DP151" s="17">
        <f>DO151*VLOOKUP('Données projet'!$B$14,Paramètres!$A$1:$I$89,3,0)*VLOOKUP('Données projet'!$B$14,Paramètres!$A$1:$I$89,5,0)</f>
        <v>-5.7195848057745024E-14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107.15837202366862</v>
      </c>
      <c r="DU151" s="59">
        <f t="shared" si="152"/>
        <v>139.67031833740026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0.2150662908952336</v>
      </c>
      <c r="EC151" s="21">
        <f>EXP(-LN(2)/2)*EC150+(1-EXP(-LN(2)/2))/(LN(2)/2)*DW151*DZ151*VLOOKUP('Données projet'!$B$14,Paramètres!$A$1:$I$89,3,0)*0.475*44/12</f>
        <v>1.1708473697187453E-17</v>
      </c>
      <c r="ED151" s="22">
        <f t="shared" si="126"/>
        <v>0.2150662908952336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-1.1368683772161603E-13</v>
      </c>
      <c r="EK151" s="17">
        <f>EJ151*VLOOKUP('Données projet'!$B$15,Paramètres!$A$1:$I$89,3,0)*VLOOKUP('Données projet'!$B$15,Paramètres!$A$1:$I$89,5,0)</f>
        <v>-5.3205440053716299E-14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123.60520571614535</v>
      </c>
      <c r="EP151" s="59">
        <f t="shared" si="154"/>
        <v>119.00926870519527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8.3804914509722786E-2</v>
      </c>
      <c r="EW151" s="21">
        <f>EXP(-LN(2)/25)*EW150+(1-EXP(-LN(2)/25))/(LN(2)/25)*Calculateur!ER151*Calculateur!ET151*VLOOKUP('Données projet'!$B$15,Paramètres!$A$1:$I$89,3,0)*0.475*44/12</f>
        <v>0.18124735544884432</v>
      </c>
      <c r="EX151" s="21">
        <f>EXP(-LN(2)/2)*EX150+(1-EXP(-LN(2)/2))/(LN(2)/2)*ER151*EU151*VLOOKUP('Données projet'!$B$15,Paramètres!$A$1:$I$89,3,0)*0.475*44/12</f>
        <v>1.0605597114206586E-17</v>
      </c>
      <c r="EY151" s="22">
        <f t="shared" si="129"/>
        <v>0.26505226995856712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-2.2737367544323206E-13</v>
      </c>
      <c r="FF151" s="17">
        <f>FE151*VLOOKUP('Données projet'!$B$16,Paramètres!$A$1:$I$89,3,0)*VLOOKUP('Données projet'!$B$16,Paramètres!$A$1:$I$89,5,0)</f>
        <v>-1.0936673788819462E-13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197.66963254934603</v>
      </c>
      <c r="FK151" s="59">
        <f t="shared" si="156"/>
        <v>158.08388141976138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0.25772027515457163</v>
      </c>
      <c r="FR151" s="21">
        <f>EXP(-LN(2)/25)*FR150+(1-EXP(-LN(2)/25))/(LN(2)/25)*Calculateur!FM151*Calculateur!FO151*VLOOKUP('Données projet'!$B$16,Paramètres!$A$1:$I$89,3,0)*0.475*44/12</f>
        <v>0.20160661256063145</v>
      </c>
      <c r="FS151" s="21">
        <f>EXP(-LN(2)/2)*FS150+(1-EXP(-LN(2)/2))/(LN(2)/2)*FM151*FP151*VLOOKUP('Données projet'!$B$16,Paramètres!$A$1:$I$89,3,0)*0.475*44/12</f>
        <v>1.4360000642885637E-17</v>
      </c>
      <c r="FT151" s="22">
        <f t="shared" si="132"/>
        <v>0.45932688771520308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5.6843418860808015E-14</v>
      </c>
      <c r="GA151" s="17">
        <f>FZ151*VLOOKUP('Données projet'!$B$17,Paramètres!$A$1:$I$89,3,0)*VLOOKUP('Données projet'!$B$17,Paramètres!$A$1:$I$89,5,0)</f>
        <v>3.3992364478763198E-14</v>
      </c>
      <c r="GB151" s="13">
        <f t="shared" si="157"/>
        <v>5.790027782444094E-13</v>
      </c>
      <c r="GC151" s="20">
        <f t="shared" si="133"/>
        <v>1.0676332069095257E-12</v>
      </c>
      <c r="GD151" s="59">
        <f t="shared" si="134"/>
        <v>293.33333333333439</v>
      </c>
      <c r="GE151" s="59">
        <f ca="1">AVERAGE(OFFSET($GD$3,0,0,'Données projet'!$E$17+1,1))-AVERAGE(OFFSET($H$3,0,0,'Données projet'!$E$17+1,1))</f>
        <v>165.39579887388538</v>
      </c>
      <c r="GF151" s="59">
        <f t="shared" si="158"/>
        <v>155.89639262545802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0.27658013073872939</v>
      </c>
      <c r="GN151" s="21">
        <f>EXP(-LN(2)/2)*GN150+(1-EXP(-LN(2)/2))/(LN(2)/2)*GH151*GK151*VLOOKUP('Données projet'!$B$17,Paramètres!$A$1:$I$89,3,0)*0.475*44/12</f>
        <v>2.4078023837555403E-17</v>
      </c>
      <c r="GO151" s="21">
        <f t="shared" si="135"/>
        <v>0.27658013073872939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2.8421709430404007E-14</v>
      </c>
      <c r="GV151" s="17">
        <f>GU151*VLOOKUP('Données projet'!$B$18,Paramètres!$A$1:$I$89,3,0)*VLOOKUP('Données projet'!$B$18,Paramètres!$A$1:$I$89,5,0)</f>
        <v>3.0593128030886874E-14</v>
      </c>
      <c r="GW151" s="13">
        <f t="shared" si="159"/>
        <v>5.2753263159251616E-13</v>
      </c>
      <c r="GX151" s="20">
        <f t="shared" si="136"/>
        <v>9.7206903134409357E-13</v>
      </c>
      <c r="GY151" s="59">
        <f t="shared" si="137"/>
        <v>293.33333333333428</v>
      </c>
      <c r="GZ151" s="59">
        <f ca="1">AVERAGE(OFFSET($GY$3,0,0,'Données projet'!$E$18+1,1))-AVERAGE(OFFSET($H$3,0,0,'Données projet'!$E$18+1,1))</f>
        <v>186.60545265015247</v>
      </c>
      <c r="HA151" s="59">
        <f t="shared" si="160"/>
        <v>69.239647548491234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0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0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1.9065282685915009E-13</v>
      </c>
      <c r="P152" s="13">
        <f t="shared" si="141"/>
        <v>2.6568987209435707E-12</v>
      </c>
      <c r="Q152" s="20">
        <f t="shared" si="108"/>
        <v>4.959485612423072E-12</v>
      </c>
      <c r="R152" s="59">
        <f t="shared" si="109"/>
        <v>293.33333333333826</v>
      </c>
      <c r="S152" s="59">
        <f ca="1">AVERAGE(OFFSET($R$3,0,0,'Données projet'!$E$9+1,1))-AVERAGE(OFFSET($H$3,0,0,'Données projet'!$E$9+1,1))</f>
        <v>235.10258076192054</v>
      </c>
      <c r="T152" s="59">
        <f t="shared" si="142"/>
        <v>233.47316052603765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0.324548909801751</v>
      </c>
      <c r="AA152" s="21">
        <f>EXP(-LN(2)/25)*AA151+(1-EXP(-LN(2)/25))/(LN(2)/25)*Calculateur!V152*Calculateur!X152*VLOOKUP('Données projet'!$B$9,Paramètres!$A$1:$I$89,3,0)*0.475*44/12</f>
        <v>0.68035823389174577</v>
      </c>
      <c r="AB152" s="21">
        <f>EXP(-LN(2)/2)*AB151+(1-EXP(-LN(2)/2))/(LN(2)/2)*V152*Y152*VLOOKUP('Données projet'!$B$9,Paramètres!$A$1:$I$89,3,0)*0.475*44/12</f>
        <v>2.9588983281652019E-17</v>
      </c>
      <c r="AC152" s="22">
        <f t="shared" si="111"/>
        <v>1.0049071436934969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2.2737367544323206E-13</v>
      </c>
      <c r="AJ152" s="13">
        <f>AI152*VLOOKUP('Données projet'!$B$10,Paramètres!$A$1:$I$89,3,0)*VLOOKUP('Données projet'!$B$10,Paramètres!$A$1:$I$89,5,0)</f>
        <v>1.2414602679200471E-13</v>
      </c>
      <c r="AK152" s="13">
        <f t="shared" si="143"/>
        <v>1.8186582995804361E-12</v>
      </c>
      <c r="AL152" s="20">
        <f t="shared" si="112"/>
        <v>3.3837175350986671E-12</v>
      </c>
      <c r="AM152" s="59">
        <f t="shared" si="113"/>
        <v>293.33333333333672</v>
      </c>
      <c r="AN152" s="59">
        <f ca="1">AVERAGE(OFFSET($AM$3,0,0,'Données projet'!$E$10+1,1))-AVERAGE(OFFSET($H$3,0,0,'Données projet'!$E$10+1,1))</f>
        <v>168.72306536277267</v>
      </c>
      <c r="AO152" s="59">
        <f t="shared" si="144"/>
        <v>203.35476578922339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0.28818296430599444</v>
      </c>
      <c r="AV152" s="21">
        <f>EXP(-LN(2)/25)*AV151+(1-EXP(-LN(2)/25))/(LN(2)/25)*Calculateur!AQ152*Calculateur!AS152*VLOOKUP('Données projet'!$B$10,Paramètres!$A$1:$I$89,3,0)*0.475*44/12</f>
        <v>0.8482856802838713</v>
      </c>
      <c r="AW152" s="21">
        <f>EXP(-LN(2)/2)*AW151+(1-EXP(-LN(2)/2))/(LN(2)/2)*AQ152*AT152*VLOOKUP('Données projet'!$B$10,Paramètres!$A$1:$I$89,3,0)*0.475*44/12</f>
        <v>2.4561945761861672E-17</v>
      </c>
      <c r="AX152" s="21">
        <f t="shared" si="114"/>
        <v>1.1364686445898657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3.3992364478763198E-14</v>
      </c>
      <c r="BF152" s="13">
        <f t="shared" si="145"/>
        <v>5.790027782444094E-13</v>
      </c>
      <c r="BG152" s="20">
        <f t="shared" si="115"/>
        <v>1.0676332069095257E-12</v>
      </c>
      <c r="BH152" s="59">
        <f t="shared" si="116"/>
        <v>293.33333333333439</v>
      </c>
      <c r="BI152" s="59">
        <f ca="1">AVERAGE(OFFSET($BH$3,0,0,'Données projet'!$E$11+1,1))-AVERAGE(OFFSET($H$3,0,0,'Données projet'!$E$11+1,1))</f>
        <v>165.39579887388538</v>
      </c>
      <c r="BJ152" s="59">
        <f t="shared" si="146"/>
        <v>155.89639262545802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0.26901703251896192</v>
      </c>
      <c r="BR152" s="21">
        <f>EXP(-LN(2)/2)*BR151+(1-EXP(-LN(2)/2))/(LN(2)/2)*BL152*BO152*VLOOKUP('Données projet'!$B$11,Paramètres!$A$1:$I$89,3,0)*0.475*44/12</f>
        <v>1.7025733933106764E-17</v>
      </c>
      <c r="BS152" s="22">
        <f t="shared" si="117"/>
        <v>0.26901703251896192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2.8421709430404007E-14</v>
      </c>
      <c r="BZ152" s="13">
        <f>BY152*VLOOKUP('Données projet'!$B$12,Paramètres!$A$1:$I$89,3,0)*VLOOKUP('Données projet'!$B$12,Paramètres!$A$1:$I$89,5,0)</f>
        <v>2.7489477361086758E-14</v>
      </c>
      <c r="CA152" s="13">
        <f t="shared" si="147"/>
        <v>4.7995394886724981E-13</v>
      </c>
      <c r="CB152" s="20">
        <f t="shared" si="118"/>
        <v>8.8379730068101964E-13</v>
      </c>
      <c r="CC152" s="59">
        <f t="shared" si="119"/>
        <v>293.33333333333422</v>
      </c>
      <c r="CD152" s="59">
        <f ca="1">AVERAGE(OFFSET($CC$3,0,0,'Données projet'!$E$12+1,1))-AVERAGE(OFFSET($H$3,0,0,'Données projet'!$E$12+1,1))</f>
        <v>156.26368818265388</v>
      </c>
      <c r="CE152" s="59">
        <f t="shared" si="148"/>
        <v>56.347130462109817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2.8421709430404007E-14</v>
      </c>
      <c r="CU152" s="17">
        <f>CT152*VLOOKUP('Données projet'!$B$13,Paramètres!$A$1:$I$89,3,0)*VLOOKUP('Données projet'!$B$13,Paramètres!$A$1:$I$89,5,0)</f>
        <v>2.3055690689943732E-14</v>
      </c>
      <c r="CV152" s="13">
        <f t="shared" si="149"/>
        <v>4.10868481342271E-13</v>
      </c>
      <c r="CW152" s="20">
        <f t="shared" si="121"/>
        <v>7.5575126628944061E-13</v>
      </c>
      <c r="CX152" s="59">
        <f t="shared" si="122"/>
        <v>293.33333333333405</v>
      </c>
      <c r="CY152" s="59">
        <f ca="1">AVERAGE(OFFSET($CX$3,0,0,'Données projet'!$E$13+1,1))-AVERAGE(OFFSET($H$3,0,0,'Données projet'!$E$13+1,1))</f>
        <v>112.78807760743126</v>
      </c>
      <c r="CZ152" s="59">
        <f t="shared" si="150"/>
        <v>37.867745922003564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-8.5265128291212022E-14</v>
      </c>
      <c r="DP152" s="17">
        <f>DO152*VLOOKUP('Données projet'!$B$14,Paramètres!$A$1:$I$89,3,0)*VLOOKUP('Données projet'!$B$14,Paramètres!$A$1:$I$89,5,0)</f>
        <v>-5.7195848057745024E-14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107.15837202366862</v>
      </c>
      <c r="DU152" s="59">
        <f t="shared" si="152"/>
        <v>139.67031833740026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0.20918529186085874</v>
      </c>
      <c r="EC152" s="21">
        <f>EXP(-LN(2)/2)*EC151+(1-EXP(-LN(2)/2))/(LN(2)/2)*DW152*DZ152*VLOOKUP('Données projet'!$B$14,Paramètres!$A$1:$I$89,3,0)*0.475*44/12</f>
        <v>8.2791411486255755E-18</v>
      </c>
      <c r="ED152" s="22">
        <f t="shared" si="126"/>
        <v>0.20918529186085874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-1.1368683772161603E-13</v>
      </c>
      <c r="EK152" s="17">
        <f>EJ152*VLOOKUP('Données projet'!$B$15,Paramètres!$A$1:$I$89,3,0)*VLOOKUP('Données projet'!$B$15,Paramètres!$A$1:$I$89,5,0)</f>
        <v>-5.3205440053716299E-14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123.60520571614535</v>
      </c>
      <c r="EP152" s="59">
        <f t="shared" si="154"/>
        <v>119.00926870519527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8.2161551252137699E-2</v>
      </c>
      <c r="EW152" s="21">
        <f>EXP(-LN(2)/25)*EW151+(1-EXP(-LN(2)/25))/(LN(2)/25)*Calculateur!ER152*Calculateur!ET152*VLOOKUP('Données projet'!$B$15,Paramètres!$A$1:$I$89,3,0)*0.475*44/12</f>
        <v>0.17629113698271151</v>
      </c>
      <c r="EX152" s="21">
        <f>EXP(-LN(2)/2)*EX151+(1-EXP(-LN(2)/2))/(LN(2)/2)*ER152*EU152*VLOOKUP('Données projet'!$B$15,Paramètres!$A$1:$I$89,3,0)*0.475*44/12</f>
        <v>7.4992896379879559E-18</v>
      </c>
      <c r="EY152" s="22">
        <f t="shared" si="129"/>
        <v>0.25845268823484924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-2.2737367544323206E-13</v>
      </c>
      <c r="FF152" s="17">
        <f>FE152*VLOOKUP('Données projet'!$B$16,Paramètres!$A$1:$I$89,3,0)*VLOOKUP('Données projet'!$B$16,Paramètres!$A$1:$I$89,5,0)</f>
        <v>-1.0936673788819462E-13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197.66963254934603</v>
      </c>
      <c r="FK152" s="59">
        <f t="shared" si="156"/>
        <v>158.08388141976138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0.2526665377526367</v>
      </c>
      <c r="FR152" s="21">
        <f>EXP(-LN(2)/25)*FR151+(1-EXP(-LN(2)/25))/(LN(2)/25)*Calculateur!FM152*Calculateur!FO152*VLOOKUP('Données projet'!$B$16,Paramètres!$A$1:$I$89,3,0)*0.475*44/12</f>
        <v>0.19609366913813001</v>
      </c>
      <c r="FS152" s="21">
        <f>EXP(-LN(2)/2)*FS151+(1-EXP(-LN(2)/2))/(LN(2)/2)*FM152*FP152*VLOOKUP('Données projet'!$B$16,Paramètres!$A$1:$I$89,3,0)*0.475*44/12</f>
        <v>1.0154053832427616E-17</v>
      </c>
      <c r="FT152" s="22">
        <f t="shared" si="132"/>
        <v>0.44876020689076668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5.6843418860808015E-14</v>
      </c>
      <c r="GA152" s="17">
        <f>FZ152*VLOOKUP('Données projet'!$B$17,Paramètres!$A$1:$I$89,3,0)*VLOOKUP('Données projet'!$B$17,Paramètres!$A$1:$I$89,5,0)</f>
        <v>3.3992364478763198E-14</v>
      </c>
      <c r="GB152" s="13">
        <f t="shared" si="157"/>
        <v>5.790027782444094E-13</v>
      </c>
      <c r="GC152" s="20">
        <f t="shared" si="133"/>
        <v>1.0676332069095257E-12</v>
      </c>
      <c r="GD152" s="59">
        <f t="shared" si="134"/>
        <v>293.33333333333439</v>
      </c>
      <c r="GE152" s="59">
        <f ca="1">AVERAGE(OFFSET($GD$3,0,0,'Données projet'!$E$17+1,1))-AVERAGE(OFFSET($H$3,0,0,'Données projet'!$E$17+1,1))</f>
        <v>165.39579887388538</v>
      </c>
      <c r="GF152" s="59">
        <f t="shared" si="158"/>
        <v>155.89639262545802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0.26901703251896192</v>
      </c>
      <c r="GN152" s="21">
        <f>EXP(-LN(2)/2)*GN151+(1-EXP(-LN(2)/2))/(LN(2)/2)*GH152*GK152*VLOOKUP('Données projet'!$B$17,Paramètres!$A$1:$I$89,3,0)*0.475*44/12</f>
        <v>1.7025733933106764E-17</v>
      </c>
      <c r="GO152" s="21">
        <f t="shared" si="135"/>
        <v>0.26901703251896192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2.8421709430404007E-14</v>
      </c>
      <c r="GV152" s="17">
        <f>GU152*VLOOKUP('Données projet'!$B$18,Paramètres!$A$1:$I$89,3,0)*VLOOKUP('Données projet'!$B$18,Paramètres!$A$1:$I$89,5,0)</f>
        <v>3.0593128030886874E-14</v>
      </c>
      <c r="GW152" s="13">
        <f t="shared" si="159"/>
        <v>5.2753263159251616E-13</v>
      </c>
      <c r="GX152" s="20">
        <f t="shared" si="136"/>
        <v>9.7206903134409357E-13</v>
      </c>
      <c r="GY152" s="59">
        <f t="shared" si="137"/>
        <v>293.33333333333428</v>
      </c>
      <c r="GZ152" s="59">
        <f ca="1">AVERAGE(OFFSET($GY$3,0,0,'Données projet'!$E$18+1,1))-AVERAGE(OFFSET($H$3,0,0,'Données projet'!$E$18+1,1))</f>
        <v>186.60545265015247</v>
      </c>
      <c r="HA152" s="59">
        <f t="shared" si="160"/>
        <v>69.239647548491234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0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0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1.9065282685915009E-13</v>
      </c>
      <c r="P153" s="13">
        <f t="shared" si="141"/>
        <v>2.6568987209435707E-12</v>
      </c>
      <c r="Q153" s="20">
        <f t="shared" si="108"/>
        <v>4.959485612423072E-12</v>
      </c>
      <c r="R153" s="59">
        <f t="shared" si="109"/>
        <v>293.33333333333826</v>
      </c>
      <c r="S153" s="59">
        <f ca="1">AVERAGE(OFFSET($R$3,0,0,'Données projet'!$E$9+1,1))-AVERAGE(OFFSET($H$3,0,0,'Données projet'!$E$9+1,1))</f>
        <v>235.10258076192054</v>
      </c>
      <c r="T153" s="59">
        <f t="shared" si="142"/>
        <v>233.47316052603765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0.31818470363582718</v>
      </c>
      <c r="AA153" s="21">
        <f>EXP(-LN(2)/25)*AA152+(1-EXP(-LN(2)/25))/(LN(2)/25)*Calculateur!V153*Calculateur!X153*VLOOKUP('Données projet'!$B$9,Paramètres!$A$1:$I$89,3,0)*0.475*44/12</f>
        <v>0.66175380220749147</v>
      </c>
      <c r="AB153" s="21">
        <f>EXP(-LN(2)/2)*AB152+(1-EXP(-LN(2)/2))/(LN(2)/2)*V153*Y153*VLOOKUP('Données projet'!$B$9,Paramètres!$A$1:$I$89,3,0)*0.475*44/12</f>
        <v>2.0922570726871527E-17</v>
      </c>
      <c r="AC153" s="22">
        <f t="shared" si="111"/>
        <v>0.97993850584331865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2.2737367544323206E-13</v>
      </c>
      <c r="AJ153" s="13">
        <f>AI153*VLOOKUP('Données projet'!$B$10,Paramètres!$A$1:$I$89,3,0)*VLOOKUP('Données projet'!$B$10,Paramètres!$A$1:$I$89,5,0)</f>
        <v>1.2414602679200471E-13</v>
      </c>
      <c r="AK153" s="13">
        <f t="shared" si="143"/>
        <v>1.8186582995804361E-12</v>
      </c>
      <c r="AL153" s="20">
        <f t="shared" si="112"/>
        <v>3.3837175350986671E-12</v>
      </c>
      <c r="AM153" s="59">
        <f t="shared" si="113"/>
        <v>293.33333333333672</v>
      </c>
      <c r="AN153" s="59">
        <f ca="1">AVERAGE(OFFSET($AM$3,0,0,'Données projet'!$E$10+1,1))-AVERAGE(OFFSET($H$3,0,0,'Données projet'!$E$10+1,1))</f>
        <v>168.72306536277267</v>
      </c>
      <c r="AO153" s="59">
        <f t="shared" si="144"/>
        <v>203.35476578922339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0.28253187215020586</v>
      </c>
      <c r="AV153" s="21">
        <f>EXP(-LN(2)/25)*AV152+(1-EXP(-LN(2)/25))/(LN(2)/25)*Calculateur!AQ153*Calculateur!AS153*VLOOKUP('Données projet'!$B$10,Paramètres!$A$1:$I$89,3,0)*0.475*44/12</f>
        <v>0.82508926374710367</v>
      </c>
      <c r="AW153" s="21">
        <f>EXP(-LN(2)/2)*AW152+(1-EXP(-LN(2)/2))/(LN(2)/2)*AQ153*AT153*VLOOKUP('Données projet'!$B$10,Paramètres!$A$1:$I$89,3,0)*0.475*44/12</f>
        <v>1.7367918407348569E-17</v>
      </c>
      <c r="AX153" s="21">
        <f t="shared" si="114"/>
        <v>1.1076211358973096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3.3992364478763198E-14</v>
      </c>
      <c r="BF153" s="13">
        <f t="shared" si="145"/>
        <v>5.790027782444094E-13</v>
      </c>
      <c r="BG153" s="20">
        <f t="shared" si="115"/>
        <v>1.0676332069095257E-12</v>
      </c>
      <c r="BH153" s="59">
        <f t="shared" si="116"/>
        <v>293.33333333333439</v>
      </c>
      <c r="BI153" s="59">
        <f ca="1">AVERAGE(OFFSET($BH$3,0,0,'Données projet'!$E$11+1,1))-AVERAGE(OFFSET($H$3,0,0,'Données projet'!$E$11+1,1))</f>
        <v>165.39579887388538</v>
      </c>
      <c r="BJ153" s="59">
        <f t="shared" si="146"/>
        <v>155.89639262545802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0.26166074761774</v>
      </c>
      <c r="BR153" s="21">
        <f>EXP(-LN(2)/2)*BR152+(1-EXP(-LN(2)/2))/(LN(2)/2)*BL153*BO153*VLOOKUP('Données projet'!$B$11,Paramètres!$A$1:$I$89,3,0)*0.475*44/12</f>
        <v>1.2039011918777702E-17</v>
      </c>
      <c r="BS153" s="22">
        <f t="shared" si="117"/>
        <v>0.26166074761774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2.8421709430404007E-14</v>
      </c>
      <c r="BZ153" s="13">
        <f>BY153*VLOOKUP('Données projet'!$B$12,Paramètres!$A$1:$I$89,3,0)*VLOOKUP('Données projet'!$B$12,Paramètres!$A$1:$I$89,5,0)</f>
        <v>2.7489477361086758E-14</v>
      </c>
      <c r="CA153" s="13">
        <f t="shared" si="147"/>
        <v>4.7995394886724981E-13</v>
      </c>
      <c r="CB153" s="20">
        <f t="shared" si="118"/>
        <v>8.8379730068101964E-13</v>
      </c>
      <c r="CC153" s="59">
        <f t="shared" si="119"/>
        <v>293.33333333333422</v>
      </c>
      <c r="CD153" s="59">
        <f ca="1">AVERAGE(OFFSET($CC$3,0,0,'Données projet'!$E$12+1,1))-AVERAGE(OFFSET($H$3,0,0,'Données projet'!$E$12+1,1))</f>
        <v>156.26368818265388</v>
      </c>
      <c r="CE153" s="59">
        <f t="shared" si="148"/>
        <v>56.347130462109817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2.8421709430404007E-14</v>
      </c>
      <c r="CU153" s="17">
        <f>CT153*VLOOKUP('Données projet'!$B$13,Paramètres!$A$1:$I$89,3,0)*VLOOKUP('Données projet'!$B$13,Paramètres!$A$1:$I$89,5,0)</f>
        <v>2.3055690689943732E-14</v>
      </c>
      <c r="CV153" s="13">
        <f t="shared" si="149"/>
        <v>4.10868481342271E-13</v>
      </c>
      <c r="CW153" s="20">
        <f t="shared" si="121"/>
        <v>7.5575126628944061E-13</v>
      </c>
      <c r="CX153" s="59">
        <f t="shared" si="122"/>
        <v>293.33333333333405</v>
      </c>
      <c r="CY153" s="59">
        <f ca="1">AVERAGE(OFFSET($CX$3,0,0,'Données projet'!$E$13+1,1))-AVERAGE(OFFSET($H$3,0,0,'Données projet'!$E$13+1,1))</f>
        <v>112.78807760743126</v>
      </c>
      <c r="CZ153" s="59">
        <f t="shared" si="150"/>
        <v>37.867745922003564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-8.5265128291212022E-14</v>
      </c>
      <c r="DP153" s="17">
        <f>DO153*VLOOKUP('Données projet'!$B$14,Paramètres!$A$1:$I$89,3,0)*VLOOKUP('Données projet'!$B$14,Paramètres!$A$1:$I$89,5,0)</f>
        <v>-5.7195848057745024E-14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107.15837202366862</v>
      </c>
      <c r="DU153" s="59">
        <f t="shared" si="152"/>
        <v>139.67031833740026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0.20346510905434717</v>
      </c>
      <c r="EC153" s="21">
        <f>EXP(-LN(2)/2)*EC152+(1-EXP(-LN(2)/2))/(LN(2)/2)*DW153*DZ153*VLOOKUP('Données projet'!$B$14,Paramètres!$A$1:$I$89,3,0)*0.475*44/12</f>
        <v>5.8542368485937266E-18</v>
      </c>
      <c r="ED153" s="22">
        <f t="shared" si="126"/>
        <v>0.20346510905434717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-1.1368683772161603E-13</v>
      </c>
      <c r="EK153" s="17">
        <f>EJ153*VLOOKUP('Données projet'!$B$15,Paramètres!$A$1:$I$89,3,0)*VLOOKUP('Données projet'!$B$15,Paramètres!$A$1:$I$89,5,0)</f>
        <v>-5.3205440053716299E-14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123.60520571614535</v>
      </c>
      <c r="EP153" s="59">
        <f t="shared" si="154"/>
        <v>119.00926870519527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8.0550413345681235E-2</v>
      </c>
      <c r="EW153" s="21">
        <f>EXP(-LN(2)/25)*EW152+(1-EXP(-LN(2)/25))/(LN(2)/25)*Calculateur!ER153*Calculateur!ET153*VLOOKUP('Données projet'!$B$15,Paramètres!$A$1:$I$89,3,0)*0.475*44/12</f>
        <v>0.17147044657117128</v>
      </c>
      <c r="EX153" s="21">
        <f>EXP(-LN(2)/2)*EX152+(1-EXP(-LN(2)/2))/(LN(2)/2)*ER153*EU153*VLOOKUP('Données projet'!$B$15,Paramètres!$A$1:$I$89,3,0)*0.475*44/12</f>
        <v>5.3027985571032928E-18</v>
      </c>
      <c r="EY153" s="22">
        <f t="shared" si="129"/>
        <v>0.25202085991685252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-2.2737367544323206E-13</v>
      </c>
      <c r="FF153" s="17">
        <f>FE153*VLOOKUP('Données projet'!$B$16,Paramètres!$A$1:$I$89,3,0)*VLOOKUP('Données projet'!$B$16,Paramètres!$A$1:$I$89,5,0)</f>
        <v>-1.0936673788819462E-13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197.66963254934603</v>
      </c>
      <c r="FK153" s="59">
        <f t="shared" si="156"/>
        <v>158.08388141976138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0.2477119010586783</v>
      </c>
      <c r="FR153" s="21">
        <f>EXP(-LN(2)/25)*FR152+(1-EXP(-LN(2)/25))/(LN(2)/25)*Calculateur!FM153*Calculateur!FO153*VLOOKUP('Données projet'!$B$16,Paramètres!$A$1:$I$89,3,0)*0.475*44/12</f>
        <v>0.19073147744342997</v>
      </c>
      <c r="FS153" s="21">
        <f>EXP(-LN(2)/2)*FS152+(1-EXP(-LN(2)/2))/(LN(2)/2)*FM153*FP153*VLOOKUP('Données projet'!$B$16,Paramètres!$A$1:$I$89,3,0)*0.475*44/12</f>
        <v>7.1800003214428187E-18</v>
      </c>
      <c r="FT153" s="22">
        <f t="shared" si="132"/>
        <v>0.43844337850210824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5.6843418860808015E-14</v>
      </c>
      <c r="GA153" s="17">
        <f>FZ153*VLOOKUP('Données projet'!$B$17,Paramètres!$A$1:$I$89,3,0)*VLOOKUP('Données projet'!$B$17,Paramètres!$A$1:$I$89,5,0)</f>
        <v>3.3992364478763198E-14</v>
      </c>
      <c r="GB153" s="13">
        <f t="shared" si="157"/>
        <v>5.790027782444094E-13</v>
      </c>
      <c r="GC153" s="20">
        <f t="shared" si="133"/>
        <v>1.0676332069095257E-12</v>
      </c>
      <c r="GD153" s="59">
        <f t="shared" si="134"/>
        <v>293.33333333333439</v>
      </c>
      <c r="GE153" s="59">
        <f ca="1">AVERAGE(OFFSET($GD$3,0,0,'Données projet'!$E$17+1,1))-AVERAGE(OFFSET($H$3,0,0,'Données projet'!$E$17+1,1))</f>
        <v>165.39579887388538</v>
      </c>
      <c r="GF153" s="59">
        <f t="shared" si="158"/>
        <v>155.89639262545802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0.26166074761774</v>
      </c>
      <c r="GN153" s="21">
        <f>EXP(-LN(2)/2)*GN152+(1-EXP(-LN(2)/2))/(LN(2)/2)*GH153*GK153*VLOOKUP('Données projet'!$B$17,Paramètres!$A$1:$I$89,3,0)*0.475*44/12</f>
        <v>1.2039011918777702E-17</v>
      </c>
      <c r="GO153" s="21">
        <f t="shared" si="135"/>
        <v>0.26166074761774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2.8421709430404007E-14</v>
      </c>
      <c r="GV153" s="17">
        <f>GU153*VLOOKUP('Données projet'!$B$18,Paramètres!$A$1:$I$89,3,0)*VLOOKUP('Données projet'!$B$18,Paramètres!$A$1:$I$89,5,0)</f>
        <v>3.0593128030886874E-14</v>
      </c>
      <c r="GW153" s="13">
        <f t="shared" si="159"/>
        <v>5.2753263159251616E-13</v>
      </c>
      <c r="GX153" s="20">
        <f t="shared" si="136"/>
        <v>9.7206903134409357E-13</v>
      </c>
      <c r="GY153" s="59">
        <f t="shared" si="137"/>
        <v>293.33333333333428</v>
      </c>
      <c r="GZ153" s="59">
        <f ca="1">AVERAGE(OFFSET($GY$3,0,0,'Données projet'!$E$18+1,1))-AVERAGE(OFFSET($H$3,0,0,'Données projet'!$E$18+1,1))</f>
        <v>186.60545265015247</v>
      </c>
      <c r="HA153" s="59">
        <f t="shared" si="160"/>
        <v>69.239647548491234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0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0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1.9065282685915009E-13</v>
      </c>
      <c r="P154" s="13">
        <f t="shared" si="141"/>
        <v>2.6568987209435707E-12</v>
      </c>
      <c r="Q154" s="20">
        <f t="shared" ref="Q154:Q203" si="162">(O154+P154)*0.475*44/12</f>
        <v>4.959485612423072E-12</v>
      </c>
      <c r="R154" s="59">
        <f t="shared" si="109"/>
        <v>293.33333333333826</v>
      </c>
      <c r="S154" s="59">
        <f ca="1">AVERAGE(OFFSET($R$3,0,0,'Données projet'!$E$9+1,1))-AVERAGE(OFFSET($H$3,0,0,'Données projet'!$E$9+1,1))</f>
        <v>235.10258076192054</v>
      </c>
      <c r="T154" s="59">
        <f t="shared" si="142"/>
        <v>233.47316052603765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0.31194529567103468</v>
      </c>
      <c r="AA154" s="21">
        <f>EXP(-LN(2)/25)*AA153+(1-EXP(-LN(2)/25))/(LN(2)/25)*Calculateur!V154*Calculateur!X154*VLOOKUP('Données projet'!$B$9,Paramètres!$A$1:$I$89,3,0)*0.475*44/12</f>
        <v>0.64365810968600756</v>
      </c>
      <c r="AB154" s="21">
        <f>EXP(-LN(2)/2)*AB153+(1-EXP(-LN(2)/2))/(LN(2)/2)*V154*Y154*VLOOKUP('Données projet'!$B$9,Paramètres!$A$1:$I$89,3,0)*0.475*44/12</f>
        <v>1.4794491640826009E-17</v>
      </c>
      <c r="AC154" s="22">
        <f t="shared" ref="AC154:AC203" si="163">SUM(Z154:AB154)</f>
        <v>0.95560340535704225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2.2737367544323206E-13</v>
      </c>
      <c r="AJ154" s="13">
        <f>AI154*VLOOKUP('Données projet'!$B$10,Paramètres!$A$1:$I$89,3,0)*VLOOKUP('Données projet'!$B$10,Paramètres!$A$1:$I$89,5,0)</f>
        <v>1.2414602679200471E-13</v>
      </c>
      <c r="AK154" s="13">
        <f t="shared" ref="AK154:AK203" si="164">EXP(-1.0587+0.8836*LN(AJ154)+0.284)</f>
        <v>1.8186582995804361E-12</v>
      </c>
      <c r="AL154" s="20">
        <f t="shared" ref="AL154:AL203" si="165">(AJ154+AK154)*0.475*44/12</f>
        <v>3.3837175350986671E-12</v>
      </c>
      <c r="AM154" s="59">
        <f t="shared" si="113"/>
        <v>293.33333333333672</v>
      </c>
      <c r="AN154" s="59">
        <f ca="1">AVERAGE(OFFSET($AM$3,0,0,'Données projet'!$E$10+1,1))-AVERAGE(OFFSET($H$3,0,0,'Données projet'!$E$10+1,1))</f>
        <v>168.72306536277267</v>
      </c>
      <c r="AO154" s="59">
        <f t="shared" si="144"/>
        <v>203.35476578922339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0.2769915944647664</v>
      </c>
      <c r="AV154" s="21">
        <f>EXP(-LN(2)/25)*AV153+(1-EXP(-LN(2)/25))/(LN(2)/25)*Calculateur!AQ154*Calculateur!AS154*VLOOKUP('Données projet'!$B$10,Paramètres!$A$1:$I$89,3,0)*0.475*44/12</f>
        <v>0.80252715444038047</v>
      </c>
      <c r="AW154" s="21">
        <f>EXP(-LN(2)/2)*AW153+(1-EXP(-LN(2)/2))/(LN(2)/2)*AQ154*AT154*VLOOKUP('Données projet'!$B$10,Paramètres!$A$1:$I$89,3,0)*0.475*44/12</f>
        <v>1.2280972880930836E-17</v>
      </c>
      <c r="AX154" s="21">
        <f t="shared" ref="AX154:AX203" si="166">SUM(AU154:AW154)</f>
        <v>1.079518748905147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3.3992364478763198E-14</v>
      </c>
      <c r="BF154" s="13">
        <f t="shared" ref="BF154:BF203" si="167">EXP(-1.0587+0.8836*LN(BE154)+0.284)</f>
        <v>5.790027782444094E-13</v>
      </c>
      <c r="BG154" s="20">
        <f t="shared" ref="BG154:BG203" si="168">(BE154+BF154)*0.475*44/12</f>
        <v>1.0676332069095257E-12</v>
      </c>
      <c r="BH154" s="59">
        <f t="shared" si="116"/>
        <v>293.33333333333439</v>
      </c>
      <c r="BI154" s="59">
        <f ca="1">AVERAGE(OFFSET($BH$3,0,0,'Données projet'!$E$11+1,1))-AVERAGE(OFFSET($H$3,0,0,'Données projet'!$E$11+1,1))</f>
        <v>165.39579887388538</v>
      </c>
      <c r="BJ154" s="59">
        <f t="shared" si="146"/>
        <v>155.89639262545802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0.25450562071399219</v>
      </c>
      <c r="BR154" s="21">
        <f>EXP(-LN(2)/2)*BR153+(1-EXP(-LN(2)/2))/(LN(2)/2)*BL154*BO154*VLOOKUP('Données projet'!$B$11,Paramètres!$A$1:$I$89,3,0)*0.475*44/12</f>
        <v>8.5128669665533818E-18</v>
      </c>
      <c r="BS154" s="22">
        <f t="shared" ref="BS154:BS203" si="169">SUM(BP154:BR154)</f>
        <v>0.25450562071399219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2.8421709430404007E-14</v>
      </c>
      <c r="BZ154" s="13">
        <f>BY154*VLOOKUP('Données projet'!$B$12,Paramètres!$A$1:$I$89,3,0)*VLOOKUP('Données projet'!$B$12,Paramètres!$A$1:$I$89,5,0)</f>
        <v>2.7489477361086758E-14</v>
      </c>
      <c r="CA154" s="13">
        <f t="shared" ref="CA154:CA203" si="170">EXP(-1.0587+0.8836*LN(BZ154)+0.284)</f>
        <v>4.7995394886724981E-13</v>
      </c>
      <c r="CB154" s="20">
        <f t="shared" ref="CB154:CB203" si="171">(BZ154+CA154)*0.475*44/12</f>
        <v>8.8379730068101964E-13</v>
      </c>
      <c r="CC154" s="59">
        <f t="shared" si="119"/>
        <v>293.33333333333422</v>
      </c>
      <c r="CD154" s="59">
        <f ca="1">AVERAGE(OFFSET($CC$3,0,0,'Données projet'!$E$12+1,1))-AVERAGE(OFFSET($H$3,0,0,'Données projet'!$E$12+1,1))</f>
        <v>156.26368818265388</v>
      </c>
      <c r="CE154" s="59">
        <f t="shared" si="148"/>
        <v>56.347130462109817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2.8421709430404007E-14</v>
      </c>
      <c r="CU154" s="17">
        <f>CT154*VLOOKUP('Données projet'!$B$13,Paramètres!$A$1:$I$89,3,0)*VLOOKUP('Données projet'!$B$13,Paramètres!$A$1:$I$89,5,0)</f>
        <v>2.3055690689943732E-14</v>
      </c>
      <c r="CV154" s="13">
        <f t="shared" ref="CV154:CV203" si="173">EXP(-1.0587+0.8836*LN(CU154)+0.284)</f>
        <v>4.10868481342271E-13</v>
      </c>
      <c r="CW154" s="20">
        <f t="shared" ref="CW154:CW203" si="174">(CU154+CV154)*0.475*44/12</f>
        <v>7.5575126628944061E-13</v>
      </c>
      <c r="CX154" s="59">
        <f t="shared" si="122"/>
        <v>293.33333333333405</v>
      </c>
      <c r="CY154" s="59">
        <f ca="1">AVERAGE(OFFSET($CX$3,0,0,'Données projet'!$E$13+1,1))-AVERAGE(OFFSET($H$3,0,0,'Données projet'!$E$13+1,1))</f>
        <v>112.78807760743126</v>
      </c>
      <c r="CZ154" s="59">
        <f t="shared" si="150"/>
        <v>37.867745922003564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-8.5265128291212022E-14</v>
      </c>
      <c r="DP154" s="17">
        <f>DO154*VLOOKUP('Données projet'!$B$14,Paramètres!$A$1:$I$89,3,0)*VLOOKUP('Données projet'!$B$14,Paramètres!$A$1:$I$89,5,0)</f>
        <v>-5.7195848057745024E-14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107.15837202366862</v>
      </c>
      <c r="DU154" s="59">
        <f t="shared" si="152"/>
        <v>139.67031833740026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0.19790134494749098</v>
      </c>
      <c r="EC154" s="21">
        <f>EXP(-LN(2)/2)*EC153+(1-EXP(-LN(2)/2))/(LN(2)/2)*DW154*DZ154*VLOOKUP('Données projet'!$B$14,Paramètres!$A$1:$I$89,3,0)*0.475*44/12</f>
        <v>4.1395705743127877E-18</v>
      </c>
      <c r="ED154" s="22">
        <f t="shared" ref="ED154:ED203" si="178">SUM(EA154:EC154)</f>
        <v>0.19790134494749098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-1.1368683772161603E-13</v>
      </c>
      <c r="EK154" s="17">
        <f>EJ154*VLOOKUP('Données projet'!$B$15,Paramètres!$A$1:$I$89,3,0)*VLOOKUP('Données projet'!$B$15,Paramètres!$A$1:$I$89,5,0)</f>
        <v>-5.3205440053716299E-14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123.60520571614535</v>
      </c>
      <c r="EP154" s="59">
        <f t="shared" si="154"/>
        <v>119.00926870519527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7.897086887087329E-2</v>
      </c>
      <c r="EW154" s="21">
        <f>EXP(-LN(2)/25)*EW153+(1-EXP(-LN(2)/25))/(LN(2)/25)*Calculateur!ER154*Calculateur!ET154*VLOOKUP('Données projet'!$B$15,Paramètres!$A$1:$I$89,3,0)*0.475*44/12</f>
        <v>0.16678157819244371</v>
      </c>
      <c r="EX154" s="21">
        <f>EXP(-LN(2)/2)*EX153+(1-EXP(-LN(2)/2))/(LN(2)/2)*ER154*EU154*VLOOKUP('Données projet'!$B$15,Paramètres!$A$1:$I$89,3,0)*0.475*44/12</f>
        <v>3.7496448189939779E-18</v>
      </c>
      <c r="EY154" s="22">
        <f t="shared" ref="EY154:EY203" si="181">SUM(EV154:EX154)</f>
        <v>0.245752447063317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-2.2737367544323206E-13</v>
      </c>
      <c r="FF154" s="17">
        <f>FE154*VLOOKUP('Données projet'!$B$16,Paramètres!$A$1:$I$89,3,0)*VLOOKUP('Données projet'!$B$16,Paramètres!$A$1:$I$89,5,0)</f>
        <v>-1.0936673788819462E-13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197.66963254934603</v>
      </c>
      <c r="FK154" s="59">
        <f t="shared" si="156"/>
        <v>158.08388141976138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0.24285442176825842</v>
      </c>
      <c r="FR154" s="21">
        <f>EXP(-LN(2)/25)*FR153+(1-EXP(-LN(2)/25))/(LN(2)/25)*Calculateur!FM154*Calculateur!FO154*VLOOKUP('Données projet'!$B$16,Paramètres!$A$1:$I$89,3,0)*0.475*44/12</f>
        <v>0.1855159151626069</v>
      </c>
      <c r="FS154" s="21">
        <f>EXP(-LN(2)/2)*FS153+(1-EXP(-LN(2)/2))/(LN(2)/2)*FM154*FP154*VLOOKUP('Données projet'!$B$16,Paramètres!$A$1:$I$89,3,0)*0.475*44/12</f>
        <v>5.0770269162138082E-18</v>
      </c>
      <c r="FT154" s="22">
        <f t="shared" ref="FT154:FT203" si="184">SUM(FQ154:FS154)</f>
        <v>0.42837033693086535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5.6843418860808015E-14</v>
      </c>
      <c r="GA154" s="17">
        <f>FZ154*VLOOKUP('Données projet'!$B$17,Paramètres!$A$1:$I$89,3,0)*VLOOKUP('Données projet'!$B$17,Paramètres!$A$1:$I$89,5,0)</f>
        <v>3.3992364478763198E-14</v>
      </c>
      <c r="GB154" s="13">
        <f t="shared" ref="GB154:GB203" si="185">EXP(-1.0587+0.8836*LN(GA154)+0.284)</f>
        <v>5.790027782444094E-13</v>
      </c>
      <c r="GC154" s="20">
        <f t="shared" ref="GC154:GC203" si="186">(GA154+GB154)*0.475*44/12</f>
        <v>1.0676332069095257E-12</v>
      </c>
      <c r="GD154" s="59">
        <f t="shared" si="134"/>
        <v>293.33333333333439</v>
      </c>
      <c r="GE154" s="59">
        <f ca="1">AVERAGE(OFFSET($GD$3,0,0,'Données projet'!$E$17+1,1))-AVERAGE(OFFSET($H$3,0,0,'Données projet'!$E$17+1,1))</f>
        <v>165.39579887388538</v>
      </c>
      <c r="GF154" s="59">
        <f t="shared" si="158"/>
        <v>155.89639262545802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0.25450562071399219</v>
      </c>
      <c r="GN154" s="21">
        <f>EXP(-LN(2)/2)*GN153+(1-EXP(-LN(2)/2))/(LN(2)/2)*GH154*GK154*VLOOKUP('Données projet'!$B$17,Paramètres!$A$1:$I$89,3,0)*0.475*44/12</f>
        <v>8.5128669665533818E-18</v>
      </c>
      <c r="GO154" s="21">
        <f t="shared" ref="GO154:GO203" si="187">SUM(GL154:GN154)</f>
        <v>0.25450562071399219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2.8421709430404007E-14</v>
      </c>
      <c r="GV154" s="17">
        <f>GU154*VLOOKUP('Données projet'!$B$18,Paramètres!$A$1:$I$89,3,0)*VLOOKUP('Données projet'!$B$18,Paramètres!$A$1:$I$89,5,0)</f>
        <v>3.0593128030886874E-14</v>
      </c>
      <c r="GW154" s="13">
        <f t="shared" ref="GW154:GW203" si="188">EXP(-1.0587+0.8836*LN(GV154)+0.284)</f>
        <v>5.2753263159251616E-13</v>
      </c>
      <c r="GX154" s="20">
        <f t="shared" ref="GX154:GX203" si="189">(GV154+GW154)*0.475*44/12</f>
        <v>9.7206903134409357E-13</v>
      </c>
      <c r="GY154" s="59">
        <f t="shared" si="137"/>
        <v>293.33333333333428</v>
      </c>
      <c r="GZ154" s="59">
        <f ca="1">AVERAGE(OFFSET($GY$3,0,0,'Données projet'!$E$18+1,1))-AVERAGE(OFFSET($H$3,0,0,'Données projet'!$E$18+1,1))</f>
        <v>186.60545265015247</v>
      </c>
      <c r="HA154" s="59">
        <f t="shared" si="160"/>
        <v>69.239647548491234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0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0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1.9065282685915009E-13</v>
      </c>
      <c r="P155" s="13">
        <f t="shared" si="141"/>
        <v>2.6568987209435707E-12</v>
      </c>
      <c r="Q155" s="20">
        <f t="shared" si="162"/>
        <v>4.959485612423072E-12</v>
      </c>
      <c r="R155" s="59">
        <f t="shared" si="109"/>
        <v>293.33333333333826</v>
      </c>
      <c r="S155" s="59">
        <f ca="1">AVERAGE(OFFSET($R$3,0,0,'Données projet'!$E$9+1,1))-AVERAGE(OFFSET($H$3,0,0,'Données projet'!$E$9+1,1))</f>
        <v>235.10258076192054</v>
      </c>
      <c r="T155" s="59">
        <f t="shared" si="142"/>
        <v>233.47316052603765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0.30582823869076864</v>
      </c>
      <c r="AA155" s="21">
        <f>EXP(-LN(2)/25)*AA154+(1-EXP(-LN(2)/25))/(LN(2)/25)*Calculateur!V155*Calculateur!X155*VLOOKUP('Données projet'!$B$9,Paramètres!$A$1:$I$89,3,0)*0.475*44/12</f>
        <v>0.62605724482813485</v>
      </c>
      <c r="AB155" s="21">
        <f>EXP(-LN(2)/2)*AB154+(1-EXP(-LN(2)/2))/(LN(2)/2)*V155*Y155*VLOOKUP('Données projet'!$B$9,Paramètres!$A$1:$I$89,3,0)*0.475*44/12</f>
        <v>1.0461285363435764E-17</v>
      </c>
      <c r="AC155" s="22">
        <f t="shared" si="163"/>
        <v>0.93188548351890343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2.2737367544323206E-13</v>
      </c>
      <c r="AJ155" s="13">
        <f>AI155*VLOOKUP('Données projet'!$B$10,Paramètres!$A$1:$I$89,3,0)*VLOOKUP('Données projet'!$B$10,Paramètres!$A$1:$I$89,5,0)</f>
        <v>1.2414602679200471E-13</v>
      </c>
      <c r="AK155" s="13">
        <f t="shared" si="164"/>
        <v>1.8186582995804361E-12</v>
      </c>
      <c r="AL155" s="20">
        <f t="shared" si="165"/>
        <v>3.3837175350986671E-12</v>
      </c>
      <c r="AM155" s="59">
        <f t="shared" si="113"/>
        <v>293.33333333333672</v>
      </c>
      <c r="AN155" s="59">
        <f ca="1">AVERAGE(OFFSET($AM$3,0,0,'Données projet'!$E$10+1,1))-AVERAGE(OFFSET($H$3,0,0,'Données projet'!$E$10+1,1))</f>
        <v>168.72306536277267</v>
      </c>
      <c r="AO155" s="59">
        <f t="shared" si="144"/>
        <v>203.35476578922339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0.27155995824550272</v>
      </c>
      <c r="AV155" s="21">
        <f>EXP(-LN(2)/25)*AV154+(1-EXP(-LN(2)/25))/(LN(2)/25)*Calculateur!AQ155*Calculateur!AS155*VLOOKUP('Données projet'!$B$10,Paramètres!$A$1:$I$89,3,0)*0.475*44/12</f>
        <v>0.78058200719913939</v>
      </c>
      <c r="AW155" s="21">
        <f>EXP(-LN(2)/2)*AW154+(1-EXP(-LN(2)/2))/(LN(2)/2)*AQ155*AT155*VLOOKUP('Données projet'!$B$10,Paramètres!$A$1:$I$89,3,0)*0.475*44/12</f>
        <v>8.6839592036742847E-18</v>
      </c>
      <c r="AX155" s="21">
        <f t="shared" si="166"/>
        <v>1.0521419654446422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3.3992364478763198E-14</v>
      </c>
      <c r="BF155" s="13">
        <f t="shared" si="167"/>
        <v>5.790027782444094E-13</v>
      </c>
      <c r="BG155" s="20">
        <f t="shared" si="168"/>
        <v>1.0676332069095257E-12</v>
      </c>
      <c r="BH155" s="59">
        <f t="shared" si="116"/>
        <v>293.33333333333439</v>
      </c>
      <c r="BI155" s="59">
        <f ca="1">AVERAGE(OFFSET($BH$3,0,0,'Données projet'!$E$11+1,1))-AVERAGE(OFFSET($H$3,0,0,'Données projet'!$E$11+1,1))</f>
        <v>165.39579887388538</v>
      </c>
      <c r="BJ155" s="59">
        <f t="shared" si="146"/>
        <v>155.89639262545802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0.24754615113169914</v>
      </c>
      <c r="BR155" s="21">
        <f>EXP(-LN(2)/2)*BR154+(1-EXP(-LN(2)/2))/(LN(2)/2)*BL155*BO155*VLOOKUP('Données projet'!$B$11,Paramètres!$A$1:$I$89,3,0)*0.475*44/12</f>
        <v>6.0195059593888509E-18</v>
      </c>
      <c r="BS155" s="22">
        <f t="shared" si="169"/>
        <v>0.24754615113169914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2.8421709430404007E-14</v>
      </c>
      <c r="BZ155" s="13">
        <f>BY155*VLOOKUP('Données projet'!$B$12,Paramètres!$A$1:$I$89,3,0)*VLOOKUP('Données projet'!$B$12,Paramètres!$A$1:$I$89,5,0)</f>
        <v>2.7489477361086758E-14</v>
      </c>
      <c r="CA155" s="13">
        <f t="shared" si="170"/>
        <v>4.7995394886724981E-13</v>
      </c>
      <c r="CB155" s="20">
        <f t="shared" si="171"/>
        <v>8.8379730068101964E-13</v>
      </c>
      <c r="CC155" s="59">
        <f t="shared" si="119"/>
        <v>293.33333333333422</v>
      </c>
      <c r="CD155" s="59">
        <f ca="1">AVERAGE(OFFSET($CC$3,0,0,'Données projet'!$E$12+1,1))-AVERAGE(OFFSET($H$3,0,0,'Données projet'!$E$12+1,1))</f>
        <v>156.26368818265388</v>
      </c>
      <c r="CE155" s="59">
        <f t="shared" si="148"/>
        <v>56.347130462109817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2.8421709430404007E-14</v>
      </c>
      <c r="CU155" s="17">
        <f>CT155*VLOOKUP('Données projet'!$B$13,Paramètres!$A$1:$I$89,3,0)*VLOOKUP('Données projet'!$B$13,Paramètres!$A$1:$I$89,5,0)</f>
        <v>2.3055690689943732E-14</v>
      </c>
      <c r="CV155" s="13">
        <f t="shared" si="173"/>
        <v>4.10868481342271E-13</v>
      </c>
      <c r="CW155" s="20">
        <f t="shared" si="174"/>
        <v>7.5575126628944061E-13</v>
      </c>
      <c r="CX155" s="59">
        <f t="shared" si="122"/>
        <v>293.33333333333405</v>
      </c>
      <c r="CY155" s="59">
        <f ca="1">AVERAGE(OFFSET($CX$3,0,0,'Données projet'!$E$13+1,1))-AVERAGE(OFFSET($H$3,0,0,'Données projet'!$E$13+1,1))</f>
        <v>112.78807760743126</v>
      </c>
      <c r="CZ155" s="59">
        <f t="shared" si="150"/>
        <v>37.867745922003564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-8.5265128291212022E-14</v>
      </c>
      <c r="DP155" s="17">
        <f>DO155*VLOOKUP('Données projet'!$B$14,Paramètres!$A$1:$I$89,3,0)*VLOOKUP('Données projet'!$B$14,Paramètres!$A$1:$I$89,5,0)</f>
        <v>-5.7195848057745024E-14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107.15837202366862</v>
      </c>
      <c r="DU155" s="59">
        <f t="shared" si="152"/>
        <v>139.67031833740026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0.19248972226272243</v>
      </c>
      <c r="EC155" s="21">
        <f>EXP(-LN(2)/2)*EC154+(1-EXP(-LN(2)/2))/(LN(2)/2)*DW155*DZ155*VLOOKUP('Données projet'!$B$14,Paramètres!$A$1:$I$89,3,0)*0.475*44/12</f>
        <v>2.9271184242968633E-18</v>
      </c>
      <c r="ED155" s="22">
        <f t="shared" si="178"/>
        <v>0.19248972226272243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-1.1368683772161603E-13</v>
      </c>
      <c r="EK155" s="17">
        <f>EJ155*VLOOKUP('Données projet'!$B$15,Paramètres!$A$1:$I$89,3,0)*VLOOKUP('Données projet'!$B$15,Paramètres!$A$1:$I$89,5,0)</f>
        <v>-5.3205440053716299E-14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123.60520571614535</v>
      </c>
      <c r="EP155" s="59">
        <f t="shared" si="154"/>
        <v>119.00926870519527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7.7422298299789333E-2</v>
      </c>
      <c r="EW155" s="21">
        <f>EXP(-LN(2)/25)*EW154+(1-EXP(-LN(2)/25))/(LN(2)/25)*Calculateur!ER155*Calculateur!ET155*VLOOKUP('Données projet'!$B$15,Paramètres!$A$1:$I$89,3,0)*0.475*44/12</f>
        <v>0.16222092716610934</v>
      </c>
      <c r="EX155" s="21">
        <f>EXP(-LN(2)/2)*EX154+(1-EXP(-LN(2)/2))/(LN(2)/2)*ER155*EU155*VLOOKUP('Données projet'!$B$15,Paramètres!$A$1:$I$89,3,0)*0.475*44/12</f>
        <v>2.6513992785516464E-18</v>
      </c>
      <c r="EY155" s="22">
        <f t="shared" si="181"/>
        <v>0.23964322546589867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-2.2737367544323206E-13</v>
      </c>
      <c r="FF155" s="17">
        <f>FE155*VLOOKUP('Données projet'!$B$16,Paramètres!$A$1:$I$89,3,0)*VLOOKUP('Données projet'!$B$16,Paramètres!$A$1:$I$89,5,0)</f>
        <v>-1.0936673788819462E-13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197.66963254934603</v>
      </c>
      <c r="FK155" s="59">
        <f t="shared" si="156"/>
        <v>158.08388141976138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0.23809219468395387</v>
      </c>
      <c r="FR155" s="21">
        <f>EXP(-LN(2)/25)*FR154+(1-EXP(-LN(2)/25))/(LN(2)/25)*Calculateur!FM155*Calculateur!FO155*VLOOKUP('Données projet'!$B$16,Paramètres!$A$1:$I$89,3,0)*0.475*44/12</f>
        <v>0.18044297270662743</v>
      </c>
      <c r="FS155" s="21">
        <f>EXP(-LN(2)/2)*FS154+(1-EXP(-LN(2)/2))/(LN(2)/2)*FM155*FP155*VLOOKUP('Données projet'!$B$16,Paramètres!$A$1:$I$89,3,0)*0.475*44/12</f>
        <v>3.5900001607214093E-18</v>
      </c>
      <c r="FT155" s="22">
        <f t="shared" si="184"/>
        <v>0.41853516739058128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5.6843418860808015E-14</v>
      </c>
      <c r="GA155" s="17">
        <f>FZ155*VLOOKUP('Données projet'!$B$17,Paramètres!$A$1:$I$89,3,0)*VLOOKUP('Données projet'!$B$17,Paramètres!$A$1:$I$89,5,0)</f>
        <v>3.3992364478763198E-14</v>
      </c>
      <c r="GB155" s="13">
        <f t="shared" si="185"/>
        <v>5.790027782444094E-13</v>
      </c>
      <c r="GC155" s="20">
        <f t="shared" si="186"/>
        <v>1.0676332069095257E-12</v>
      </c>
      <c r="GD155" s="59">
        <f t="shared" si="134"/>
        <v>293.33333333333439</v>
      </c>
      <c r="GE155" s="59">
        <f ca="1">AVERAGE(OFFSET($GD$3,0,0,'Données projet'!$E$17+1,1))-AVERAGE(OFFSET($H$3,0,0,'Données projet'!$E$17+1,1))</f>
        <v>165.39579887388538</v>
      </c>
      <c r="GF155" s="59">
        <f t="shared" si="158"/>
        <v>155.89639262545802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0.24754615113169914</v>
      </c>
      <c r="GN155" s="21">
        <f>EXP(-LN(2)/2)*GN154+(1-EXP(-LN(2)/2))/(LN(2)/2)*GH155*GK155*VLOOKUP('Données projet'!$B$17,Paramètres!$A$1:$I$89,3,0)*0.475*44/12</f>
        <v>6.0195059593888509E-18</v>
      </c>
      <c r="GO155" s="21">
        <f t="shared" si="187"/>
        <v>0.24754615113169914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2.8421709430404007E-14</v>
      </c>
      <c r="GV155" s="17">
        <f>GU155*VLOOKUP('Données projet'!$B$18,Paramètres!$A$1:$I$89,3,0)*VLOOKUP('Données projet'!$B$18,Paramètres!$A$1:$I$89,5,0)</f>
        <v>3.0593128030886874E-14</v>
      </c>
      <c r="GW155" s="13">
        <f t="shared" si="188"/>
        <v>5.2753263159251616E-13</v>
      </c>
      <c r="GX155" s="20">
        <f t="shared" si="189"/>
        <v>9.7206903134409357E-13</v>
      </c>
      <c r="GY155" s="59">
        <f t="shared" si="137"/>
        <v>293.33333333333428</v>
      </c>
      <c r="GZ155" s="59">
        <f ca="1">AVERAGE(OFFSET($GY$3,0,0,'Données projet'!$E$18+1,1))-AVERAGE(OFFSET($H$3,0,0,'Données projet'!$E$18+1,1))</f>
        <v>186.60545265015247</v>
      </c>
      <c r="HA155" s="59">
        <f t="shared" si="160"/>
        <v>69.239647548491234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0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0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1.9065282685915009E-13</v>
      </c>
      <c r="P156" s="13">
        <f t="shared" si="141"/>
        <v>2.6568987209435707E-12</v>
      </c>
      <c r="Q156" s="20">
        <f t="shared" si="162"/>
        <v>4.959485612423072E-12</v>
      </c>
      <c r="R156" s="59">
        <f t="shared" si="109"/>
        <v>293.33333333333826</v>
      </c>
      <c r="S156" s="59">
        <f ca="1">AVERAGE(OFFSET($R$3,0,0,'Données projet'!$E$9+1,1))-AVERAGE(OFFSET($H$3,0,0,'Données projet'!$E$9+1,1))</f>
        <v>235.10258076192054</v>
      </c>
      <c r="T156" s="59">
        <f t="shared" si="142"/>
        <v>233.47316052603765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0.29983113346684931</v>
      </c>
      <c r="AA156" s="21">
        <f>EXP(-LN(2)/25)*AA155+(1-EXP(-LN(2)/25))/(LN(2)/25)*Calculateur!V156*Calculateur!X156*VLOOKUP('Données projet'!$B$9,Paramètres!$A$1:$I$89,3,0)*0.475*44/12</f>
        <v>0.60893767654538988</v>
      </c>
      <c r="AB156" s="21">
        <f>EXP(-LN(2)/2)*AB155+(1-EXP(-LN(2)/2))/(LN(2)/2)*V156*Y156*VLOOKUP('Données projet'!$B$9,Paramètres!$A$1:$I$89,3,0)*0.475*44/12</f>
        <v>7.3972458204130047E-18</v>
      </c>
      <c r="AC156" s="22">
        <f t="shared" si="163"/>
        <v>0.90876881001223919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2.2737367544323206E-13</v>
      </c>
      <c r="AJ156" s="13">
        <f>AI156*VLOOKUP('Données projet'!$B$10,Paramètres!$A$1:$I$89,3,0)*VLOOKUP('Données projet'!$B$10,Paramètres!$A$1:$I$89,5,0)</f>
        <v>1.2414602679200471E-13</v>
      </c>
      <c r="AK156" s="13">
        <f t="shared" si="164"/>
        <v>1.8186582995804361E-12</v>
      </c>
      <c r="AL156" s="20">
        <f t="shared" si="165"/>
        <v>3.3837175350986671E-12</v>
      </c>
      <c r="AM156" s="59">
        <f t="shared" si="113"/>
        <v>293.33333333333672</v>
      </c>
      <c r="AN156" s="59">
        <f ca="1">AVERAGE(OFFSET($AM$3,0,0,'Données projet'!$E$10+1,1))-AVERAGE(OFFSET($H$3,0,0,'Données projet'!$E$10+1,1))</f>
        <v>168.72306536277267</v>
      </c>
      <c r="AO156" s="59">
        <f t="shared" si="144"/>
        <v>203.35476578922339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0.26623483309952783</v>
      </c>
      <c r="AV156" s="21">
        <f>EXP(-LN(2)/25)*AV155+(1-EXP(-LN(2)/25))/(LN(2)/25)*Calculateur!AQ156*Calculateur!AS156*VLOOKUP('Données projet'!$B$10,Paramètres!$A$1:$I$89,3,0)*0.475*44/12</f>
        <v>0.75923695116325518</v>
      </c>
      <c r="AW156" s="21">
        <f>EXP(-LN(2)/2)*AW155+(1-EXP(-LN(2)/2))/(LN(2)/2)*AQ156*AT156*VLOOKUP('Données projet'!$B$10,Paramètres!$A$1:$I$89,3,0)*0.475*44/12</f>
        <v>6.1404864404654181E-18</v>
      </c>
      <c r="AX156" s="21">
        <f t="shared" si="166"/>
        <v>1.025471784262783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3.3992364478763198E-14</v>
      </c>
      <c r="BF156" s="13">
        <f t="shared" si="167"/>
        <v>5.790027782444094E-13</v>
      </c>
      <c r="BG156" s="20">
        <f t="shared" si="168"/>
        <v>1.0676332069095257E-12</v>
      </c>
      <c r="BH156" s="59">
        <f t="shared" si="116"/>
        <v>293.33333333333439</v>
      </c>
      <c r="BI156" s="59">
        <f ca="1">AVERAGE(OFFSET($BH$3,0,0,'Données projet'!$E$11+1,1))-AVERAGE(OFFSET($H$3,0,0,'Données projet'!$E$11+1,1))</f>
        <v>165.39579887388538</v>
      </c>
      <c r="BJ156" s="59">
        <f t="shared" si="146"/>
        <v>155.89639262545802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0.24077698861111652</v>
      </c>
      <c r="BR156" s="21">
        <f>EXP(-LN(2)/2)*BR155+(1-EXP(-LN(2)/2))/(LN(2)/2)*BL156*BO156*VLOOKUP('Données projet'!$B$11,Paramètres!$A$1:$I$89,3,0)*0.475*44/12</f>
        <v>4.2564334832766909E-18</v>
      </c>
      <c r="BS156" s="22">
        <f t="shared" si="169"/>
        <v>0.24077698861111652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2.8421709430404007E-14</v>
      </c>
      <c r="BZ156" s="13">
        <f>BY156*VLOOKUP('Données projet'!$B$12,Paramètres!$A$1:$I$89,3,0)*VLOOKUP('Données projet'!$B$12,Paramètres!$A$1:$I$89,5,0)</f>
        <v>2.7489477361086758E-14</v>
      </c>
      <c r="CA156" s="13">
        <f t="shared" si="170"/>
        <v>4.7995394886724981E-13</v>
      </c>
      <c r="CB156" s="20">
        <f t="shared" si="171"/>
        <v>8.8379730068101964E-13</v>
      </c>
      <c r="CC156" s="59">
        <f t="shared" si="119"/>
        <v>293.33333333333422</v>
      </c>
      <c r="CD156" s="59">
        <f ca="1">AVERAGE(OFFSET($CC$3,0,0,'Données projet'!$E$12+1,1))-AVERAGE(OFFSET($H$3,0,0,'Données projet'!$E$12+1,1))</f>
        <v>156.26368818265388</v>
      </c>
      <c r="CE156" s="59">
        <f t="shared" si="148"/>
        <v>56.347130462109817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2.8421709430404007E-14</v>
      </c>
      <c r="CU156" s="17">
        <f>CT156*VLOOKUP('Données projet'!$B$13,Paramètres!$A$1:$I$89,3,0)*VLOOKUP('Données projet'!$B$13,Paramètres!$A$1:$I$89,5,0)</f>
        <v>2.3055690689943732E-14</v>
      </c>
      <c r="CV156" s="13">
        <f t="shared" si="173"/>
        <v>4.10868481342271E-13</v>
      </c>
      <c r="CW156" s="20">
        <f t="shared" si="174"/>
        <v>7.5575126628944061E-13</v>
      </c>
      <c r="CX156" s="59">
        <f t="shared" si="122"/>
        <v>293.33333333333405</v>
      </c>
      <c r="CY156" s="59">
        <f ca="1">AVERAGE(OFFSET($CX$3,0,0,'Données projet'!$E$13+1,1))-AVERAGE(OFFSET($H$3,0,0,'Données projet'!$E$13+1,1))</f>
        <v>112.78807760743126</v>
      </c>
      <c r="CZ156" s="59">
        <f t="shared" si="150"/>
        <v>37.867745922003564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-8.5265128291212022E-14</v>
      </c>
      <c r="DP156" s="17">
        <f>DO156*VLOOKUP('Données projet'!$B$14,Paramètres!$A$1:$I$89,3,0)*VLOOKUP('Données projet'!$B$14,Paramètres!$A$1:$I$89,5,0)</f>
        <v>-5.7195848057745024E-14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107.15837202366862</v>
      </c>
      <c r="DU156" s="59">
        <f t="shared" si="152"/>
        <v>139.67031833740026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0.18722608068485372</v>
      </c>
      <c r="EC156" s="21">
        <f>EXP(-LN(2)/2)*EC155+(1-EXP(-LN(2)/2))/(LN(2)/2)*DW156*DZ156*VLOOKUP('Données projet'!$B$14,Paramètres!$A$1:$I$89,3,0)*0.475*44/12</f>
        <v>2.0697852871563939E-18</v>
      </c>
      <c r="ED156" s="22">
        <f t="shared" si="178"/>
        <v>0.18722608068485372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-1.1368683772161603E-13</v>
      </c>
      <c r="EK156" s="17">
        <f>EJ156*VLOOKUP('Données projet'!$B$15,Paramètres!$A$1:$I$89,3,0)*VLOOKUP('Données projet'!$B$15,Paramètres!$A$1:$I$89,5,0)</f>
        <v>-5.3205440053716299E-14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123.60520571614535</v>
      </c>
      <c r="EP156" s="59">
        <f t="shared" si="154"/>
        <v>119.00926870519527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7.5904094253069543E-2</v>
      </c>
      <c r="EW156" s="21">
        <f>EXP(-LN(2)/25)*EW155+(1-EXP(-LN(2)/25))/(LN(2)/25)*Calculateur!ER156*Calculateur!ET156*VLOOKUP('Données projet'!$B$15,Paramètres!$A$1:$I$89,3,0)*0.475*44/12</f>
        <v>0.15778498738192429</v>
      </c>
      <c r="EX156" s="21">
        <f>EXP(-LN(2)/2)*EX155+(1-EXP(-LN(2)/2))/(LN(2)/2)*ER156*EU156*VLOOKUP('Données projet'!$B$15,Paramètres!$A$1:$I$89,3,0)*0.475*44/12</f>
        <v>1.874822409496989E-18</v>
      </c>
      <c r="EY156" s="22">
        <f t="shared" si="181"/>
        <v>0.23368908163499383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-2.2737367544323206E-13</v>
      </c>
      <c r="FF156" s="17">
        <f>FE156*VLOOKUP('Données projet'!$B$16,Paramètres!$A$1:$I$89,3,0)*VLOOKUP('Données projet'!$B$16,Paramètres!$A$1:$I$89,5,0)</f>
        <v>-1.0936673788819462E-13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197.66963254934603</v>
      </c>
      <c r="FK156" s="59">
        <f t="shared" si="156"/>
        <v>158.08388141976138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0.23342335196810082</v>
      </c>
      <c r="FR156" s="21">
        <f>EXP(-LN(2)/25)*FR155+(1-EXP(-LN(2)/25))/(LN(2)/25)*Calculateur!FM156*Calculateur!FO156*VLOOKUP('Données projet'!$B$16,Paramètres!$A$1:$I$89,3,0)*0.475*44/12</f>
        <v>0.17550875012888117</v>
      </c>
      <c r="FS156" s="21">
        <f>EXP(-LN(2)/2)*FS155+(1-EXP(-LN(2)/2))/(LN(2)/2)*FM156*FP156*VLOOKUP('Données projet'!$B$16,Paramètres!$A$1:$I$89,3,0)*0.475*44/12</f>
        <v>2.5385134581069041E-18</v>
      </c>
      <c r="FT156" s="22">
        <f t="shared" si="184"/>
        <v>0.408932102096982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5.6843418860808015E-14</v>
      </c>
      <c r="GA156" s="17">
        <f>FZ156*VLOOKUP('Données projet'!$B$17,Paramètres!$A$1:$I$89,3,0)*VLOOKUP('Données projet'!$B$17,Paramètres!$A$1:$I$89,5,0)</f>
        <v>3.3992364478763198E-14</v>
      </c>
      <c r="GB156" s="13">
        <f t="shared" si="185"/>
        <v>5.790027782444094E-13</v>
      </c>
      <c r="GC156" s="20">
        <f t="shared" si="186"/>
        <v>1.0676332069095257E-12</v>
      </c>
      <c r="GD156" s="59">
        <f t="shared" si="134"/>
        <v>293.33333333333439</v>
      </c>
      <c r="GE156" s="59">
        <f ca="1">AVERAGE(OFFSET($GD$3,0,0,'Données projet'!$E$17+1,1))-AVERAGE(OFFSET($H$3,0,0,'Données projet'!$E$17+1,1))</f>
        <v>165.39579887388538</v>
      </c>
      <c r="GF156" s="59">
        <f t="shared" si="158"/>
        <v>155.89639262545802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0.24077698861111652</v>
      </c>
      <c r="GN156" s="21">
        <f>EXP(-LN(2)/2)*GN155+(1-EXP(-LN(2)/2))/(LN(2)/2)*GH156*GK156*VLOOKUP('Données projet'!$B$17,Paramètres!$A$1:$I$89,3,0)*0.475*44/12</f>
        <v>4.2564334832766909E-18</v>
      </c>
      <c r="GO156" s="21">
        <f t="shared" si="187"/>
        <v>0.24077698861111652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2.8421709430404007E-14</v>
      </c>
      <c r="GV156" s="17">
        <f>GU156*VLOOKUP('Données projet'!$B$18,Paramètres!$A$1:$I$89,3,0)*VLOOKUP('Données projet'!$B$18,Paramètres!$A$1:$I$89,5,0)</f>
        <v>3.0593128030886874E-14</v>
      </c>
      <c r="GW156" s="13">
        <f t="shared" si="188"/>
        <v>5.2753263159251616E-13</v>
      </c>
      <c r="GX156" s="20">
        <f t="shared" si="189"/>
        <v>9.7206903134409357E-13</v>
      </c>
      <c r="GY156" s="59">
        <f t="shared" si="137"/>
        <v>293.33333333333428</v>
      </c>
      <c r="GZ156" s="59">
        <f ca="1">AVERAGE(OFFSET($GY$3,0,0,'Données projet'!$E$18+1,1))-AVERAGE(OFFSET($H$3,0,0,'Données projet'!$E$18+1,1))</f>
        <v>186.60545265015247</v>
      </c>
      <c r="HA156" s="59">
        <f t="shared" si="160"/>
        <v>69.239647548491234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0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0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1.9065282685915009E-13</v>
      </c>
      <c r="P157" s="13">
        <f t="shared" si="141"/>
        <v>2.6568987209435707E-12</v>
      </c>
      <c r="Q157" s="20">
        <f t="shared" si="162"/>
        <v>4.959485612423072E-12</v>
      </c>
      <c r="R157" s="59">
        <f t="shared" si="109"/>
        <v>293.33333333333826</v>
      </c>
      <c r="S157" s="59">
        <f ca="1">AVERAGE(OFFSET($R$3,0,0,'Données projet'!$E$9+1,1))-AVERAGE(OFFSET($H$3,0,0,'Données projet'!$E$9+1,1))</f>
        <v>235.10258076192054</v>
      </c>
      <c r="T157" s="59">
        <f t="shared" si="142"/>
        <v>233.47316052603765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0.29395162781849804</v>
      </c>
      <c r="AA157" s="21">
        <f>EXP(-LN(2)/25)*AA156+(1-EXP(-LN(2)/25))/(LN(2)/25)*Calculateur!V157*Calculateur!X157*VLOOKUP('Données projet'!$B$9,Paramètres!$A$1:$I$89,3,0)*0.475*44/12</f>
        <v>0.59228624375761552</v>
      </c>
      <c r="AB157" s="21">
        <f>EXP(-LN(2)/2)*AB156+(1-EXP(-LN(2)/2))/(LN(2)/2)*V157*Y157*VLOOKUP('Données projet'!$B$9,Paramètres!$A$1:$I$89,3,0)*0.475*44/12</f>
        <v>5.2306426817178818E-18</v>
      </c>
      <c r="AC157" s="22">
        <f t="shared" si="163"/>
        <v>0.88623787157611356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2.2737367544323206E-13</v>
      </c>
      <c r="AJ157" s="13">
        <f>AI157*VLOOKUP('Données projet'!$B$10,Paramètres!$A$1:$I$89,3,0)*VLOOKUP('Données projet'!$B$10,Paramètres!$A$1:$I$89,5,0)</f>
        <v>1.2414602679200471E-13</v>
      </c>
      <c r="AK157" s="13">
        <f t="shared" si="164"/>
        <v>1.8186582995804361E-12</v>
      </c>
      <c r="AL157" s="20">
        <f t="shared" si="165"/>
        <v>3.3837175350986671E-12</v>
      </c>
      <c r="AM157" s="59">
        <f t="shared" si="113"/>
        <v>293.33333333333672</v>
      </c>
      <c r="AN157" s="59">
        <f ca="1">AVERAGE(OFFSET($AM$3,0,0,'Données projet'!$E$10+1,1))-AVERAGE(OFFSET($H$3,0,0,'Données projet'!$E$10+1,1))</f>
        <v>168.72306536277267</v>
      </c>
      <c r="AO157" s="59">
        <f t="shared" si="144"/>
        <v>203.35476578922339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0.26101413040965987</v>
      </c>
      <c r="AV157" s="21">
        <f>EXP(-LN(2)/25)*AV156+(1-EXP(-LN(2)/25))/(LN(2)/25)*Calculateur!AQ157*Calculateur!AS157*VLOOKUP('Données projet'!$B$10,Paramètres!$A$1:$I$89,3,0)*0.475*44/12</f>
        <v>0.73847557680715992</v>
      </c>
      <c r="AW157" s="21">
        <f>EXP(-LN(2)/2)*AW156+(1-EXP(-LN(2)/2))/(LN(2)/2)*AQ157*AT157*VLOOKUP('Données projet'!$B$10,Paramètres!$A$1:$I$89,3,0)*0.475*44/12</f>
        <v>4.3419796018371424E-18</v>
      </c>
      <c r="AX157" s="21">
        <f t="shared" si="166"/>
        <v>0.99948970721681984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3.3992364478763198E-14</v>
      </c>
      <c r="BF157" s="13">
        <f t="shared" si="167"/>
        <v>5.790027782444094E-13</v>
      </c>
      <c r="BG157" s="20">
        <f t="shared" si="168"/>
        <v>1.0676332069095257E-12</v>
      </c>
      <c r="BH157" s="59">
        <f t="shared" si="116"/>
        <v>293.33333333333439</v>
      </c>
      <c r="BI157" s="59">
        <f ca="1">AVERAGE(OFFSET($BH$3,0,0,'Données projet'!$E$11+1,1))-AVERAGE(OFFSET($H$3,0,0,'Données projet'!$E$11+1,1))</f>
        <v>165.39579887388538</v>
      </c>
      <c r="BJ157" s="59">
        <f t="shared" si="146"/>
        <v>155.89639262545802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0.234192929195634</v>
      </c>
      <c r="BR157" s="21">
        <f>EXP(-LN(2)/2)*BR156+(1-EXP(-LN(2)/2))/(LN(2)/2)*BL157*BO157*VLOOKUP('Données projet'!$B$11,Paramètres!$A$1:$I$89,3,0)*0.475*44/12</f>
        <v>3.0097529796944254E-18</v>
      </c>
      <c r="BS157" s="22">
        <f t="shared" si="169"/>
        <v>0.234192929195634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2.8421709430404007E-14</v>
      </c>
      <c r="BZ157" s="13">
        <f>BY157*VLOOKUP('Données projet'!$B$12,Paramètres!$A$1:$I$89,3,0)*VLOOKUP('Données projet'!$B$12,Paramètres!$A$1:$I$89,5,0)</f>
        <v>2.7489477361086758E-14</v>
      </c>
      <c r="CA157" s="13">
        <f t="shared" si="170"/>
        <v>4.7995394886724981E-13</v>
      </c>
      <c r="CB157" s="20">
        <f t="shared" si="171"/>
        <v>8.8379730068101964E-13</v>
      </c>
      <c r="CC157" s="59">
        <f t="shared" si="119"/>
        <v>293.33333333333422</v>
      </c>
      <c r="CD157" s="59">
        <f ca="1">AVERAGE(OFFSET($CC$3,0,0,'Données projet'!$E$12+1,1))-AVERAGE(OFFSET($H$3,0,0,'Données projet'!$E$12+1,1))</f>
        <v>156.26368818265388</v>
      </c>
      <c r="CE157" s="59">
        <f t="shared" si="148"/>
        <v>56.347130462109817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2.8421709430404007E-14</v>
      </c>
      <c r="CU157" s="17">
        <f>CT157*VLOOKUP('Données projet'!$B$13,Paramètres!$A$1:$I$89,3,0)*VLOOKUP('Données projet'!$B$13,Paramètres!$A$1:$I$89,5,0)</f>
        <v>2.3055690689943732E-14</v>
      </c>
      <c r="CV157" s="13">
        <f t="shared" si="173"/>
        <v>4.10868481342271E-13</v>
      </c>
      <c r="CW157" s="20">
        <f t="shared" si="174"/>
        <v>7.5575126628944061E-13</v>
      </c>
      <c r="CX157" s="59">
        <f t="shared" si="122"/>
        <v>293.33333333333405</v>
      </c>
      <c r="CY157" s="59">
        <f ca="1">AVERAGE(OFFSET($CX$3,0,0,'Données projet'!$E$13+1,1))-AVERAGE(OFFSET($H$3,0,0,'Données projet'!$E$13+1,1))</f>
        <v>112.78807760743126</v>
      </c>
      <c r="CZ157" s="59">
        <f t="shared" si="150"/>
        <v>37.867745922003564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-8.5265128291212022E-14</v>
      </c>
      <c r="DP157" s="17">
        <f>DO157*VLOOKUP('Données projet'!$B$14,Paramètres!$A$1:$I$89,3,0)*VLOOKUP('Données projet'!$B$14,Paramètres!$A$1:$I$89,5,0)</f>
        <v>-5.7195848057745024E-14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107.15837202366862</v>
      </c>
      <c r="DU157" s="59">
        <f t="shared" si="152"/>
        <v>139.67031833740026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0.18210637366273472</v>
      </c>
      <c r="EC157" s="21">
        <f>EXP(-LN(2)/2)*EC156+(1-EXP(-LN(2)/2))/(LN(2)/2)*DW157*DZ157*VLOOKUP('Données projet'!$B$14,Paramètres!$A$1:$I$89,3,0)*0.475*44/12</f>
        <v>1.4635592121484317E-18</v>
      </c>
      <c r="ED157" s="22">
        <f t="shared" si="178"/>
        <v>0.18210637366273472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-1.1368683772161603E-13</v>
      </c>
      <c r="EK157" s="17">
        <f>EJ157*VLOOKUP('Données projet'!$B$15,Paramètres!$A$1:$I$89,3,0)*VLOOKUP('Données projet'!$B$15,Paramètres!$A$1:$I$89,5,0)</f>
        <v>-5.3205440053716299E-14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123.60520571614535</v>
      </c>
      <c r="EP157" s="59">
        <f t="shared" si="154"/>
        <v>119.00926870519527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7.4415661261692898E-2</v>
      </c>
      <c r="EW157" s="21">
        <f>EXP(-LN(2)/25)*EW156+(1-EXP(-LN(2)/25))/(LN(2)/25)*Calculateur!ER157*Calculateur!ET157*VLOOKUP('Données projet'!$B$15,Paramètres!$A$1:$I$89,3,0)*0.475*44/12</f>
        <v>0.15347034860441369</v>
      </c>
      <c r="EX157" s="21">
        <f>EXP(-LN(2)/2)*EX156+(1-EXP(-LN(2)/2))/(LN(2)/2)*ER157*EU157*VLOOKUP('Données projet'!$B$15,Paramètres!$A$1:$I$89,3,0)*0.475*44/12</f>
        <v>1.3256996392758232E-18</v>
      </c>
      <c r="EY157" s="22">
        <f t="shared" si="181"/>
        <v>0.22788600986610658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-2.2737367544323206E-13</v>
      </c>
      <c r="FF157" s="17">
        <f>FE157*VLOOKUP('Données projet'!$B$16,Paramètres!$A$1:$I$89,3,0)*VLOOKUP('Données projet'!$B$16,Paramètres!$A$1:$I$89,5,0)</f>
        <v>-1.0936673788819462E-13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197.66963254934603</v>
      </c>
      <c r="FK157" s="59">
        <f t="shared" si="156"/>
        <v>158.08388141976138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0.22884606241019279</v>
      </c>
      <c r="FR157" s="21">
        <f>EXP(-LN(2)/25)*FR156+(1-EXP(-LN(2)/25))/(LN(2)/25)*Calculateur!FM157*Calculateur!FO157*VLOOKUP('Données projet'!$B$16,Paramètres!$A$1:$I$89,3,0)*0.475*44/12</f>
        <v>0.17070945412700289</v>
      </c>
      <c r="FS157" s="21">
        <f>EXP(-LN(2)/2)*FS156+(1-EXP(-LN(2)/2))/(LN(2)/2)*FM157*FP157*VLOOKUP('Données projet'!$B$16,Paramètres!$A$1:$I$89,3,0)*0.475*44/12</f>
        <v>1.7950000803607047E-18</v>
      </c>
      <c r="FT157" s="22">
        <f t="shared" si="184"/>
        <v>0.39955551653719568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5.6843418860808015E-14</v>
      </c>
      <c r="GA157" s="17">
        <f>FZ157*VLOOKUP('Données projet'!$B$17,Paramètres!$A$1:$I$89,3,0)*VLOOKUP('Données projet'!$B$17,Paramètres!$A$1:$I$89,5,0)</f>
        <v>3.3992364478763198E-14</v>
      </c>
      <c r="GB157" s="13">
        <f t="shared" si="185"/>
        <v>5.790027782444094E-13</v>
      </c>
      <c r="GC157" s="20">
        <f t="shared" si="186"/>
        <v>1.0676332069095257E-12</v>
      </c>
      <c r="GD157" s="59">
        <f t="shared" si="134"/>
        <v>293.33333333333439</v>
      </c>
      <c r="GE157" s="59">
        <f ca="1">AVERAGE(OFFSET($GD$3,0,0,'Données projet'!$E$17+1,1))-AVERAGE(OFFSET($H$3,0,0,'Données projet'!$E$17+1,1))</f>
        <v>165.39579887388538</v>
      </c>
      <c r="GF157" s="59">
        <f t="shared" si="158"/>
        <v>155.89639262545802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0.234192929195634</v>
      </c>
      <c r="GN157" s="21">
        <f>EXP(-LN(2)/2)*GN156+(1-EXP(-LN(2)/2))/(LN(2)/2)*GH157*GK157*VLOOKUP('Données projet'!$B$17,Paramètres!$A$1:$I$89,3,0)*0.475*44/12</f>
        <v>3.0097529796944254E-18</v>
      </c>
      <c r="GO157" s="21">
        <f t="shared" si="187"/>
        <v>0.234192929195634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2.8421709430404007E-14</v>
      </c>
      <c r="GV157" s="17">
        <f>GU157*VLOOKUP('Données projet'!$B$18,Paramètres!$A$1:$I$89,3,0)*VLOOKUP('Données projet'!$B$18,Paramètres!$A$1:$I$89,5,0)</f>
        <v>3.0593128030886874E-14</v>
      </c>
      <c r="GW157" s="13">
        <f t="shared" si="188"/>
        <v>5.2753263159251616E-13</v>
      </c>
      <c r="GX157" s="20">
        <f t="shared" si="189"/>
        <v>9.7206903134409357E-13</v>
      </c>
      <c r="GY157" s="59">
        <f t="shared" si="137"/>
        <v>293.33333333333428</v>
      </c>
      <c r="GZ157" s="59">
        <f ca="1">AVERAGE(OFFSET($GY$3,0,0,'Données projet'!$E$18+1,1))-AVERAGE(OFFSET($H$3,0,0,'Données projet'!$E$18+1,1))</f>
        <v>186.60545265015247</v>
      </c>
      <c r="HA157" s="59">
        <f t="shared" si="160"/>
        <v>69.239647548491234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0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0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1.9065282685915009E-13</v>
      </c>
      <c r="P158" s="13">
        <f t="shared" si="141"/>
        <v>2.6568987209435707E-12</v>
      </c>
      <c r="Q158" s="20">
        <f t="shared" si="162"/>
        <v>4.959485612423072E-12</v>
      </c>
      <c r="R158" s="59">
        <f t="shared" si="109"/>
        <v>293.33333333333826</v>
      </c>
      <c r="S158" s="59">
        <f ca="1">AVERAGE(OFFSET($R$3,0,0,'Données projet'!$E$9+1,1))-AVERAGE(OFFSET($H$3,0,0,'Données projet'!$E$9+1,1))</f>
        <v>235.10258076192054</v>
      </c>
      <c r="T158" s="59">
        <f t="shared" si="142"/>
        <v>233.47316052603765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0.28818741568976658</v>
      </c>
      <c r="AA158" s="21">
        <f>EXP(-LN(2)/25)*AA157+(1-EXP(-LN(2)/25))/(LN(2)/25)*Calculateur!V158*Calculateur!X158*VLOOKUP('Données projet'!$B$9,Paramètres!$A$1:$I$89,3,0)*0.475*44/12</f>
        <v>0.57609014527508362</v>
      </c>
      <c r="AB158" s="21">
        <f>EXP(-LN(2)/2)*AB157+(1-EXP(-LN(2)/2))/(LN(2)/2)*V158*Y158*VLOOKUP('Données projet'!$B$9,Paramètres!$A$1:$I$89,3,0)*0.475*44/12</f>
        <v>3.6986229102065023E-18</v>
      </c>
      <c r="AC158" s="22">
        <f t="shared" si="163"/>
        <v>0.8642775609648502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2.2737367544323206E-13</v>
      </c>
      <c r="AJ158" s="13">
        <f>AI158*VLOOKUP('Données projet'!$B$10,Paramètres!$A$1:$I$89,3,0)*VLOOKUP('Données projet'!$B$10,Paramètres!$A$1:$I$89,5,0)</f>
        <v>1.2414602679200471E-13</v>
      </c>
      <c r="AK158" s="13">
        <f t="shared" si="164"/>
        <v>1.8186582995804361E-12</v>
      </c>
      <c r="AL158" s="20">
        <f t="shared" si="165"/>
        <v>3.3837175350986671E-12</v>
      </c>
      <c r="AM158" s="59">
        <f t="shared" si="113"/>
        <v>293.33333333333672</v>
      </c>
      <c r="AN158" s="59">
        <f ca="1">AVERAGE(OFFSET($AM$3,0,0,'Données projet'!$E$10+1,1))-AVERAGE(OFFSET($H$3,0,0,'Données projet'!$E$10+1,1))</f>
        <v>168.72306536277267</v>
      </c>
      <c r="AO158" s="59">
        <f t="shared" si="144"/>
        <v>203.35476578922339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0.25589580251522603</v>
      </c>
      <c r="AV158" s="21">
        <f>EXP(-LN(2)/25)*AV157+(1-EXP(-LN(2)/25))/(LN(2)/25)*Calculateur!AQ158*Calculateur!AS158*VLOOKUP('Données projet'!$B$10,Paramètres!$A$1:$I$89,3,0)*0.475*44/12</f>
        <v>0.71828192332462537</v>
      </c>
      <c r="AW158" s="21">
        <f>EXP(-LN(2)/2)*AW157+(1-EXP(-LN(2)/2))/(LN(2)/2)*AQ158*AT158*VLOOKUP('Données projet'!$B$10,Paramètres!$A$1:$I$89,3,0)*0.475*44/12</f>
        <v>3.070243220232709E-18</v>
      </c>
      <c r="AX158" s="21">
        <f t="shared" si="166"/>
        <v>0.9741777258398514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3.3992364478763198E-14</v>
      </c>
      <c r="BF158" s="13">
        <f t="shared" si="167"/>
        <v>5.790027782444094E-13</v>
      </c>
      <c r="BG158" s="20">
        <f t="shared" si="168"/>
        <v>1.0676332069095257E-12</v>
      </c>
      <c r="BH158" s="59">
        <f t="shared" si="116"/>
        <v>293.33333333333439</v>
      </c>
      <c r="BI158" s="59">
        <f ca="1">AVERAGE(OFFSET($BH$3,0,0,'Données projet'!$E$11+1,1))-AVERAGE(OFFSET($H$3,0,0,'Données projet'!$E$11+1,1))</f>
        <v>165.39579887388538</v>
      </c>
      <c r="BJ158" s="59">
        <f t="shared" si="146"/>
        <v>155.89639262545802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0.2277889112311085</v>
      </c>
      <c r="BR158" s="21">
        <f>EXP(-LN(2)/2)*BR157+(1-EXP(-LN(2)/2))/(LN(2)/2)*BL158*BO158*VLOOKUP('Données projet'!$B$11,Paramètres!$A$1:$I$89,3,0)*0.475*44/12</f>
        <v>2.1282167416383455E-18</v>
      </c>
      <c r="BS158" s="22">
        <f t="shared" si="169"/>
        <v>0.2277889112311085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2.8421709430404007E-14</v>
      </c>
      <c r="BZ158" s="13">
        <f>BY158*VLOOKUP('Données projet'!$B$12,Paramètres!$A$1:$I$89,3,0)*VLOOKUP('Données projet'!$B$12,Paramètres!$A$1:$I$89,5,0)</f>
        <v>2.7489477361086758E-14</v>
      </c>
      <c r="CA158" s="13">
        <f t="shared" si="170"/>
        <v>4.7995394886724981E-13</v>
      </c>
      <c r="CB158" s="20">
        <f t="shared" si="171"/>
        <v>8.8379730068101964E-13</v>
      </c>
      <c r="CC158" s="59">
        <f t="shared" si="119"/>
        <v>293.33333333333422</v>
      </c>
      <c r="CD158" s="59">
        <f ca="1">AVERAGE(OFFSET($CC$3,0,0,'Données projet'!$E$12+1,1))-AVERAGE(OFFSET($H$3,0,0,'Données projet'!$E$12+1,1))</f>
        <v>156.26368818265388</v>
      </c>
      <c r="CE158" s="59">
        <f t="shared" si="148"/>
        <v>56.347130462109817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2.8421709430404007E-14</v>
      </c>
      <c r="CU158" s="17">
        <f>CT158*VLOOKUP('Données projet'!$B$13,Paramètres!$A$1:$I$89,3,0)*VLOOKUP('Données projet'!$B$13,Paramètres!$A$1:$I$89,5,0)</f>
        <v>2.3055690689943732E-14</v>
      </c>
      <c r="CV158" s="13">
        <f t="shared" si="173"/>
        <v>4.10868481342271E-13</v>
      </c>
      <c r="CW158" s="20">
        <f t="shared" si="174"/>
        <v>7.5575126628944061E-13</v>
      </c>
      <c r="CX158" s="59">
        <f t="shared" si="122"/>
        <v>293.33333333333405</v>
      </c>
      <c r="CY158" s="59">
        <f ca="1">AVERAGE(OFFSET($CX$3,0,0,'Données projet'!$E$13+1,1))-AVERAGE(OFFSET($H$3,0,0,'Données projet'!$E$13+1,1))</f>
        <v>112.78807760743126</v>
      </c>
      <c r="CZ158" s="59">
        <f t="shared" si="150"/>
        <v>37.867745922003564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-8.5265128291212022E-14</v>
      </c>
      <c r="DP158" s="17">
        <f>DO158*VLOOKUP('Données projet'!$B$14,Paramètres!$A$1:$I$89,3,0)*VLOOKUP('Données projet'!$B$14,Paramètres!$A$1:$I$89,5,0)</f>
        <v>-5.7195848057745024E-14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107.15837202366862</v>
      </c>
      <c r="DU158" s="59">
        <f t="shared" si="152"/>
        <v>139.67031833740026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0.17712666529836926</v>
      </c>
      <c r="EC158" s="21">
        <f>EXP(-LN(2)/2)*EC157+(1-EXP(-LN(2)/2))/(LN(2)/2)*DW158*DZ158*VLOOKUP('Données projet'!$B$14,Paramètres!$A$1:$I$89,3,0)*0.475*44/12</f>
        <v>1.0348926435781969E-18</v>
      </c>
      <c r="ED158" s="22">
        <f t="shared" si="178"/>
        <v>0.17712666529836926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-1.1368683772161603E-13</v>
      </c>
      <c r="EK158" s="17">
        <f>EJ158*VLOOKUP('Données projet'!$B$15,Paramètres!$A$1:$I$89,3,0)*VLOOKUP('Données projet'!$B$15,Paramètres!$A$1:$I$89,5,0)</f>
        <v>-5.3205440053716299E-14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123.60520571614535</v>
      </c>
      <c r="EP158" s="59">
        <f t="shared" si="154"/>
        <v>119.00926870519527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7.2956415533422678E-2</v>
      </c>
      <c r="EW158" s="21">
        <f>EXP(-LN(2)/25)*EW157+(1-EXP(-LN(2)/25))/(LN(2)/25)*Calculateur!ER158*Calculateur!ET158*VLOOKUP('Données projet'!$B$15,Paramètres!$A$1:$I$89,3,0)*0.475*44/12</f>
        <v>0.14927369385117112</v>
      </c>
      <c r="EX158" s="21">
        <f>EXP(-LN(2)/2)*EX157+(1-EXP(-LN(2)/2))/(LN(2)/2)*ER158*EU158*VLOOKUP('Données projet'!$B$15,Paramètres!$A$1:$I$89,3,0)*0.475*44/12</f>
        <v>9.3741120474849448E-19</v>
      </c>
      <c r="EY158" s="22">
        <f t="shared" si="181"/>
        <v>0.22223010938459381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-2.2737367544323206E-13</v>
      </c>
      <c r="FF158" s="17">
        <f>FE158*VLOOKUP('Données projet'!$B$16,Paramètres!$A$1:$I$89,3,0)*VLOOKUP('Données projet'!$B$16,Paramètres!$A$1:$I$89,5,0)</f>
        <v>-1.0936673788819462E-13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197.66963254934603</v>
      </c>
      <c r="FK158" s="59">
        <f t="shared" si="156"/>
        <v>158.08388141976138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0.22435853070864437</v>
      </c>
      <c r="FR158" s="21">
        <f>EXP(-LN(2)/25)*FR157+(1-EXP(-LN(2)/25))/(LN(2)/25)*Calculateur!FM158*Calculateur!FO158*VLOOKUP('Données projet'!$B$16,Paramètres!$A$1:$I$89,3,0)*0.475*44/12</f>
        <v>0.16604139512667995</v>
      </c>
      <c r="FS158" s="21">
        <f>EXP(-LN(2)/2)*FS157+(1-EXP(-LN(2)/2))/(LN(2)/2)*FM158*FP158*VLOOKUP('Données projet'!$B$16,Paramètres!$A$1:$I$89,3,0)*0.475*44/12</f>
        <v>1.2692567290534521E-18</v>
      </c>
      <c r="FT158" s="22">
        <f t="shared" si="184"/>
        <v>0.39039992583532435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5.6843418860808015E-14</v>
      </c>
      <c r="GA158" s="17">
        <f>FZ158*VLOOKUP('Données projet'!$B$17,Paramètres!$A$1:$I$89,3,0)*VLOOKUP('Données projet'!$B$17,Paramètres!$A$1:$I$89,5,0)</f>
        <v>3.3992364478763198E-14</v>
      </c>
      <c r="GB158" s="13">
        <f t="shared" si="185"/>
        <v>5.790027782444094E-13</v>
      </c>
      <c r="GC158" s="20">
        <f t="shared" si="186"/>
        <v>1.0676332069095257E-12</v>
      </c>
      <c r="GD158" s="59">
        <f t="shared" si="134"/>
        <v>293.33333333333439</v>
      </c>
      <c r="GE158" s="59">
        <f ca="1">AVERAGE(OFFSET($GD$3,0,0,'Données projet'!$E$17+1,1))-AVERAGE(OFFSET($H$3,0,0,'Données projet'!$E$17+1,1))</f>
        <v>165.39579887388538</v>
      </c>
      <c r="GF158" s="59">
        <f t="shared" si="158"/>
        <v>155.89639262545802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0.2277889112311085</v>
      </c>
      <c r="GN158" s="21">
        <f>EXP(-LN(2)/2)*GN157+(1-EXP(-LN(2)/2))/(LN(2)/2)*GH158*GK158*VLOOKUP('Données projet'!$B$17,Paramètres!$A$1:$I$89,3,0)*0.475*44/12</f>
        <v>2.1282167416383455E-18</v>
      </c>
      <c r="GO158" s="21">
        <f t="shared" si="187"/>
        <v>0.2277889112311085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2.8421709430404007E-14</v>
      </c>
      <c r="GV158" s="17">
        <f>GU158*VLOOKUP('Données projet'!$B$18,Paramètres!$A$1:$I$89,3,0)*VLOOKUP('Données projet'!$B$18,Paramètres!$A$1:$I$89,5,0)</f>
        <v>3.0593128030886874E-14</v>
      </c>
      <c r="GW158" s="13">
        <f t="shared" si="188"/>
        <v>5.2753263159251616E-13</v>
      </c>
      <c r="GX158" s="20">
        <f t="shared" si="189"/>
        <v>9.7206903134409357E-13</v>
      </c>
      <c r="GY158" s="59">
        <f t="shared" si="137"/>
        <v>293.33333333333428</v>
      </c>
      <c r="GZ158" s="59">
        <f ca="1">AVERAGE(OFFSET($GY$3,0,0,'Données projet'!$E$18+1,1))-AVERAGE(OFFSET($H$3,0,0,'Données projet'!$E$18+1,1))</f>
        <v>186.60545265015247</v>
      </c>
      <c r="HA158" s="59">
        <f t="shared" si="160"/>
        <v>69.239647548491234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0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0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1.9065282685915009E-13</v>
      </c>
      <c r="P159" s="13">
        <f t="shared" si="141"/>
        <v>2.6568987209435707E-12</v>
      </c>
      <c r="Q159" s="20">
        <f t="shared" si="162"/>
        <v>4.959485612423072E-12</v>
      </c>
      <c r="R159" s="59">
        <f t="shared" si="109"/>
        <v>293.33333333333826</v>
      </c>
      <c r="S159" s="59">
        <f ca="1">AVERAGE(OFFSET($R$3,0,0,'Données projet'!$E$9+1,1))-AVERAGE(OFFSET($H$3,0,0,'Données projet'!$E$9+1,1))</f>
        <v>235.10258076192054</v>
      </c>
      <c r="T159" s="59">
        <f t="shared" si="142"/>
        <v>233.47316052603765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0.2825362362450573</v>
      </c>
      <c r="AA159" s="21">
        <f>EXP(-LN(2)/25)*AA158+(1-EXP(-LN(2)/25))/(LN(2)/25)*Calculateur!V159*Calculateur!X159*VLOOKUP('Données projet'!$B$9,Paramètres!$A$1:$I$89,3,0)*0.475*44/12</f>
        <v>0.56033692995727236</v>
      </c>
      <c r="AB159" s="21">
        <f>EXP(-LN(2)/2)*AB158+(1-EXP(-LN(2)/2))/(LN(2)/2)*V159*Y159*VLOOKUP('Données projet'!$B$9,Paramètres!$A$1:$I$89,3,0)*0.475*44/12</f>
        <v>2.6153213408589409E-18</v>
      </c>
      <c r="AC159" s="22">
        <f t="shared" si="163"/>
        <v>0.84287316620232966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2.2737367544323206E-13</v>
      </c>
      <c r="AJ159" s="13">
        <f>AI159*VLOOKUP('Données projet'!$B$10,Paramètres!$A$1:$I$89,3,0)*VLOOKUP('Données projet'!$B$10,Paramètres!$A$1:$I$89,5,0)</f>
        <v>1.2414602679200471E-13</v>
      </c>
      <c r="AK159" s="13">
        <f t="shared" si="164"/>
        <v>1.8186582995804361E-12</v>
      </c>
      <c r="AL159" s="20">
        <f t="shared" si="165"/>
        <v>3.3837175350986671E-12</v>
      </c>
      <c r="AM159" s="59">
        <f t="shared" si="113"/>
        <v>293.33333333333672</v>
      </c>
      <c r="AN159" s="59">
        <f ca="1">AVERAGE(OFFSET($AM$3,0,0,'Données projet'!$E$10+1,1))-AVERAGE(OFFSET($H$3,0,0,'Données projet'!$E$10+1,1))</f>
        <v>168.72306536277267</v>
      </c>
      <c r="AO159" s="59">
        <f t="shared" si="144"/>
        <v>203.35476578922339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0.25087784190893025</v>
      </c>
      <c r="AV159" s="21">
        <f>EXP(-LN(2)/25)*AV158+(1-EXP(-LN(2)/25))/(LN(2)/25)*Calculateur!AQ159*Calculateur!AS159*VLOOKUP('Données projet'!$B$10,Paramètres!$A$1:$I$89,3,0)*0.475*44/12</f>
        <v>0.69864046635850885</v>
      </c>
      <c r="AW159" s="21">
        <f>EXP(-LN(2)/2)*AW158+(1-EXP(-LN(2)/2))/(LN(2)/2)*AQ159*AT159*VLOOKUP('Données projet'!$B$10,Paramètres!$A$1:$I$89,3,0)*0.475*44/12</f>
        <v>2.1709898009185712E-18</v>
      </c>
      <c r="AX159" s="21">
        <f t="shared" si="166"/>
        <v>0.9495183082674391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3.3992364478763198E-14</v>
      </c>
      <c r="BF159" s="13">
        <f t="shared" si="167"/>
        <v>5.790027782444094E-13</v>
      </c>
      <c r="BG159" s="20">
        <f t="shared" si="168"/>
        <v>1.0676332069095257E-12</v>
      </c>
      <c r="BH159" s="59">
        <f t="shared" si="116"/>
        <v>293.33333333333439</v>
      </c>
      <c r="BI159" s="59">
        <f ca="1">AVERAGE(OFFSET($BH$3,0,0,'Données projet'!$E$11+1,1))-AVERAGE(OFFSET($H$3,0,0,'Données projet'!$E$11+1,1))</f>
        <v>165.39579887388538</v>
      </c>
      <c r="BJ159" s="59">
        <f t="shared" si="146"/>
        <v>155.89639262545802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0.22156001147459561</v>
      </c>
      <c r="BR159" s="21">
        <f>EXP(-LN(2)/2)*BR158+(1-EXP(-LN(2)/2))/(LN(2)/2)*BL159*BO159*VLOOKUP('Données projet'!$B$11,Paramètres!$A$1:$I$89,3,0)*0.475*44/12</f>
        <v>1.5048764898472127E-18</v>
      </c>
      <c r="BS159" s="22">
        <f t="shared" si="169"/>
        <v>0.22156001147459561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2.8421709430404007E-14</v>
      </c>
      <c r="BZ159" s="13">
        <f>BY159*VLOOKUP('Données projet'!$B$12,Paramètres!$A$1:$I$89,3,0)*VLOOKUP('Données projet'!$B$12,Paramètres!$A$1:$I$89,5,0)</f>
        <v>2.7489477361086758E-14</v>
      </c>
      <c r="CA159" s="13">
        <f t="shared" si="170"/>
        <v>4.7995394886724981E-13</v>
      </c>
      <c r="CB159" s="20">
        <f t="shared" si="171"/>
        <v>8.8379730068101964E-13</v>
      </c>
      <c r="CC159" s="59">
        <f t="shared" si="119"/>
        <v>293.33333333333422</v>
      </c>
      <c r="CD159" s="59">
        <f ca="1">AVERAGE(OFFSET($CC$3,0,0,'Données projet'!$E$12+1,1))-AVERAGE(OFFSET($H$3,0,0,'Données projet'!$E$12+1,1))</f>
        <v>156.26368818265388</v>
      </c>
      <c r="CE159" s="59">
        <f t="shared" si="148"/>
        <v>56.347130462109817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2.8421709430404007E-14</v>
      </c>
      <c r="CU159" s="17">
        <f>CT159*VLOOKUP('Données projet'!$B$13,Paramètres!$A$1:$I$89,3,0)*VLOOKUP('Données projet'!$B$13,Paramètres!$A$1:$I$89,5,0)</f>
        <v>2.3055690689943732E-14</v>
      </c>
      <c r="CV159" s="13">
        <f t="shared" si="173"/>
        <v>4.10868481342271E-13</v>
      </c>
      <c r="CW159" s="20">
        <f t="shared" si="174"/>
        <v>7.5575126628944061E-13</v>
      </c>
      <c r="CX159" s="59">
        <f t="shared" si="122"/>
        <v>293.33333333333405</v>
      </c>
      <c r="CY159" s="59">
        <f ca="1">AVERAGE(OFFSET($CX$3,0,0,'Données projet'!$E$13+1,1))-AVERAGE(OFFSET($H$3,0,0,'Données projet'!$E$13+1,1))</f>
        <v>112.78807760743126</v>
      </c>
      <c r="CZ159" s="59">
        <f t="shared" si="150"/>
        <v>37.867745922003564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-8.5265128291212022E-14</v>
      </c>
      <c r="DP159" s="17">
        <f>DO159*VLOOKUP('Données projet'!$B$14,Paramètres!$A$1:$I$89,3,0)*VLOOKUP('Données projet'!$B$14,Paramètres!$A$1:$I$89,5,0)</f>
        <v>-5.7195848057745024E-14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107.15837202366862</v>
      </c>
      <c r="DU159" s="59">
        <f t="shared" si="152"/>
        <v>139.67031833740026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0.17228312732109885</v>
      </c>
      <c r="EC159" s="21">
        <f>EXP(-LN(2)/2)*EC158+(1-EXP(-LN(2)/2))/(LN(2)/2)*DW159*DZ159*VLOOKUP('Données projet'!$B$14,Paramètres!$A$1:$I$89,3,0)*0.475*44/12</f>
        <v>7.3177960607421583E-19</v>
      </c>
      <c r="ED159" s="22">
        <f t="shared" si="178"/>
        <v>0.17228312732109885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-1.1368683772161603E-13</v>
      </c>
      <c r="EK159" s="17">
        <f>EJ159*VLOOKUP('Données projet'!$B$15,Paramètres!$A$1:$I$89,3,0)*VLOOKUP('Données projet'!$B$15,Paramètres!$A$1:$I$89,5,0)</f>
        <v>-5.3205440053716299E-14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123.60520571614535</v>
      </c>
      <c r="EP159" s="59">
        <f t="shared" si="154"/>
        <v>119.00926870519527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7.1525784723831823E-2</v>
      </c>
      <c r="EW159" s="21">
        <f>EXP(-LN(2)/25)*EW158+(1-EXP(-LN(2)/25))/(LN(2)/25)*Calculateur!ER159*Calculateur!ET159*VLOOKUP('Données projet'!$B$15,Paramètres!$A$1:$I$89,3,0)*0.475*44/12</f>
        <v>0.14519179684284844</v>
      </c>
      <c r="EX159" s="21">
        <f>EXP(-LN(2)/2)*EX158+(1-EXP(-LN(2)/2))/(LN(2)/2)*ER159*EU159*VLOOKUP('Données projet'!$B$15,Paramètres!$A$1:$I$89,3,0)*0.475*44/12</f>
        <v>6.628498196379116E-19</v>
      </c>
      <c r="EY159" s="22">
        <f t="shared" si="181"/>
        <v>0.21671758156668025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-2.2737367544323206E-13</v>
      </c>
      <c r="FF159" s="17">
        <f>FE159*VLOOKUP('Données projet'!$B$16,Paramètres!$A$1:$I$89,3,0)*VLOOKUP('Données projet'!$B$16,Paramètres!$A$1:$I$89,5,0)</f>
        <v>-1.0936673788819462E-13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197.66963254934603</v>
      </c>
      <c r="FK159" s="59">
        <f t="shared" si="156"/>
        <v>158.08388141976138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0.21995899676663924</v>
      </c>
      <c r="FR159" s="21">
        <f>EXP(-LN(2)/25)*FR158+(1-EXP(-LN(2)/25))/(LN(2)/25)*Calculateur!FM159*Calculateur!FO159*VLOOKUP('Données projet'!$B$16,Paramètres!$A$1:$I$89,3,0)*0.475*44/12</f>
        <v>0.16150098444520342</v>
      </c>
      <c r="FS159" s="21">
        <f>EXP(-LN(2)/2)*FS158+(1-EXP(-LN(2)/2))/(LN(2)/2)*FM159*FP159*VLOOKUP('Données projet'!$B$16,Paramètres!$A$1:$I$89,3,0)*0.475*44/12</f>
        <v>8.9750004018035233E-19</v>
      </c>
      <c r="FT159" s="22">
        <f t="shared" si="184"/>
        <v>0.38145998121184266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5.6843418860808015E-14</v>
      </c>
      <c r="GA159" s="17">
        <f>FZ159*VLOOKUP('Données projet'!$B$17,Paramètres!$A$1:$I$89,3,0)*VLOOKUP('Données projet'!$B$17,Paramètres!$A$1:$I$89,5,0)</f>
        <v>3.3992364478763198E-14</v>
      </c>
      <c r="GB159" s="13">
        <f t="shared" si="185"/>
        <v>5.790027782444094E-13</v>
      </c>
      <c r="GC159" s="20">
        <f t="shared" si="186"/>
        <v>1.0676332069095257E-12</v>
      </c>
      <c r="GD159" s="59">
        <f t="shared" si="134"/>
        <v>293.33333333333439</v>
      </c>
      <c r="GE159" s="59">
        <f ca="1">AVERAGE(OFFSET($GD$3,0,0,'Données projet'!$E$17+1,1))-AVERAGE(OFFSET($H$3,0,0,'Données projet'!$E$17+1,1))</f>
        <v>165.39579887388538</v>
      </c>
      <c r="GF159" s="59">
        <f t="shared" si="158"/>
        <v>155.89639262545802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0.22156001147459561</v>
      </c>
      <c r="GN159" s="21">
        <f>EXP(-LN(2)/2)*GN158+(1-EXP(-LN(2)/2))/(LN(2)/2)*GH159*GK159*VLOOKUP('Données projet'!$B$17,Paramètres!$A$1:$I$89,3,0)*0.475*44/12</f>
        <v>1.5048764898472127E-18</v>
      </c>
      <c r="GO159" s="21">
        <f t="shared" si="187"/>
        <v>0.22156001147459561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2.8421709430404007E-14</v>
      </c>
      <c r="GV159" s="17">
        <f>GU159*VLOOKUP('Données projet'!$B$18,Paramètres!$A$1:$I$89,3,0)*VLOOKUP('Données projet'!$B$18,Paramètres!$A$1:$I$89,5,0)</f>
        <v>3.0593128030886874E-14</v>
      </c>
      <c r="GW159" s="13">
        <f t="shared" si="188"/>
        <v>5.2753263159251616E-13</v>
      </c>
      <c r="GX159" s="20">
        <f t="shared" si="189"/>
        <v>9.7206903134409357E-13</v>
      </c>
      <c r="GY159" s="59">
        <f t="shared" si="137"/>
        <v>293.33333333333428</v>
      </c>
      <c r="GZ159" s="59">
        <f ca="1">AVERAGE(OFFSET($GY$3,0,0,'Données projet'!$E$18+1,1))-AVERAGE(OFFSET($H$3,0,0,'Données projet'!$E$18+1,1))</f>
        <v>186.60545265015247</v>
      </c>
      <c r="HA159" s="59">
        <f t="shared" si="160"/>
        <v>69.239647548491234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0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0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1.9065282685915009E-13</v>
      </c>
      <c r="P160" s="13">
        <f t="shared" si="141"/>
        <v>2.6568987209435707E-12</v>
      </c>
      <c r="Q160" s="20">
        <f t="shared" si="162"/>
        <v>4.959485612423072E-12</v>
      </c>
      <c r="R160" s="59">
        <f t="shared" si="109"/>
        <v>293.33333333333826</v>
      </c>
      <c r="S160" s="59">
        <f ca="1">AVERAGE(OFFSET($R$3,0,0,'Données projet'!$E$9+1,1))-AVERAGE(OFFSET($H$3,0,0,'Données projet'!$E$9+1,1))</f>
        <v>235.10258076192054</v>
      </c>
      <c r="T160" s="59">
        <f t="shared" si="142"/>
        <v>233.47316052603765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0.27699587298237965</v>
      </c>
      <c r="AA160" s="21">
        <f>EXP(-LN(2)/25)*AA159+(1-EXP(-LN(2)/25))/(LN(2)/25)*Calculateur!V160*Calculateur!X160*VLOOKUP('Données projet'!$B$9,Paramètres!$A$1:$I$89,3,0)*0.475*44/12</f>
        <v>0.54501448714075229</v>
      </c>
      <c r="AB160" s="21">
        <f>EXP(-LN(2)/2)*AB159+(1-EXP(-LN(2)/2))/(LN(2)/2)*V160*Y160*VLOOKUP('Données projet'!$B$9,Paramètres!$A$1:$I$89,3,0)*0.475*44/12</f>
        <v>1.8493114551032512E-18</v>
      </c>
      <c r="AC160" s="22">
        <f t="shared" si="163"/>
        <v>0.82201036012313189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2.2737367544323206E-13</v>
      </c>
      <c r="AJ160" s="13">
        <f>AI160*VLOOKUP('Données projet'!$B$10,Paramètres!$A$1:$I$89,3,0)*VLOOKUP('Données projet'!$B$10,Paramètres!$A$1:$I$89,5,0)</f>
        <v>1.2414602679200471E-13</v>
      </c>
      <c r="AK160" s="13">
        <f t="shared" si="164"/>
        <v>1.8186582995804361E-12</v>
      </c>
      <c r="AL160" s="20">
        <f t="shared" si="165"/>
        <v>3.3837175350986671E-12</v>
      </c>
      <c r="AM160" s="59">
        <f t="shared" si="113"/>
        <v>293.33333333333672</v>
      </c>
      <c r="AN160" s="59">
        <f ca="1">AVERAGE(OFFSET($AM$3,0,0,'Données projet'!$E$10+1,1))-AVERAGE(OFFSET($H$3,0,0,'Données projet'!$E$10+1,1))</f>
        <v>168.72306536277267</v>
      </c>
      <c r="AO160" s="59">
        <f t="shared" si="144"/>
        <v>203.35476578922339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0.24595828044947018</v>
      </c>
      <c r="AV160" s="21">
        <f>EXP(-LN(2)/25)*AV159+(1-EXP(-LN(2)/25))/(LN(2)/25)*Calculateur!AQ160*Calculateur!AS160*VLOOKUP('Données projet'!$B$10,Paramètres!$A$1:$I$89,3,0)*0.475*44/12</f>
        <v>0.6795361060660301</v>
      </c>
      <c r="AW160" s="21">
        <f>EXP(-LN(2)/2)*AW159+(1-EXP(-LN(2)/2))/(LN(2)/2)*AQ160*AT160*VLOOKUP('Données projet'!$B$10,Paramètres!$A$1:$I$89,3,0)*0.475*44/12</f>
        <v>1.5351216101163545E-18</v>
      </c>
      <c r="AX160" s="21">
        <f t="shared" si="166"/>
        <v>0.92549438651550031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3.3992364478763198E-14</v>
      </c>
      <c r="BF160" s="13">
        <f t="shared" si="167"/>
        <v>5.790027782444094E-13</v>
      </c>
      <c r="BG160" s="20">
        <f t="shared" si="168"/>
        <v>1.0676332069095257E-12</v>
      </c>
      <c r="BH160" s="59">
        <f t="shared" si="116"/>
        <v>293.33333333333439</v>
      </c>
      <c r="BI160" s="59">
        <f ca="1">AVERAGE(OFFSET($BH$3,0,0,'Données projet'!$E$11+1,1))-AVERAGE(OFFSET($H$3,0,0,'Données projet'!$E$11+1,1))</f>
        <v>165.39579887388538</v>
      </c>
      <c r="BJ160" s="59">
        <f t="shared" si="146"/>
        <v>155.89639262545802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0.21550144130948817</v>
      </c>
      <c r="BR160" s="21">
        <f>EXP(-LN(2)/2)*BR159+(1-EXP(-LN(2)/2))/(LN(2)/2)*BL160*BO160*VLOOKUP('Données projet'!$B$11,Paramètres!$A$1:$I$89,3,0)*0.475*44/12</f>
        <v>1.0641083708191727E-18</v>
      </c>
      <c r="BS160" s="22">
        <f t="shared" si="169"/>
        <v>0.21550144130948817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2.8421709430404007E-14</v>
      </c>
      <c r="BZ160" s="13">
        <f>BY160*VLOOKUP('Données projet'!$B$12,Paramètres!$A$1:$I$89,3,0)*VLOOKUP('Données projet'!$B$12,Paramètres!$A$1:$I$89,5,0)</f>
        <v>2.7489477361086758E-14</v>
      </c>
      <c r="CA160" s="13">
        <f t="shared" si="170"/>
        <v>4.7995394886724981E-13</v>
      </c>
      <c r="CB160" s="20">
        <f t="shared" si="171"/>
        <v>8.8379730068101964E-13</v>
      </c>
      <c r="CC160" s="59">
        <f t="shared" si="119"/>
        <v>293.33333333333422</v>
      </c>
      <c r="CD160" s="59">
        <f ca="1">AVERAGE(OFFSET($CC$3,0,0,'Données projet'!$E$12+1,1))-AVERAGE(OFFSET($H$3,0,0,'Données projet'!$E$12+1,1))</f>
        <v>156.26368818265388</v>
      </c>
      <c r="CE160" s="59">
        <f t="shared" si="148"/>
        <v>56.347130462109817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2.8421709430404007E-14</v>
      </c>
      <c r="CU160" s="17">
        <f>CT160*VLOOKUP('Données projet'!$B$13,Paramètres!$A$1:$I$89,3,0)*VLOOKUP('Données projet'!$B$13,Paramètres!$A$1:$I$89,5,0)</f>
        <v>2.3055690689943732E-14</v>
      </c>
      <c r="CV160" s="13">
        <f t="shared" si="173"/>
        <v>4.10868481342271E-13</v>
      </c>
      <c r="CW160" s="20">
        <f t="shared" si="174"/>
        <v>7.5575126628944061E-13</v>
      </c>
      <c r="CX160" s="59">
        <f t="shared" si="122"/>
        <v>293.33333333333405</v>
      </c>
      <c r="CY160" s="59">
        <f ca="1">AVERAGE(OFFSET($CX$3,0,0,'Données projet'!$E$13+1,1))-AVERAGE(OFFSET($H$3,0,0,'Données projet'!$E$13+1,1))</f>
        <v>112.78807760743126</v>
      </c>
      <c r="CZ160" s="59">
        <f t="shared" si="150"/>
        <v>37.867745922003564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-8.5265128291212022E-14</v>
      </c>
      <c r="DP160" s="17">
        <f>DO160*VLOOKUP('Données projet'!$B$14,Paramètres!$A$1:$I$89,3,0)*VLOOKUP('Données projet'!$B$14,Paramètres!$A$1:$I$89,5,0)</f>
        <v>-5.7195848057745024E-14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107.15837202366862</v>
      </c>
      <c r="DU160" s="59">
        <f t="shared" si="152"/>
        <v>139.67031833740026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0.16757203614452748</v>
      </c>
      <c r="EC160" s="21">
        <f>EXP(-LN(2)/2)*EC159+(1-EXP(-LN(2)/2))/(LN(2)/2)*DW160*DZ160*VLOOKUP('Données projet'!$B$14,Paramètres!$A$1:$I$89,3,0)*0.475*44/12</f>
        <v>5.1744632178909847E-19</v>
      </c>
      <c r="ED160" s="22">
        <f t="shared" si="178"/>
        <v>0.16757203614452748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-1.1368683772161603E-13</v>
      </c>
      <c r="EK160" s="17">
        <f>EJ160*VLOOKUP('Données projet'!$B$15,Paramètres!$A$1:$I$89,3,0)*VLOOKUP('Données projet'!$B$15,Paramètres!$A$1:$I$89,5,0)</f>
        <v>-5.3205440053716299E-14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123.60520571614535</v>
      </c>
      <c r="EP160" s="59">
        <f t="shared" si="154"/>
        <v>119.00926870519527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7.0123207711818417E-2</v>
      </c>
      <c r="EW160" s="21">
        <f>EXP(-LN(2)/25)*EW159+(1-EXP(-LN(2)/25))/(LN(2)/25)*Calculateur!ER160*Calculateur!ET160*VLOOKUP('Données projet'!$B$15,Paramètres!$A$1:$I$89,3,0)*0.475*44/12</f>
        <v>0.14122151952287598</v>
      </c>
      <c r="EX160" s="21">
        <f>EXP(-LN(2)/2)*EX159+(1-EXP(-LN(2)/2))/(LN(2)/2)*ER160*EU160*VLOOKUP('Données projet'!$B$15,Paramètres!$A$1:$I$89,3,0)*0.475*44/12</f>
        <v>4.6870560237424724E-19</v>
      </c>
      <c r="EY160" s="22">
        <f t="shared" si="181"/>
        <v>0.21134472723469439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-2.2737367544323206E-13</v>
      </c>
      <c r="FF160" s="17">
        <f>FE160*VLOOKUP('Données projet'!$B$16,Paramètres!$A$1:$I$89,3,0)*VLOOKUP('Données projet'!$B$16,Paramètres!$A$1:$I$89,5,0)</f>
        <v>-1.0936673788819462E-13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197.66963254934603</v>
      </c>
      <c r="FK160" s="59">
        <f t="shared" si="156"/>
        <v>158.08388141976138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0.2156457350017861</v>
      </c>
      <c r="FR160" s="21">
        <f>EXP(-LN(2)/25)*FR159+(1-EXP(-LN(2)/25))/(LN(2)/25)*Calculateur!FM160*Calculateur!FO160*VLOOKUP('Données projet'!$B$16,Paramètres!$A$1:$I$89,3,0)*0.475*44/12</f>
        <v>0.15708473153258168</v>
      </c>
      <c r="FS160" s="21">
        <f>EXP(-LN(2)/2)*FS159+(1-EXP(-LN(2)/2))/(LN(2)/2)*FM160*FP160*VLOOKUP('Données projet'!$B$16,Paramètres!$A$1:$I$89,3,0)*0.475*44/12</f>
        <v>6.3462836452672603E-19</v>
      </c>
      <c r="FT160" s="22">
        <f t="shared" si="184"/>
        <v>0.37273046653436781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5.6843418860808015E-14</v>
      </c>
      <c r="GA160" s="17">
        <f>FZ160*VLOOKUP('Données projet'!$B$17,Paramètres!$A$1:$I$89,3,0)*VLOOKUP('Données projet'!$B$17,Paramètres!$A$1:$I$89,5,0)</f>
        <v>3.3992364478763198E-14</v>
      </c>
      <c r="GB160" s="13">
        <f t="shared" si="185"/>
        <v>5.790027782444094E-13</v>
      </c>
      <c r="GC160" s="20">
        <f t="shared" si="186"/>
        <v>1.0676332069095257E-12</v>
      </c>
      <c r="GD160" s="59">
        <f t="shared" si="134"/>
        <v>293.33333333333439</v>
      </c>
      <c r="GE160" s="59">
        <f ca="1">AVERAGE(OFFSET($GD$3,0,0,'Données projet'!$E$17+1,1))-AVERAGE(OFFSET($H$3,0,0,'Données projet'!$E$17+1,1))</f>
        <v>165.39579887388538</v>
      </c>
      <c r="GF160" s="59">
        <f t="shared" si="158"/>
        <v>155.89639262545802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0.21550144130948817</v>
      </c>
      <c r="GN160" s="21">
        <f>EXP(-LN(2)/2)*GN159+(1-EXP(-LN(2)/2))/(LN(2)/2)*GH160*GK160*VLOOKUP('Données projet'!$B$17,Paramètres!$A$1:$I$89,3,0)*0.475*44/12</f>
        <v>1.0641083708191727E-18</v>
      </c>
      <c r="GO160" s="21">
        <f t="shared" si="187"/>
        <v>0.21550144130948817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2.8421709430404007E-14</v>
      </c>
      <c r="GV160" s="17">
        <f>GU160*VLOOKUP('Données projet'!$B$18,Paramètres!$A$1:$I$89,3,0)*VLOOKUP('Données projet'!$B$18,Paramètres!$A$1:$I$89,5,0)</f>
        <v>3.0593128030886874E-14</v>
      </c>
      <c r="GW160" s="13">
        <f t="shared" si="188"/>
        <v>5.2753263159251616E-13</v>
      </c>
      <c r="GX160" s="20">
        <f t="shared" si="189"/>
        <v>9.7206903134409357E-13</v>
      </c>
      <c r="GY160" s="59">
        <f t="shared" si="137"/>
        <v>293.33333333333428</v>
      </c>
      <c r="GZ160" s="59">
        <f ca="1">AVERAGE(OFFSET($GY$3,0,0,'Données projet'!$E$18+1,1))-AVERAGE(OFFSET($H$3,0,0,'Données projet'!$E$18+1,1))</f>
        <v>186.60545265015247</v>
      </c>
      <c r="HA160" s="59">
        <f t="shared" si="160"/>
        <v>69.239647548491234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0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0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1.9065282685915009E-13</v>
      </c>
      <c r="P161" s="13">
        <f t="shared" si="141"/>
        <v>2.6568987209435707E-12</v>
      </c>
      <c r="Q161" s="20">
        <f t="shared" si="162"/>
        <v>4.959485612423072E-12</v>
      </c>
      <c r="R161" s="59">
        <f t="shared" si="109"/>
        <v>293.33333333333826</v>
      </c>
      <c r="S161" s="59">
        <f ca="1">AVERAGE(OFFSET($R$3,0,0,'Données projet'!$E$9+1,1))-AVERAGE(OFFSET($H$3,0,0,'Données projet'!$E$9+1,1))</f>
        <v>235.10258076192054</v>
      </c>
      <c r="T161" s="59">
        <f t="shared" si="142"/>
        <v>233.47316052603765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0.27156415286399521</v>
      </c>
      <c r="AA161" s="21">
        <f>EXP(-LN(2)/25)*AA160+(1-EXP(-LN(2)/25))/(LN(2)/25)*Calculateur!V161*Calculateur!X161*VLOOKUP('Données projet'!$B$9,Paramètres!$A$1:$I$89,3,0)*0.475*44/12</f>
        <v>0.53011103732882214</v>
      </c>
      <c r="AB161" s="21">
        <f>EXP(-LN(2)/2)*AB160+(1-EXP(-LN(2)/2))/(LN(2)/2)*V161*Y161*VLOOKUP('Données projet'!$B$9,Paramètres!$A$1:$I$89,3,0)*0.475*44/12</f>
        <v>1.3076606704294705E-18</v>
      </c>
      <c r="AC161" s="22">
        <f t="shared" si="163"/>
        <v>0.80167519019281741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2.2737367544323206E-13</v>
      </c>
      <c r="AJ161" s="13">
        <f>AI161*VLOOKUP('Données projet'!$B$10,Paramètres!$A$1:$I$89,3,0)*VLOOKUP('Données projet'!$B$10,Paramètres!$A$1:$I$89,5,0)</f>
        <v>1.2414602679200471E-13</v>
      </c>
      <c r="AK161" s="13">
        <f t="shared" si="164"/>
        <v>1.8186582995804361E-12</v>
      </c>
      <c r="AL161" s="20">
        <f t="shared" si="165"/>
        <v>3.3837175350986671E-12</v>
      </c>
      <c r="AM161" s="59">
        <f t="shared" si="113"/>
        <v>293.33333333333672</v>
      </c>
      <c r="AN161" s="59">
        <f ca="1">AVERAGE(OFFSET($AM$3,0,0,'Données projet'!$E$10+1,1))-AVERAGE(OFFSET($H$3,0,0,'Données projet'!$E$10+1,1))</f>
        <v>168.72306536277267</v>
      </c>
      <c r="AO161" s="59">
        <f t="shared" si="144"/>
        <v>203.35476578922339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0.24113518858959393</v>
      </c>
      <c r="AV161" s="21">
        <f>EXP(-LN(2)/25)*AV160+(1-EXP(-LN(2)/25))/(LN(2)/25)*Calculateur!AQ161*Calculateur!AS161*VLOOKUP('Données projet'!$B$10,Paramètres!$A$1:$I$89,3,0)*0.475*44/12</f>
        <v>0.66095415551040382</v>
      </c>
      <c r="AW161" s="21">
        <f>EXP(-LN(2)/2)*AW160+(1-EXP(-LN(2)/2))/(LN(2)/2)*AQ161*AT161*VLOOKUP('Données projet'!$B$10,Paramètres!$A$1:$I$89,3,0)*0.475*44/12</f>
        <v>1.0854949004592856E-18</v>
      </c>
      <c r="AX161" s="21">
        <f t="shared" si="166"/>
        <v>0.90208934409999775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3.3992364478763198E-14</v>
      </c>
      <c r="BF161" s="13">
        <f t="shared" si="167"/>
        <v>5.790027782444094E-13</v>
      </c>
      <c r="BG161" s="20">
        <f t="shared" si="168"/>
        <v>1.0676332069095257E-12</v>
      </c>
      <c r="BH161" s="59">
        <f t="shared" si="116"/>
        <v>293.33333333333439</v>
      </c>
      <c r="BI161" s="59">
        <f ca="1">AVERAGE(OFFSET($BH$3,0,0,'Données projet'!$E$11+1,1))-AVERAGE(OFFSET($H$3,0,0,'Données projet'!$E$11+1,1))</f>
        <v>165.39579887388538</v>
      </c>
      <c r="BJ161" s="59">
        <f t="shared" si="146"/>
        <v>155.89639262545802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0.20960854306415194</v>
      </c>
      <c r="BR161" s="21">
        <f>EXP(-LN(2)/2)*BR160+(1-EXP(-LN(2)/2))/(LN(2)/2)*BL161*BO161*VLOOKUP('Données projet'!$B$11,Paramètres!$A$1:$I$89,3,0)*0.475*44/12</f>
        <v>7.5243824492360636E-19</v>
      </c>
      <c r="BS161" s="22">
        <f t="shared" si="169"/>
        <v>0.20960854306415194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2.8421709430404007E-14</v>
      </c>
      <c r="BZ161" s="13">
        <f>BY161*VLOOKUP('Données projet'!$B$12,Paramètres!$A$1:$I$89,3,0)*VLOOKUP('Données projet'!$B$12,Paramètres!$A$1:$I$89,5,0)</f>
        <v>2.7489477361086758E-14</v>
      </c>
      <c r="CA161" s="13">
        <f t="shared" si="170"/>
        <v>4.7995394886724981E-13</v>
      </c>
      <c r="CB161" s="20">
        <f t="shared" si="171"/>
        <v>8.8379730068101964E-13</v>
      </c>
      <c r="CC161" s="59">
        <f t="shared" si="119"/>
        <v>293.33333333333422</v>
      </c>
      <c r="CD161" s="59">
        <f ca="1">AVERAGE(OFFSET($CC$3,0,0,'Données projet'!$E$12+1,1))-AVERAGE(OFFSET($H$3,0,0,'Données projet'!$E$12+1,1))</f>
        <v>156.26368818265388</v>
      </c>
      <c r="CE161" s="59">
        <f t="shared" si="148"/>
        <v>56.347130462109817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2.8421709430404007E-14</v>
      </c>
      <c r="CU161" s="17">
        <f>CT161*VLOOKUP('Données projet'!$B$13,Paramètres!$A$1:$I$89,3,0)*VLOOKUP('Données projet'!$B$13,Paramètres!$A$1:$I$89,5,0)</f>
        <v>2.3055690689943732E-14</v>
      </c>
      <c r="CV161" s="13">
        <f t="shared" si="173"/>
        <v>4.10868481342271E-13</v>
      </c>
      <c r="CW161" s="20">
        <f t="shared" si="174"/>
        <v>7.5575126628944061E-13</v>
      </c>
      <c r="CX161" s="59">
        <f t="shared" si="122"/>
        <v>293.33333333333405</v>
      </c>
      <c r="CY161" s="59">
        <f ca="1">AVERAGE(OFFSET($CX$3,0,0,'Données projet'!$E$13+1,1))-AVERAGE(OFFSET($H$3,0,0,'Données projet'!$E$13+1,1))</f>
        <v>112.78807760743126</v>
      </c>
      <c r="CZ161" s="59">
        <f t="shared" si="150"/>
        <v>37.867745922003564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-8.5265128291212022E-14</v>
      </c>
      <c r="DP161" s="17">
        <f>DO161*VLOOKUP('Données projet'!$B$14,Paramètres!$A$1:$I$89,3,0)*VLOOKUP('Données projet'!$B$14,Paramètres!$A$1:$I$89,5,0)</f>
        <v>-5.7195848057745024E-14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107.15837202366862</v>
      </c>
      <c r="DU161" s="59">
        <f t="shared" si="152"/>
        <v>139.67031833740026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0.16298977000392498</v>
      </c>
      <c r="EC161" s="21">
        <f>EXP(-LN(2)/2)*EC160+(1-EXP(-LN(2)/2))/(LN(2)/2)*DW161*DZ161*VLOOKUP('Données projet'!$B$14,Paramètres!$A$1:$I$89,3,0)*0.475*44/12</f>
        <v>3.6588980303710791E-19</v>
      </c>
      <c r="ED161" s="22">
        <f t="shared" si="178"/>
        <v>0.16298977000392498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-1.1368683772161603E-13</v>
      </c>
      <c r="EK161" s="17">
        <f>EJ161*VLOOKUP('Données projet'!$B$15,Paramètres!$A$1:$I$89,3,0)*VLOOKUP('Données projet'!$B$15,Paramètres!$A$1:$I$89,5,0)</f>
        <v>-5.3205440053716299E-14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123.60520571614535</v>
      </c>
      <c r="EP161" s="59">
        <f t="shared" si="154"/>
        <v>119.00926870519527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6.8748134379523082E-2</v>
      </c>
      <c r="EW161" s="21">
        <f>EXP(-LN(2)/25)*EW160+(1-EXP(-LN(2)/25))/(LN(2)/25)*Calculateur!ER161*Calculateur!ET161*VLOOKUP('Données projet'!$B$15,Paramètres!$A$1:$I$89,3,0)*0.475*44/12</f>
        <v>0.13735980964500599</v>
      </c>
      <c r="EX161" s="21">
        <f>EXP(-LN(2)/2)*EX160+(1-EXP(-LN(2)/2))/(LN(2)/2)*ER161*EU161*VLOOKUP('Données projet'!$B$15,Paramètres!$A$1:$I$89,3,0)*0.475*44/12</f>
        <v>3.314249098189558E-19</v>
      </c>
      <c r="EY161" s="22">
        <f t="shared" si="181"/>
        <v>0.20610794402452909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-2.2737367544323206E-13</v>
      </c>
      <c r="FF161" s="17">
        <f>FE161*VLOOKUP('Données projet'!$B$16,Paramètres!$A$1:$I$89,3,0)*VLOOKUP('Données projet'!$B$16,Paramètres!$A$1:$I$89,5,0)</f>
        <v>-1.0936673788819462E-13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197.66963254934603</v>
      </c>
      <c r="FK161" s="59">
        <f t="shared" si="156"/>
        <v>158.08388141976138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0.21141705366931182</v>
      </c>
      <c r="FR161" s="21">
        <f>EXP(-LN(2)/25)*FR160+(1-EXP(-LN(2)/25))/(LN(2)/25)*Calculateur!FM161*Calculateur!FO161*VLOOKUP('Données projet'!$B$16,Paramètres!$A$1:$I$89,3,0)*0.475*44/12</f>
        <v>0.15278924128809623</v>
      </c>
      <c r="FS161" s="21">
        <f>EXP(-LN(2)/2)*FS160+(1-EXP(-LN(2)/2))/(LN(2)/2)*FM161*FP161*VLOOKUP('Données projet'!$B$16,Paramètres!$A$1:$I$89,3,0)*0.475*44/12</f>
        <v>4.4875002009017617E-19</v>
      </c>
      <c r="FT161" s="22">
        <f t="shared" si="184"/>
        <v>0.36420629495740808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5.6843418860808015E-14</v>
      </c>
      <c r="GA161" s="17">
        <f>FZ161*VLOOKUP('Données projet'!$B$17,Paramètres!$A$1:$I$89,3,0)*VLOOKUP('Données projet'!$B$17,Paramètres!$A$1:$I$89,5,0)</f>
        <v>3.3992364478763198E-14</v>
      </c>
      <c r="GB161" s="13">
        <f t="shared" si="185"/>
        <v>5.790027782444094E-13</v>
      </c>
      <c r="GC161" s="20">
        <f t="shared" si="186"/>
        <v>1.0676332069095257E-12</v>
      </c>
      <c r="GD161" s="59">
        <f t="shared" si="134"/>
        <v>293.33333333333439</v>
      </c>
      <c r="GE161" s="59">
        <f ca="1">AVERAGE(OFFSET($GD$3,0,0,'Données projet'!$E$17+1,1))-AVERAGE(OFFSET($H$3,0,0,'Données projet'!$E$17+1,1))</f>
        <v>165.39579887388538</v>
      </c>
      <c r="GF161" s="59">
        <f t="shared" si="158"/>
        <v>155.89639262545802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0.20960854306415194</v>
      </c>
      <c r="GN161" s="21">
        <f>EXP(-LN(2)/2)*GN160+(1-EXP(-LN(2)/2))/(LN(2)/2)*GH161*GK161*VLOOKUP('Données projet'!$B$17,Paramètres!$A$1:$I$89,3,0)*0.475*44/12</f>
        <v>7.5243824492360636E-19</v>
      </c>
      <c r="GO161" s="21">
        <f t="shared" si="187"/>
        <v>0.20960854306415194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2.8421709430404007E-14</v>
      </c>
      <c r="GV161" s="17">
        <f>GU161*VLOOKUP('Données projet'!$B$18,Paramètres!$A$1:$I$89,3,0)*VLOOKUP('Données projet'!$B$18,Paramètres!$A$1:$I$89,5,0)</f>
        <v>3.0593128030886874E-14</v>
      </c>
      <c r="GW161" s="13">
        <f t="shared" si="188"/>
        <v>5.2753263159251616E-13</v>
      </c>
      <c r="GX161" s="20">
        <f t="shared" si="189"/>
        <v>9.7206903134409357E-13</v>
      </c>
      <c r="GY161" s="59">
        <f t="shared" si="137"/>
        <v>293.33333333333428</v>
      </c>
      <c r="GZ161" s="59">
        <f ca="1">AVERAGE(OFFSET($GY$3,0,0,'Données projet'!$E$18+1,1))-AVERAGE(OFFSET($H$3,0,0,'Données projet'!$E$18+1,1))</f>
        <v>186.60545265015247</v>
      </c>
      <c r="HA161" s="59">
        <f t="shared" si="160"/>
        <v>69.239647548491234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0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0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1.9065282685915009E-13</v>
      </c>
      <c r="P162" s="13">
        <f t="shared" si="141"/>
        <v>2.6568987209435707E-12</v>
      </c>
      <c r="Q162" s="20">
        <f t="shared" si="162"/>
        <v>4.959485612423072E-12</v>
      </c>
      <c r="R162" s="59">
        <f t="shared" si="109"/>
        <v>293.33333333333826</v>
      </c>
      <c r="S162" s="59">
        <f ca="1">AVERAGE(OFFSET($R$3,0,0,'Données projet'!$E$9+1,1))-AVERAGE(OFFSET($H$3,0,0,'Données projet'!$E$9+1,1))</f>
        <v>235.10258076192054</v>
      </c>
      <c r="T162" s="59">
        <f t="shared" si="142"/>
        <v>233.47316052603765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0.26623894546411014</v>
      </c>
      <c r="AA162" s="21">
        <f>EXP(-LN(2)/25)*AA161+(1-EXP(-LN(2)/25))/(LN(2)/25)*Calculateur!V162*Calculateur!X162*VLOOKUP('Données projet'!$B$9,Paramètres!$A$1:$I$89,3,0)*0.475*44/12</f>
        <v>0.51561512313573765</v>
      </c>
      <c r="AB162" s="21">
        <f>EXP(-LN(2)/2)*AB161+(1-EXP(-LN(2)/2))/(LN(2)/2)*V162*Y162*VLOOKUP('Données projet'!$B$9,Paramètres!$A$1:$I$89,3,0)*0.475*44/12</f>
        <v>9.2465572755162559E-19</v>
      </c>
      <c r="AC162" s="22">
        <f t="shared" si="163"/>
        <v>0.78185406859984785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2.2737367544323206E-13</v>
      </c>
      <c r="AJ162" s="13">
        <f>AI162*VLOOKUP('Données projet'!$B$10,Paramètres!$A$1:$I$89,3,0)*VLOOKUP('Données projet'!$B$10,Paramètres!$A$1:$I$89,5,0)</f>
        <v>1.2414602679200471E-13</v>
      </c>
      <c r="AK162" s="13">
        <f t="shared" si="164"/>
        <v>1.8186582995804361E-12</v>
      </c>
      <c r="AL162" s="20">
        <f t="shared" si="165"/>
        <v>3.3837175350986671E-12</v>
      </c>
      <c r="AM162" s="59">
        <f t="shared" si="113"/>
        <v>293.33333333333672</v>
      </c>
      <c r="AN162" s="59">
        <f ca="1">AVERAGE(OFFSET($AM$3,0,0,'Données projet'!$E$10+1,1))-AVERAGE(OFFSET($H$3,0,0,'Données projet'!$E$10+1,1))</f>
        <v>168.72306536277267</v>
      </c>
      <c r="AO162" s="59">
        <f t="shared" si="144"/>
        <v>203.35476578922339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0.23640667461929429</v>
      </c>
      <c r="AV162" s="21">
        <f>EXP(-LN(2)/25)*AV161+(1-EXP(-LN(2)/25))/(LN(2)/25)*Calculateur!AQ162*Calculateur!AS162*VLOOKUP('Données projet'!$B$10,Paramètres!$A$1:$I$89,3,0)*0.475*44/12</f>
        <v>0.64288032936990347</v>
      </c>
      <c r="AW162" s="21">
        <f>EXP(-LN(2)/2)*AW161+(1-EXP(-LN(2)/2))/(LN(2)/2)*AQ162*AT162*VLOOKUP('Données projet'!$B$10,Paramètres!$A$1:$I$89,3,0)*0.475*44/12</f>
        <v>7.6756080505817726E-19</v>
      </c>
      <c r="AX162" s="21">
        <f t="shared" si="166"/>
        <v>0.87928700398919779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3.3992364478763198E-14</v>
      </c>
      <c r="BF162" s="13">
        <f t="shared" si="167"/>
        <v>5.790027782444094E-13</v>
      </c>
      <c r="BG162" s="20">
        <f t="shared" si="168"/>
        <v>1.0676332069095257E-12</v>
      </c>
      <c r="BH162" s="59">
        <f t="shared" si="116"/>
        <v>293.33333333333439</v>
      </c>
      <c r="BI162" s="59">
        <f ca="1">AVERAGE(OFFSET($BH$3,0,0,'Données projet'!$E$11+1,1))-AVERAGE(OFFSET($H$3,0,0,'Données projet'!$E$11+1,1))</f>
        <v>165.39579887388538</v>
      </c>
      <c r="BJ162" s="59">
        <f t="shared" si="146"/>
        <v>155.89639262545802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0.2038767864312285</v>
      </c>
      <c r="BR162" s="21">
        <f>EXP(-LN(2)/2)*BR161+(1-EXP(-LN(2)/2))/(LN(2)/2)*BL162*BO162*VLOOKUP('Données projet'!$B$11,Paramètres!$A$1:$I$89,3,0)*0.475*44/12</f>
        <v>5.3205418540958636E-19</v>
      </c>
      <c r="BS162" s="22">
        <f t="shared" si="169"/>
        <v>0.2038767864312285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2.8421709430404007E-14</v>
      </c>
      <c r="BZ162" s="13">
        <f>BY162*VLOOKUP('Données projet'!$B$12,Paramètres!$A$1:$I$89,3,0)*VLOOKUP('Données projet'!$B$12,Paramètres!$A$1:$I$89,5,0)</f>
        <v>2.7489477361086758E-14</v>
      </c>
      <c r="CA162" s="13">
        <f t="shared" si="170"/>
        <v>4.7995394886724981E-13</v>
      </c>
      <c r="CB162" s="20">
        <f t="shared" si="171"/>
        <v>8.8379730068101964E-13</v>
      </c>
      <c r="CC162" s="59">
        <f t="shared" si="119"/>
        <v>293.33333333333422</v>
      </c>
      <c r="CD162" s="59">
        <f ca="1">AVERAGE(OFFSET($CC$3,0,0,'Données projet'!$E$12+1,1))-AVERAGE(OFFSET($H$3,0,0,'Données projet'!$E$12+1,1))</f>
        <v>156.26368818265388</v>
      </c>
      <c r="CE162" s="59">
        <f t="shared" si="148"/>
        <v>56.347130462109817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2.8421709430404007E-14</v>
      </c>
      <c r="CU162" s="17">
        <f>CT162*VLOOKUP('Données projet'!$B$13,Paramètres!$A$1:$I$89,3,0)*VLOOKUP('Données projet'!$B$13,Paramètres!$A$1:$I$89,5,0)</f>
        <v>2.3055690689943732E-14</v>
      </c>
      <c r="CV162" s="13">
        <f t="shared" si="173"/>
        <v>4.10868481342271E-13</v>
      </c>
      <c r="CW162" s="20">
        <f t="shared" si="174"/>
        <v>7.5575126628944061E-13</v>
      </c>
      <c r="CX162" s="59">
        <f t="shared" si="122"/>
        <v>293.33333333333405</v>
      </c>
      <c r="CY162" s="59">
        <f ca="1">AVERAGE(OFFSET($CX$3,0,0,'Données projet'!$E$13+1,1))-AVERAGE(OFFSET($H$3,0,0,'Données projet'!$E$13+1,1))</f>
        <v>112.78807760743126</v>
      </c>
      <c r="CZ162" s="59">
        <f t="shared" si="150"/>
        <v>37.867745922003564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-8.5265128291212022E-14</v>
      </c>
      <c r="DP162" s="17">
        <f>DO162*VLOOKUP('Données projet'!$B$14,Paramètres!$A$1:$I$89,3,0)*VLOOKUP('Données projet'!$B$14,Paramètres!$A$1:$I$89,5,0)</f>
        <v>-5.7195848057745024E-14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107.15837202366862</v>
      </c>
      <c r="DU162" s="59">
        <f t="shared" si="152"/>
        <v>139.67031833740026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0.15853280617190815</v>
      </c>
      <c r="EC162" s="21">
        <f>EXP(-LN(2)/2)*EC161+(1-EXP(-LN(2)/2))/(LN(2)/2)*DW162*DZ162*VLOOKUP('Données projet'!$B$14,Paramètres!$A$1:$I$89,3,0)*0.475*44/12</f>
        <v>2.5872316089454923E-19</v>
      </c>
      <c r="ED162" s="22">
        <f t="shared" si="178"/>
        <v>0.15853280617190815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-1.1368683772161603E-13</v>
      </c>
      <c r="EK162" s="17">
        <f>EJ162*VLOOKUP('Données projet'!$B$15,Paramètres!$A$1:$I$89,3,0)*VLOOKUP('Données projet'!$B$15,Paramètres!$A$1:$I$89,5,0)</f>
        <v>-5.3205440053716299E-14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123.60520571614535</v>
      </c>
      <c r="EP162" s="59">
        <f t="shared" si="154"/>
        <v>119.00926870519527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6.7400025396562147E-2</v>
      </c>
      <c r="EW162" s="21">
        <f>EXP(-LN(2)/25)*EW161+(1-EXP(-LN(2)/25))/(LN(2)/25)*Calculateur!ER162*Calculateur!ET162*VLOOKUP('Données projet'!$B$15,Paramètres!$A$1:$I$89,3,0)*0.475*44/12</f>
        <v>0.13360369842682485</v>
      </c>
      <c r="EX162" s="21">
        <f>EXP(-LN(2)/2)*EX161+(1-EXP(-LN(2)/2))/(LN(2)/2)*ER162*EU162*VLOOKUP('Données projet'!$B$15,Paramètres!$A$1:$I$89,3,0)*0.475*44/12</f>
        <v>2.3435280118712362E-19</v>
      </c>
      <c r="EY162" s="22">
        <f t="shared" si="181"/>
        <v>0.20100372382338699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-2.2737367544323206E-13</v>
      </c>
      <c r="FF162" s="17">
        <f>FE162*VLOOKUP('Données projet'!$B$16,Paramètres!$A$1:$I$89,3,0)*VLOOKUP('Données projet'!$B$16,Paramètres!$A$1:$I$89,5,0)</f>
        <v>-1.0936673788819462E-13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197.66963254934603</v>
      </c>
      <c r="FK162" s="59">
        <f t="shared" si="156"/>
        <v>158.08388141976138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0.20727129419852644</v>
      </c>
      <c r="FR162" s="21">
        <f>EXP(-LN(2)/25)*FR161+(1-EXP(-LN(2)/25))/(LN(2)/25)*Calculateur!FM162*Calculateur!FO162*VLOOKUP('Données projet'!$B$16,Paramètres!$A$1:$I$89,3,0)*0.475*44/12</f>
        <v>0.14861121145023626</v>
      </c>
      <c r="FS162" s="21">
        <f>EXP(-LN(2)/2)*FS161+(1-EXP(-LN(2)/2))/(LN(2)/2)*FM162*FP162*VLOOKUP('Données projet'!$B$16,Paramètres!$A$1:$I$89,3,0)*0.475*44/12</f>
        <v>3.1731418226336301E-19</v>
      </c>
      <c r="FT162" s="22">
        <f t="shared" si="184"/>
        <v>0.35588250564876267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5.6843418860808015E-14</v>
      </c>
      <c r="GA162" s="17">
        <f>FZ162*VLOOKUP('Données projet'!$B$17,Paramètres!$A$1:$I$89,3,0)*VLOOKUP('Données projet'!$B$17,Paramètres!$A$1:$I$89,5,0)</f>
        <v>3.3992364478763198E-14</v>
      </c>
      <c r="GB162" s="13">
        <f t="shared" si="185"/>
        <v>5.790027782444094E-13</v>
      </c>
      <c r="GC162" s="20">
        <f t="shared" si="186"/>
        <v>1.0676332069095257E-12</v>
      </c>
      <c r="GD162" s="59">
        <f t="shared" si="134"/>
        <v>293.33333333333439</v>
      </c>
      <c r="GE162" s="59">
        <f ca="1">AVERAGE(OFFSET($GD$3,0,0,'Données projet'!$E$17+1,1))-AVERAGE(OFFSET($H$3,0,0,'Données projet'!$E$17+1,1))</f>
        <v>165.39579887388538</v>
      </c>
      <c r="GF162" s="59">
        <f t="shared" si="158"/>
        <v>155.89639262545802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0.2038767864312285</v>
      </c>
      <c r="GN162" s="21">
        <f>EXP(-LN(2)/2)*GN161+(1-EXP(-LN(2)/2))/(LN(2)/2)*GH162*GK162*VLOOKUP('Données projet'!$B$17,Paramètres!$A$1:$I$89,3,0)*0.475*44/12</f>
        <v>5.3205418540958636E-19</v>
      </c>
      <c r="GO162" s="21">
        <f t="shared" si="187"/>
        <v>0.2038767864312285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2.8421709430404007E-14</v>
      </c>
      <c r="GV162" s="17">
        <f>GU162*VLOOKUP('Données projet'!$B$18,Paramètres!$A$1:$I$89,3,0)*VLOOKUP('Données projet'!$B$18,Paramètres!$A$1:$I$89,5,0)</f>
        <v>3.0593128030886874E-14</v>
      </c>
      <c r="GW162" s="13">
        <f t="shared" si="188"/>
        <v>5.2753263159251616E-13</v>
      </c>
      <c r="GX162" s="20">
        <f t="shared" si="189"/>
        <v>9.7206903134409357E-13</v>
      </c>
      <c r="GY162" s="59">
        <f t="shared" si="137"/>
        <v>293.33333333333428</v>
      </c>
      <c r="GZ162" s="59">
        <f ca="1">AVERAGE(OFFSET($GY$3,0,0,'Données projet'!$E$18+1,1))-AVERAGE(OFFSET($H$3,0,0,'Données projet'!$E$18+1,1))</f>
        <v>186.60545265015247</v>
      </c>
      <c r="HA162" s="59">
        <f t="shared" si="160"/>
        <v>69.239647548491234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0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0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1.9065282685915009E-13</v>
      </c>
      <c r="P163" s="13">
        <f t="shared" si="141"/>
        <v>2.6568987209435707E-12</v>
      </c>
      <c r="Q163" s="20">
        <f t="shared" si="162"/>
        <v>4.959485612423072E-12</v>
      </c>
      <c r="R163" s="59">
        <f t="shared" si="109"/>
        <v>293.33333333333826</v>
      </c>
      <c r="S163" s="59">
        <f ca="1">AVERAGE(OFFSET($R$3,0,0,'Données projet'!$E$9+1,1))-AVERAGE(OFFSET($H$3,0,0,'Données projet'!$E$9+1,1))</f>
        <v>235.10258076192054</v>
      </c>
      <c r="T163" s="59">
        <f t="shared" si="142"/>
        <v>233.47316052603765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0.26101816213328105</v>
      </c>
      <c r="AA163" s="21">
        <f>EXP(-LN(2)/25)*AA162+(1-EXP(-LN(2)/25))/(LN(2)/25)*Calculateur!V163*Calculateur!X163*VLOOKUP('Données projet'!$B$9,Paramètres!$A$1:$I$89,3,0)*0.475*44/12</f>
        <v>0.50151560047857002</v>
      </c>
      <c r="AB163" s="21">
        <f>EXP(-LN(2)/2)*AB162+(1-EXP(-LN(2)/2))/(LN(2)/2)*V163*Y163*VLOOKUP('Données projet'!$B$9,Paramètres!$A$1:$I$89,3,0)*0.475*44/12</f>
        <v>6.5383033521473523E-19</v>
      </c>
      <c r="AC163" s="22">
        <f t="shared" si="163"/>
        <v>0.76253376261185113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2.2737367544323206E-13</v>
      </c>
      <c r="AJ163" s="13">
        <f>AI163*VLOOKUP('Données projet'!$B$10,Paramètres!$A$1:$I$89,3,0)*VLOOKUP('Données projet'!$B$10,Paramètres!$A$1:$I$89,5,0)</f>
        <v>1.2414602679200471E-13</v>
      </c>
      <c r="AK163" s="13">
        <f t="shared" si="164"/>
        <v>1.8186582995804361E-12</v>
      </c>
      <c r="AL163" s="20">
        <f t="shared" si="165"/>
        <v>3.3837175350986671E-12</v>
      </c>
      <c r="AM163" s="59">
        <f t="shared" si="113"/>
        <v>293.33333333333672</v>
      </c>
      <c r="AN163" s="59">
        <f ca="1">AVERAGE(OFFSET($AM$3,0,0,'Données projet'!$E$10+1,1))-AVERAGE(OFFSET($H$3,0,0,'Données projet'!$E$10+1,1))</f>
        <v>168.72306536277267</v>
      </c>
      <c r="AO163" s="59">
        <f t="shared" si="144"/>
        <v>203.35476578922339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0.23177088392384348</v>
      </c>
      <c r="AV163" s="21">
        <f>EXP(-LN(2)/25)*AV162+(1-EXP(-LN(2)/25))/(LN(2)/25)*Calculateur!AQ163*Calculateur!AS163*VLOOKUP('Données projet'!$B$10,Paramètres!$A$1:$I$89,3,0)*0.475*44/12</f>
        <v>0.62530073295567623</v>
      </c>
      <c r="AW163" s="21">
        <f>EXP(-LN(2)/2)*AW162+(1-EXP(-LN(2)/2))/(LN(2)/2)*AQ163*AT163*VLOOKUP('Données projet'!$B$10,Paramètres!$A$1:$I$89,3,0)*0.475*44/12</f>
        <v>5.427474502296428E-19</v>
      </c>
      <c r="AX163" s="21">
        <f t="shared" si="166"/>
        <v>0.85707161687951972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3.3992364478763198E-14</v>
      </c>
      <c r="BF163" s="13">
        <f t="shared" si="167"/>
        <v>5.790027782444094E-13</v>
      </c>
      <c r="BG163" s="20">
        <f t="shared" si="168"/>
        <v>1.0676332069095257E-12</v>
      </c>
      <c r="BH163" s="59">
        <f t="shared" si="116"/>
        <v>293.33333333333439</v>
      </c>
      <c r="BI163" s="59">
        <f ca="1">AVERAGE(OFFSET($BH$3,0,0,'Données projet'!$E$11+1,1))-AVERAGE(OFFSET($H$3,0,0,'Données projet'!$E$11+1,1))</f>
        <v>165.39579887388538</v>
      </c>
      <c r="BJ163" s="59">
        <f t="shared" si="146"/>
        <v>155.89639262545802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0.19830176498485233</v>
      </c>
      <c r="BR163" s="21">
        <f>EXP(-LN(2)/2)*BR162+(1-EXP(-LN(2)/2))/(LN(2)/2)*BL163*BO163*VLOOKUP('Données projet'!$B$11,Paramètres!$A$1:$I$89,3,0)*0.475*44/12</f>
        <v>3.7621912246180318E-19</v>
      </c>
      <c r="BS163" s="22">
        <f t="shared" si="169"/>
        <v>0.19830176498485233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2.8421709430404007E-14</v>
      </c>
      <c r="BZ163" s="13">
        <f>BY163*VLOOKUP('Données projet'!$B$12,Paramètres!$A$1:$I$89,3,0)*VLOOKUP('Données projet'!$B$12,Paramètres!$A$1:$I$89,5,0)</f>
        <v>2.7489477361086758E-14</v>
      </c>
      <c r="CA163" s="13">
        <f t="shared" si="170"/>
        <v>4.7995394886724981E-13</v>
      </c>
      <c r="CB163" s="20">
        <f t="shared" si="171"/>
        <v>8.8379730068101964E-13</v>
      </c>
      <c r="CC163" s="59">
        <f t="shared" si="119"/>
        <v>293.33333333333422</v>
      </c>
      <c r="CD163" s="59">
        <f ca="1">AVERAGE(OFFSET($CC$3,0,0,'Données projet'!$E$12+1,1))-AVERAGE(OFFSET($H$3,0,0,'Données projet'!$E$12+1,1))</f>
        <v>156.26368818265388</v>
      </c>
      <c r="CE163" s="59">
        <f t="shared" si="148"/>
        <v>56.347130462109817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2.8421709430404007E-14</v>
      </c>
      <c r="CU163" s="17">
        <f>CT163*VLOOKUP('Données projet'!$B$13,Paramètres!$A$1:$I$89,3,0)*VLOOKUP('Données projet'!$B$13,Paramètres!$A$1:$I$89,5,0)</f>
        <v>2.3055690689943732E-14</v>
      </c>
      <c r="CV163" s="13">
        <f t="shared" si="173"/>
        <v>4.10868481342271E-13</v>
      </c>
      <c r="CW163" s="20">
        <f t="shared" si="174"/>
        <v>7.5575126628944061E-13</v>
      </c>
      <c r="CX163" s="59">
        <f t="shared" si="122"/>
        <v>293.33333333333405</v>
      </c>
      <c r="CY163" s="59">
        <f ca="1">AVERAGE(OFFSET($CX$3,0,0,'Données projet'!$E$13+1,1))-AVERAGE(OFFSET($H$3,0,0,'Données projet'!$E$13+1,1))</f>
        <v>112.78807760743126</v>
      </c>
      <c r="CZ163" s="59">
        <f t="shared" si="150"/>
        <v>37.867745922003564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-8.5265128291212022E-14</v>
      </c>
      <c r="DP163" s="17">
        <f>DO163*VLOOKUP('Données projet'!$B$14,Paramètres!$A$1:$I$89,3,0)*VLOOKUP('Données projet'!$B$14,Paramètres!$A$1:$I$89,5,0)</f>
        <v>-5.7195848057745024E-14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107.15837202366862</v>
      </c>
      <c r="DU163" s="59">
        <f t="shared" si="152"/>
        <v>139.67031833740026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0.15419771825025938</v>
      </c>
      <c r="EC163" s="21">
        <f>EXP(-LN(2)/2)*EC162+(1-EXP(-LN(2)/2))/(LN(2)/2)*DW163*DZ163*VLOOKUP('Données projet'!$B$14,Paramètres!$A$1:$I$89,3,0)*0.475*44/12</f>
        <v>1.8294490151855396E-19</v>
      </c>
      <c r="ED163" s="22">
        <f t="shared" si="178"/>
        <v>0.15419771825025938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-1.1368683772161603E-13</v>
      </c>
      <c r="EK163" s="17">
        <f>EJ163*VLOOKUP('Données projet'!$B$15,Paramètres!$A$1:$I$89,3,0)*VLOOKUP('Données projet'!$B$15,Paramètres!$A$1:$I$89,5,0)</f>
        <v>-5.3205440053716299E-14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123.60520571614535</v>
      </c>
      <c r="EP163" s="59">
        <f t="shared" si="154"/>
        <v>119.00926870519527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6.6078352008491784E-2</v>
      </c>
      <c r="EW163" s="21">
        <f>EXP(-LN(2)/25)*EW162+(1-EXP(-LN(2)/25))/(LN(2)/25)*Calculateur!ER163*Calculateur!ET163*VLOOKUP('Données projet'!$B$15,Paramètres!$A$1:$I$89,3,0)*0.475*44/12</f>
        <v>0.12995029826743018</v>
      </c>
      <c r="EX163" s="21">
        <f>EXP(-LN(2)/2)*EX162+(1-EXP(-LN(2)/2))/(LN(2)/2)*ER163*EU163*VLOOKUP('Données projet'!$B$15,Paramètres!$A$1:$I$89,3,0)*0.475*44/12</f>
        <v>1.657124549094779E-19</v>
      </c>
      <c r="EY163" s="22">
        <f t="shared" si="181"/>
        <v>0.19602865027592198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-2.2737367544323206E-13</v>
      </c>
      <c r="FF163" s="17">
        <f>FE163*VLOOKUP('Données projet'!$B$16,Paramètres!$A$1:$I$89,3,0)*VLOOKUP('Données projet'!$B$16,Paramètres!$A$1:$I$89,5,0)</f>
        <v>-1.0936673788819462E-13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197.66963254934603</v>
      </c>
      <c r="FK163" s="59">
        <f t="shared" si="156"/>
        <v>158.08388141976138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0.20320683054229957</v>
      </c>
      <c r="FR163" s="21">
        <f>EXP(-LN(2)/25)*FR162+(1-EXP(-LN(2)/25))/(LN(2)/25)*Calculateur!FM163*Calculateur!FO163*VLOOKUP('Données projet'!$B$16,Paramètres!$A$1:$I$89,3,0)*0.475*44/12</f>
        <v>0.1445474300580056</v>
      </c>
      <c r="FS163" s="21">
        <f>EXP(-LN(2)/2)*FS162+(1-EXP(-LN(2)/2))/(LN(2)/2)*FM163*FP163*VLOOKUP('Données projet'!$B$16,Paramètres!$A$1:$I$89,3,0)*0.475*44/12</f>
        <v>2.2437501004508808E-19</v>
      </c>
      <c r="FT163" s="22">
        <f t="shared" si="184"/>
        <v>0.34775426060030518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5.6843418860808015E-14</v>
      </c>
      <c r="GA163" s="17">
        <f>FZ163*VLOOKUP('Données projet'!$B$17,Paramètres!$A$1:$I$89,3,0)*VLOOKUP('Données projet'!$B$17,Paramètres!$A$1:$I$89,5,0)</f>
        <v>3.3992364478763198E-14</v>
      </c>
      <c r="GB163" s="13">
        <f t="shared" si="185"/>
        <v>5.790027782444094E-13</v>
      </c>
      <c r="GC163" s="20">
        <f t="shared" si="186"/>
        <v>1.0676332069095257E-12</v>
      </c>
      <c r="GD163" s="59">
        <f t="shared" si="134"/>
        <v>293.33333333333439</v>
      </c>
      <c r="GE163" s="59">
        <f ca="1">AVERAGE(OFFSET($GD$3,0,0,'Données projet'!$E$17+1,1))-AVERAGE(OFFSET($H$3,0,0,'Données projet'!$E$17+1,1))</f>
        <v>165.39579887388538</v>
      </c>
      <c r="GF163" s="59">
        <f t="shared" si="158"/>
        <v>155.89639262545802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0.19830176498485233</v>
      </c>
      <c r="GN163" s="21">
        <f>EXP(-LN(2)/2)*GN162+(1-EXP(-LN(2)/2))/(LN(2)/2)*GH163*GK163*VLOOKUP('Données projet'!$B$17,Paramètres!$A$1:$I$89,3,0)*0.475*44/12</f>
        <v>3.7621912246180318E-19</v>
      </c>
      <c r="GO163" s="21">
        <f t="shared" si="187"/>
        <v>0.19830176498485233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2.8421709430404007E-14</v>
      </c>
      <c r="GV163" s="17">
        <f>GU163*VLOOKUP('Données projet'!$B$18,Paramètres!$A$1:$I$89,3,0)*VLOOKUP('Données projet'!$B$18,Paramètres!$A$1:$I$89,5,0)</f>
        <v>3.0593128030886874E-14</v>
      </c>
      <c r="GW163" s="13">
        <f t="shared" si="188"/>
        <v>5.2753263159251616E-13</v>
      </c>
      <c r="GX163" s="20">
        <f t="shared" si="189"/>
        <v>9.7206903134409357E-13</v>
      </c>
      <c r="GY163" s="59">
        <f t="shared" si="137"/>
        <v>293.33333333333428</v>
      </c>
      <c r="GZ163" s="59">
        <f ca="1">AVERAGE(OFFSET($GY$3,0,0,'Données projet'!$E$18+1,1))-AVERAGE(OFFSET($H$3,0,0,'Données projet'!$E$18+1,1))</f>
        <v>186.60545265015247</v>
      </c>
      <c r="HA163" s="59">
        <f t="shared" si="160"/>
        <v>69.239647548491234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0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0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1.9065282685915009E-13</v>
      </c>
      <c r="P164" s="13">
        <f t="shared" si="141"/>
        <v>2.6568987209435707E-12</v>
      </c>
      <c r="Q164" s="20">
        <f t="shared" si="162"/>
        <v>4.959485612423072E-12</v>
      </c>
      <c r="R164" s="59">
        <f t="shared" si="109"/>
        <v>293.33333333333826</v>
      </c>
      <c r="S164" s="59">
        <f ca="1">AVERAGE(OFFSET($R$3,0,0,'Données projet'!$E$9+1,1))-AVERAGE(OFFSET($H$3,0,0,'Données projet'!$E$9+1,1))</f>
        <v>235.10258076192054</v>
      </c>
      <c r="T164" s="59">
        <f t="shared" si="142"/>
        <v>233.47316052603765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0.2558997551792061</v>
      </c>
      <c r="AA164" s="21">
        <f>EXP(-LN(2)/25)*AA163+(1-EXP(-LN(2)/25))/(LN(2)/25)*Calculateur!V164*Calculateur!X164*VLOOKUP('Données projet'!$B$9,Paramètres!$A$1:$I$89,3,0)*0.475*44/12</f>
        <v>0.48780163000992433</v>
      </c>
      <c r="AB164" s="21">
        <f>EXP(-LN(2)/2)*AB163+(1-EXP(-LN(2)/2))/(LN(2)/2)*V164*Y164*VLOOKUP('Données projet'!$B$9,Paramètres!$A$1:$I$89,3,0)*0.475*44/12</f>
        <v>4.6232786377581279E-19</v>
      </c>
      <c r="AC164" s="22">
        <f t="shared" si="163"/>
        <v>0.74370138518913043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2.2737367544323206E-13</v>
      </c>
      <c r="AJ164" s="13">
        <f>AI164*VLOOKUP('Données projet'!$B$10,Paramètres!$A$1:$I$89,3,0)*VLOOKUP('Données projet'!$B$10,Paramètres!$A$1:$I$89,5,0)</f>
        <v>1.2414602679200471E-13</v>
      </c>
      <c r="AK164" s="13">
        <f t="shared" si="164"/>
        <v>1.8186582995804361E-12</v>
      </c>
      <c r="AL164" s="20">
        <f t="shared" si="165"/>
        <v>3.3837175350986671E-12</v>
      </c>
      <c r="AM164" s="59">
        <f t="shared" si="113"/>
        <v>293.33333333333672</v>
      </c>
      <c r="AN164" s="59">
        <f ca="1">AVERAGE(OFFSET($AM$3,0,0,'Données projet'!$E$10+1,1))-AVERAGE(OFFSET($H$3,0,0,'Données projet'!$E$10+1,1))</f>
        <v>168.72306536277267</v>
      </c>
      <c r="AO164" s="59">
        <f t="shared" si="144"/>
        <v>203.35476578922339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0.22722599825637735</v>
      </c>
      <c r="AV164" s="21">
        <f>EXP(-LN(2)/25)*AV163+(1-EXP(-LN(2)/25))/(LN(2)/25)*Calculateur!AQ164*Calculateur!AS164*VLOOKUP('Données projet'!$B$10,Paramètres!$A$1:$I$89,3,0)*0.475*44/12</f>
        <v>0.60820185152986683</v>
      </c>
      <c r="AW164" s="21">
        <f>EXP(-LN(2)/2)*AW163+(1-EXP(-LN(2)/2))/(LN(2)/2)*AQ164*AT164*VLOOKUP('Données projet'!$B$10,Paramètres!$A$1:$I$89,3,0)*0.475*44/12</f>
        <v>3.8378040252908863E-19</v>
      </c>
      <c r="AX164" s="21">
        <f t="shared" si="166"/>
        <v>0.83542784978624418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3.3992364478763198E-14</v>
      </c>
      <c r="BF164" s="13">
        <f t="shared" si="167"/>
        <v>5.790027782444094E-13</v>
      </c>
      <c r="BG164" s="20">
        <f t="shared" si="168"/>
        <v>1.0676332069095257E-12</v>
      </c>
      <c r="BH164" s="59">
        <f t="shared" si="116"/>
        <v>293.33333333333439</v>
      </c>
      <c r="BI164" s="59">
        <f ca="1">AVERAGE(OFFSET($BH$3,0,0,'Données projet'!$E$11+1,1))-AVERAGE(OFFSET($H$3,0,0,'Données projet'!$E$11+1,1))</f>
        <v>165.39579887388538</v>
      </c>
      <c r="BJ164" s="59">
        <f t="shared" si="146"/>
        <v>155.89639262545802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0.19287919279310495</v>
      </c>
      <c r="BR164" s="21">
        <f>EXP(-LN(2)/2)*BR163+(1-EXP(-LN(2)/2))/(LN(2)/2)*BL164*BO164*VLOOKUP('Données projet'!$B$11,Paramètres!$A$1:$I$89,3,0)*0.475*44/12</f>
        <v>2.6602709270479318E-19</v>
      </c>
      <c r="BS164" s="22">
        <f t="shared" si="169"/>
        <v>0.19287919279310495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2.8421709430404007E-14</v>
      </c>
      <c r="BZ164" s="13">
        <f>BY164*VLOOKUP('Données projet'!$B$12,Paramètres!$A$1:$I$89,3,0)*VLOOKUP('Données projet'!$B$12,Paramètres!$A$1:$I$89,5,0)</f>
        <v>2.7489477361086758E-14</v>
      </c>
      <c r="CA164" s="13">
        <f t="shared" si="170"/>
        <v>4.7995394886724981E-13</v>
      </c>
      <c r="CB164" s="20">
        <f t="shared" si="171"/>
        <v>8.8379730068101964E-13</v>
      </c>
      <c r="CC164" s="59">
        <f t="shared" si="119"/>
        <v>293.33333333333422</v>
      </c>
      <c r="CD164" s="59">
        <f ca="1">AVERAGE(OFFSET($CC$3,0,0,'Données projet'!$E$12+1,1))-AVERAGE(OFFSET($H$3,0,0,'Données projet'!$E$12+1,1))</f>
        <v>156.26368818265388</v>
      </c>
      <c r="CE164" s="59">
        <f t="shared" si="148"/>
        <v>56.347130462109817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2.8421709430404007E-14</v>
      </c>
      <c r="CU164" s="17">
        <f>CT164*VLOOKUP('Données projet'!$B$13,Paramètres!$A$1:$I$89,3,0)*VLOOKUP('Données projet'!$B$13,Paramètres!$A$1:$I$89,5,0)</f>
        <v>2.3055690689943732E-14</v>
      </c>
      <c r="CV164" s="13">
        <f t="shared" si="173"/>
        <v>4.10868481342271E-13</v>
      </c>
      <c r="CW164" s="20">
        <f t="shared" si="174"/>
        <v>7.5575126628944061E-13</v>
      </c>
      <c r="CX164" s="59">
        <f t="shared" si="122"/>
        <v>293.33333333333405</v>
      </c>
      <c r="CY164" s="59">
        <f ca="1">AVERAGE(OFFSET($CX$3,0,0,'Données projet'!$E$13+1,1))-AVERAGE(OFFSET($H$3,0,0,'Données projet'!$E$13+1,1))</f>
        <v>112.78807760743126</v>
      </c>
      <c r="CZ164" s="59">
        <f t="shared" si="150"/>
        <v>37.867745922003564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-8.5265128291212022E-14</v>
      </c>
      <c r="DP164" s="17">
        <f>DO164*VLOOKUP('Données projet'!$B$14,Paramètres!$A$1:$I$89,3,0)*VLOOKUP('Données projet'!$B$14,Paramètres!$A$1:$I$89,5,0)</f>
        <v>-5.7195848057745024E-14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107.15837202366862</v>
      </c>
      <c r="DU164" s="59">
        <f t="shared" si="152"/>
        <v>139.67031833740026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0.14998117353580045</v>
      </c>
      <c r="EC164" s="21">
        <f>EXP(-LN(2)/2)*EC163+(1-EXP(-LN(2)/2))/(LN(2)/2)*DW164*DZ164*VLOOKUP('Données projet'!$B$14,Paramètres!$A$1:$I$89,3,0)*0.475*44/12</f>
        <v>1.2936158044727462E-19</v>
      </c>
      <c r="ED164" s="22">
        <f t="shared" si="178"/>
        <v>0.14998117353580045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-1.1368683772161603E-13</v>
      </c>
      <c r="EK164" s="17">
        <f>EJ164*VLOOKUP('Données projet'!$B$15,Paramètres!$A$1:$I$89,3,0)*VLOOKUP('Données projet'!$B$15,Paramètres!$A$1:$I$89,5,0)</f>
        <v>-5.3205440053716299E-14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123.60520571614535</v>
      </c>
      <c r="EP164" s="59">
        <f t="shared" si="154"/>
        <v>119.00926870519527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6.4782595829420309E-2</v>
      </c>
      <c r="EW164" s="21">
        <f>EXP(-LN(2)/25)*EW163+(1-EXP(-LN(2)/25))/(LN(2)/25)*Calculateur!ER164*Calculateur!ET164*VLOOKUP('Données projet'!$B$15,Paramètres!$A$1:$I$89,3,0)*0.475*44/12</f>
        <v>0.12639680052751812</v>
      </c>
      <c r="EX164" s="21">
        <f>EXP(-LN(2)/2)*EX163+(1-EXP(-LN(2)/2))/(LN(2)/2)*ER164*EU164*VLOOKUP('Données projet'!$B$15,Paramètres!$A$1:$I$89,3,0)*0.475*44/12</f>
        <v>1.1717640059356181E-19</v>
      </c>
      <c r="EY164" s="22">
        <f t="shared" si="181"/>
        <v>0.19117939635693842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-2.2737367544323206E-13</v>
      </c>
      <c r="FF164" s="17">
        <f>FE164*VLOOKUP('Données projet'!$B$16,Paramètres!$A$1:$I$89,3,0)*VLOOKUP('Données projet'!$B$16,Paramètres!$A$1:$I$89,5,0)</f>
        <v>-1.0936673788819462E-13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197.66963254934603</v>
      </c>
      <c r="FK164" s="59">
        <f t="shared" si="156"/>
        <v>158.08388141976138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0.19922206853929325</v>
      </c>
      <c r="FR164" s="21">
        <f>EXP(-LN(2)/25)*FR163+(1-EXP(-LN(2)/25))/(LN(2)/25)*Calculateur!FM164*Calculateur!FO164*VLOOKUP('Données projet'!$B$16,Paramètres!$A$1:$I$89,3,0)*0.475*44/12</f>
        <v>0.14059477298165046</v>
      </c>
      <c r="FS164" s="21">
        <f>EXP(-LN(2)/2)*FS163+(1-EXP(-LN(2)/2))/(LN(2)/2)*FM164*FP164*VLOOKUP('Données projet'!$B$16,Paramètres!$A$1:$I$89,3,0)*0.475*44/12</f>
        <v>1.5865709113168151E-19</v>
      </c>
      <c r="FT164" s="22">
        <f t="shared" si="184"/>
        <v>0.33981684152094371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5.6843418860808015E-14</v>
      </c>
      <c r="GA164" s="17">
        <f>FZ164*VLOOKUP('Données projet'!$B$17,Paramètres!$A$1:$I$89,3,0)*VLOOKUP('Données projet'!$B$17,Paramètres!$A$1:$I$89,5,0)</f>
        <v>3.3992364478763198E-14</v>
      </c>
      <c r="GB164" s="13">
        <f t="shared" si="185"/>
        <v>5.790027782444094E-13</v>
      </c>
      <c r="GC164" s="20">
        <f t="shared" si="186"/>
        <v>1.0676332069095257E-12</v>
      </c>
      <c r="GD164" s="59">
        <f t="shared" si="134"/>
        <v>293.33333333333439</v>
      </c>
      <c r="GE164" s="59">
        <f ca="1">AVERAGE(OFFSET($GD$3,0,0,'Données projet'!$E$17+1,1))-AVERAGE(OFFSET($H$3,0,0,'Données projet'!$E$17+1,1))</f>
        <v>165.39579887388538</v>
      </c>
      <c r="GF164" s="59">
        <f t="shared" si="158"/>
        <v>155.89639262545802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0.19287919279310495</v>
      </c>
      <c r="GN164" s="21">
        <f>EXP(-LN(2)/2)*GN163+(1-EXP(-LN(2)/2))/(LN(2)/2)*GH164*GK164*VLOOKUP('Données projet'!$B$17,Paramètres!$A$1:$I$89,3,0)*0.475*44/12</f>
        <v>2.6602709270479318E-19</v>
      </c>
      <c r="GO164" s="21">
        <f t="shared" si="187"/>
        <v>0.19287919279310495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2.8421709430404007E-14</v>
      </c>
      <c r="GV164" s="17">
        <f>GU164*VLOOKUP('Données projet'!$B$18,Paramètres!$A$1:$I$89,3,0)*VLOOKUP('Données projet'!$B$18,Paramètres!$A$1:$I$89,5,0)</f>
        <v>3.0593128030886874E-14</v>
      </c>
      <c r="GW164" s="13">
        <f t="shared" si="188"/>
        <v>5.2753263159251616E-13</v>
      </c>
      <c r="GX164" s="20">
        <f t="shared" si="189"/>
        <v>9.7206903134409357E-13</v>
      </c>
      <c r="GY164" s="59">
        <f t="shared" si="137"/>
        <v>293.33333333333428</v>
      </c>
      <c r="GZ164" s="59">
        <f ca="1">AVERAGE(OFFSET($GY$3,0,0,'Données projet'!$E$18+1,1))-AVERAGE(OFFSET($H$3,0,0,'Données projet'!$E$18+1,1))</f>
        <v>186.60545265015247</v>
      </c>
      <c r="HA164" s="59">
        <f t="shared" si="160"/>
        <v>69.239647548491234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0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0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1.9065282685915009E-13</v>
      </c>
      <c r="P165" s="13">
        <f t="shared" si="141"/>
        <v>2.6568987209435707E-12</v>
      </c>
      <c r="Q165" s="20">
        <f t="shared" si="162"/>
        <v>4.959485612423072E-12</v>
      </c>
      <c r="R165" s="59">
        <f t="shared" si="109"/>
        <v>293.33333333333826</v>
      </c>
      <c r="S165" s="59">
        <f ca="1">AVERAGE(OFFSET($R$3,0,0,'Données projet'!$E$9+1,1))-AVERAGE(OFFSET($H$3,0,0,'Données projet'!$E$9+1,1))</f>
        <v>235.10258076192054</v>
      </c>
      <c r="T165" s="59">
        <f t="shared" si="142"/>
        <v>233.47316052603765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0.25088171706358059</v>
      </c>
      <c r="AA165" s="21">
        <f>EXP(-LN(2)/25)*AA164+(1-EXP(-LN(2)/25))/(LN(2)/25)*Calculateur!V165*Calculateur!X165*VLOOKUP('Données projet'!$B$9,Paramètres!$A$1:$I$89,3,0)*0.475*44/12</f>
        <v>0.4744626687849301</v>
      </c>
      <c r="AB165" s="21">
        <f>EXP(-LN(2)/2)*AB164+(1-EXP(-LN(2)/2))/(LN(2)/2)*V165*Y165*VLOOKUP('Données projet'!$B$9,Paramètres!$A$1:$I$89,3,0)*0.475*44/12</f>
        <v>3.2691516760736761E-19</v>
      </c>
      <c r="AC165" s="22">
        <f t="shared" si="163"/>
        <v>0.72534438584851069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2.2737367544323206E-13</v>
      </c>
      <c r="AJ165" s="13">
        <f>AI165*VLOOKUP('Données projet'!$B$10,Paramètres!$A$1:$I$89,3,0)*VLOOKUP('Données projet'!$B$10,Paramètres!$A$1:$I$89,5,0)</f>
        <v>1.2414602679200471E-13</v>
      </c>
      <c r="AK165" s="13">
        <f t="shared" si="164"/>
        <v>1.8186582995804361E-12</v>
      </c>
      <c r="AL165" s="20">
        <f t="shared" si="165"/>
        <v>3.3837175350986671E-12</v>
      </c>
      <c r="AM165" s="59">
        <f t="shared" si="113"/>
        <v>293.33333333333672</v>
      </c>
      <c r="AN165" s="59">
        <f ca="1">AVERAGE(OFFSET($AM$3,0,0,'Données projet'!$E$10+1,1))-AVERAGE(OFFSET($H$3,0,0,'Données projet'!$E$10+1,1))</f>
        <v>168.72306536277267</v>
      </c>
      <c r="AO165" s="59">
        <f t="shared" si="144"/>
        <v>203.35476578922339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0.22277023502474369</v>
      </c>
      <c r="AV165" s="21">
        <f>EXP(-LN(2)/25)*AV164+(1-EXP(-LN(2)/25))/(LN(2)/25)*Calculateur!AQ165*Calculateur!AS165*VLOOKUP('Données projet'!$B$10,Paramètres!$A$1:$I$89,3,0)*0.475*44/12</f>
        <v>0.5915705399158373</v>
      </c>
      <c r="AW165" s="21">
        <f>EXP(-LN(2)/2)*AW164+(1-EXP(-LN(2)/2))/(LN(2)/2)*AQ165*AT165*VLOOKUP('Données projet'!$B$10,Paramètres!$A$1:$I$89,3,0)*0.475*44/12</f>
        <v>2.713737251148214E-19</v>
      </c>
      <c r="AX165" s="21">
        <f t="shared" si="166"/>
        <v>0.81434077494058099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3.3992364478763198E-14</v>
      </c>
      <c r="BF165" s="13">
        <f t="shared" si="167"/>
        <v>5.790027782444094E-13</v>
      </c>
      <c r="BG165" s="20">
        <f t="shared" si="168"/>
        <v>1.0676332069095257E-12</v>
      </c>
      <c r="BH165" s="59">
        <f t="shared" si="116"/>
        <v>293.33333333333439</v>
      </c>
      <c r="BI165" s="59">
        <f ca="1">AVERAGE(OFFSET($BH$3,0,0,'Données projet'!$E$11+1,1))-AVERAGE(OFFSET($H$3,0,0,'Données projet'!$E$11+1,1))</f>
        <v>165.39579887388538</v>
      </c>
      <c r="BJ165" s="59">
        <f t="shared" si="146"/>
        <v>155.89639262545802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0.18760490112310158</v>
      </c>
      <c r="BR165" s="21">
        <f>EXP(-LN(2)/2)*BR164+(1-EXP(-LN(2)/2))/(LN(2)/2)*BL165*BO165*VLOOKUP('Données projet'!$B$11,Paramètres!$A$1:$I$89,3,0)*0.475*44/12</f>
        <v>1.8810956123090159E-19</v>
      </c>
      <c r="BS165" s="22">
        <f t="shared" si="169"/>
        <v>0.18760490112310158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2.8421709430404007E-14</v>
      </c>
      <c r="BZ165" s="13">
        <f>BY165*VLOOKUP('Données projet'!$B$12,Paramètres!$A$1:$I$89,3,0)*VLOOKUP('Données projet'!$B$12,Paramètres!$A$1:$I$89,5,0)</f>
        <v>2.7489477361086758E-14</v>
      </c>
      <c r="CA165" s="13">
        <f t="shared" si="170"/>
        <v>4.7995394886724981E-13</v>
      </c>
      <c r="CB165" s="20">
        <f t="shared" si="171"/>
        <v>8.8379730068101964E-13</v>
      </c>
      <c r="CC165" s="59">
        <f t="shared" si="119"/>
        <v>293.33333333333422</v>
      </c>
      <c r="CD165" s="59">
        <f ca="1">AVERAGE(OFFSET($CC$3,0,0,'Données projet'!$E$12+1,1))-AVERAGE(OFFSET($H$3,0,0,'Données projet'!$E$12+1,1))</f>
        <v>156.26368818265388</v>
      </c>
      <c r="CE165" s="59">
        <f t="shared" si="148"/>
        <v>56.347130462109817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2.8421709430404007E-14</v>
      </c>
      <c r="CU165" s="17">
        <f>CT165*VLOOKUP('Données projet'!$B$13,Paramètres!$A$1:$I$89,3,0)*VLOOKUP('Données projet'!$B$13,Paramètres!$A$1:$I$89,5,0)</f>
        <v>2.3055690689943732E-14</v>
      </c>
      <c r="CV165" s="13">
        <f t="shared" si="173"/>
        <v>4.10868481342271E-13</v>
      </c>
      <c r="CW165" s="20">
        <f t="shared" si="174"/>
        <v>7.5575126628944061E-13</v>
      </c>
      <c r="CX165" s="59">
        <f t="shared" si="122"/>
        <v>293.33333333333405</v>
      </c>
      <c r="CY165" s="59">
        <f ca="1">AVERAGE(OFFSET($CX$3,0,0,'Données projet'!$E$13+1,1))-AVERAGE(OFFSET($H$3,0,0,'Données projet'!$E$13+1,1))</f>
        <v>112.78807760743126</v>
      </c>
      <c r="CZ165" s="59">
        <f t="shared" si="150"/>
        <v>37.867745922003564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-8.5265128291212022E-14</v>
      </c>
      <c r="DP165" s="17">
        <f>DO165*VLOOKUP('Données projet'!$B$14,Paramètres!$A$1:$I$89,3,0)*VLOOKUP('Données projet'!$B$14,Paramètres!$A$1:$I$89,5,0)</f>
        <v>-5.7195848057745024E-14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107.15837202366862</v>
      </c>
      <c r="DU165" s="59">
        <f t="shared" si="152"/>
        <v>139.67031833740026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0.14587993045829686</v>
      </c>
      <c r="EC165" s="21">
        <f>EXP(-LN(2)/2)*EC164+(1-EXP(-LN(2)/2))/(LN(2)/2)*DW165*DZ165*VLOOKUP('Données projet'!$B$14,Paramètres!$A$1:$I$89,3,0)*0.475*44/12</f>
        <v>9.1472450759276978E-20</v>
      </c>
      <c r="ED165" s="22">
        <f t="shared" si="178"/>
        <v>0.14587993045829686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-1.1368683772161603E-13</v>
      </c>
      <c r="EK165" s="17">
        <f>EJ165*VLOOKUP('Données projet'!$B$15,Paramètres!$A$1:$I$89,3,0)*VLOOKUP('Données projet'!$B$15,Paramètres!$A$1:$I$89,5,0)</f>
        <v>-5.3205440053716299E-14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123.60520571614535</v>
      </c>
      <c r="EP165" s="59">
        <f t="shared" si="154"/>
        <v>119.00926870519527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6.3512248638687194E-2</v>
      </c>
      <c r="EW165" s="21">
        <f>EXP(-LN(2)/25)*EW164+(1-EXP(-LN(2)/25))/(LN(2)/25)*Calculateur!ER165*Calculateur!ET165*VLOOKUP('Données projet'!$B$15,Paramètres!$A$1:$I$89,3,0)*0.475*44/12</f>
        <v>0.12294047337017427</v>
      </c>
      <c r="EX165" s="21">
        <f>EXP(-LN(2)/2)*EX164+(1-EXP(-LN(2)/2))/(LN(2)/2)*ER165*EU165*VLOOKUP('Données projet'!$B$15,Paramètres!$A$1:$I$89,3,0)*0.475*44/12</f>
        <v>8.285622745473895E-20</v>
      </c>
      <c r="EY165" s="22">
        <f t="shared" si="181"/>
        <v>0.18645272200886148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-2.2737367544323206E-13</v>
      </c>
      <c r="FF165" s="17">
        <f>FE165*VLOOKUP('Données projet'!$B$16,Paramètres!$A$1:$I$89,3,0)*VLOOKUP('Données projet'!$B$16,Paramètres!$A$1:$I$89,5,0)</f>
        <v>-1.0936673788819462E-13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197.66963254934603</v>
      </c>
      <c r="FK165" s="59">
        <f t="shared" si="156"/>
        <v>158.08388141976138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0.19531544528870107</v>
      </c>
      <c r="FR165" s="21">
        <f>EXP(-LN(2)/25)*FR164+(1-EXP(-LN(2)/25))/(LN(2)/25)*Calculateur!FM165*Calculateur!FO165*VLOOKUP('Données projet'!$B$16,Paramètres!$A$1:$I$89,3,0)*0.475*44/12</f>
        <v>0.13675020152090944</v>
      </c>
      <c r="FS165" s="21">
        <f>EXP(-LN(2)/2)*FS164+(1-EXP(-LN(2)/2))/(LN(2)/2)*FM165*FP165*VLOOKUP('Données projet'!$B$16,Paramètres!$A$1:$I$89,3,0)*0.475*44/12</f>
        <v>1.1218750502254404E-19</v>
      </c>
      <c r="FT165" s="22">
        <f t="shared" si="184"/>
        <v>0.33206564680961048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5.6843418860808015E-14</v>
      </c>
      <c r="GA165" s="17">
        <f>FZ165*VLOOKUP('Données projet'!$B$17,Paramètres!$A$1:$I$89,3,0)*VLOOKUP('Données projet'!$B$17,Paramètres!$A$1:$I$89,5,0)</f>
        <v>3.3992364478763198E-14</v>
      </c>
      <c r="GB165" s="13">
        <f t="shared" si="185"/>
        <v>5.790027782444094E-13</v>
      </c>
      <c r="GC165" s="20">
        <f t="shared" si="186"/>
        <v>1.0676332069095257E-12</v>
      </c>
      <c r="GD165" s="59">
        <f t="shared" si="134"/>
        <v>293.33333333333439</v>
      </c>
      <c r="GE165" s="59">
        <f ca="1">AVERAGE(OFFSET($GD$3,0,0,'Données projet'!$E$17+1,1))-AVERAGE(OFFSET($H$3,0,0,'Données projet'!$E$17+1,1))</f>
        <v>165.39579887388538</v>
      </c>
      <c r="GF165" s="59">
        <f t="shared" si="158"/>
        <v>155.89639262545802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0.18760490112310158</v>
      </c>
      <c r="GN165" s="21">
        <f>EXP(-LN(2)/2)*GN164+(1-EXP(-LN(2)/2))/(LN(2)/2)*GH165*GK165*VLOOKUP('Données projet'!$B$17,Paramètres!$A$1:$I$89,3,0)*0.475*44/12</f>
        <v>1.8810956123090159E-19</v>
      </c>
      <c r="GO165" s="21">
        <f t="shared" si="187"/>
        <v>0.18760490112310158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2.8421709430404007E-14</v>
      </c>
      <c r="GV165" s="17">
        <f>GU165*VLOOKUP('Données projet'!$B$18,Paramètres!$A$1:$I$89,3,0)*VLOOKUP('Données projet'!$B$18,Paramètres!$A$1:$I$89,5,0)</f>
        <v>3.0593128030886874E-14</v>
      </c>
      <c r="GW165" s="13">
        <f t="shared" si="188"/>
        <v>5.2753263159251616E-13</v>
      </c>
      <c r="GX165" s="20">
        <f t="shared" si="189"/>
        <v>9.7206903134409357E-13</v>
      </c>
      <c r="GY165" s="59">
        <f t="shared" si="137"/>
        <v>293.33333333333428</v>
      </c>
      <c r="GZ165" s="59">
        <f ca="1">AVERAGE(OFFSET($GY$3,0,0,'Données projet'!$E$18+1,1))-AVERAGE(OFFSET($H$3,0,0,'Données projet'!$E$18+1,1))</f>
        <v>186.60545265015247</v>
      </c>
      <c r="HA165" s="59">
        <f t="shared" si="160"/>
        <v>69.239647548491234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0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0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1.9065282685915009E-13</v>
      </c>
      <c r="P166" s="13">
        <f t="shared" si="141"/>
        <v>2.6568987209435707E-12</v>
      </c>
      <c r="Q166" s="20">
        <f t="shared" si="162"/>
        <v>4.959485612423072E-12</v>
      </c>
      <c r="R166" s="59">
        <f t="shared" si="109"/>
        <v>293.33333333333826</v>
      </c>
      <c r="S166" s="59">
        <f ca="1">AVERAGE(OFFSET($R$3,0,0,'Données projet'!$E$9+1,1))-AVERAGE(OFFSET($H$3,0,0,'Données projet'!$E$9+1,1))</f>
        <v>235.10258076192054</v>
      </c>
      <c r="T166" s="59">
        <f t="shared" si="142"/>
        <v>233.47316052603765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0.24596207961470143</v>
      </c>
      <c r="AA166" s="21">
        <f>EXP(-LN(2)/25)*AA165+(1-EXP(-LN(2)/25))/(LN(2)/25)*Calculateur!V166*Calculateur!X166*VLOOKUP('Données projet'!$B$9,Paramètres!$A$1:$I$89,3,0)*0.475*44/12</f>
        <v>0.46148846215609884</v>
      </c>
      <c r="AB166" s="21">
        <f>EXP(-LN(2)/2)*AB165+(1-EXP(-LN(2)/2))/(LN(2)/2)*V166*Y166*VLOOKUP('Données projet'!$B$9,Paramètres!$A$1:$I$89,3,0)*0.475*44/12</f>
        <v>2.311639318879064E-19</v>
      </c>
      <c r="AC166" s="22">
        <f t="shared" si="163"/>
        <v>0.70745054177080025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2.2737367544323206E-13</v>
      </c>
      <c r="AJ166" s="13">
        <f>AI166*VLOOKUP('Données projet'!$B$10,Paramètres!$A$1:$I$89,3,0)*VLOOKUP('Données projet'!$B$10,Paramètres!$A$1:$I$89,5,0)</f>
        <v>1.2414602679200471E-13</v>
      </c>
      <c r="AK166" s="13">
        <f t="shared" si="164"/>
        <v>1.8186582995804361E-12</v>
      </c>
      <c r="AL166" s="20">
        <f t="shared" si="165"/>
        <v>3.3837175350986671E-12</v>
      </c>
      <c r="AM166" s="59">
        <f t="shared" si="113"/>
        <v>293.33333333333672</v>
      </c>
      <c r="AN166" s="59">
        <f ca="1">AVERAGE(OFFSET($AM$3,0,0,'Données projet'!$E$10+1,1))-AVERAGE(OFFSET($H$3,0,0,'Données projet'!$E$10+1,1))</f>
        <v>168.72306536277267</v>
      </c>
      <c r="AO166" s="59">
        <f t="shared" si="144"/>
        <v>203.35476578922339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0.21840184659233514</v>
      </c>
      <c r="AV166" s="21">
        <f>EXP(-LN(2)/25)*AV165+(1-EXP(-LN(2)/25))/(LN(2)/25)*Calculateur!AQ166*Calculateur!AS166*VLOOKUP('Données projet'!$B$10,Paramètres!$A$1:$I$89,3,0)*0.475*44/12</f>
        <v>0.5753940123924961</v>
      </c>
      <c r="AW166" s="21">
        <f>EXP(-LN(2)/2)*AW165+(1-EXP(-LN(2)/2))/(LN(2)/2)*AQ166*AT166*VLOOKUP('Données projet'!$B$10,Paramètres!$A$1:$I$89,3,0)*0.475*44/12</f>
        <v>1.9189020126454431E-19</v>
      </c>
      <c r="AX166" s="21">
        <f t="shared" si="166"/>
        <v>0.79379585898483129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3.3992364478763198E-14</v>
      </c>
      <c r="BF166" s="13">
        <f t="shared" si="167"/>
        <v>5.790027782444094E-13</v>
      </c>
      <c r="BG166" s="20">
        <f t="shared" si="168"/>
        <v>1.0676332069095257E-12</v>
      </c>
      <c r="BH166" s="59">
        <f t="shared" si="116"/>
        <v>293.33333333333439</v>
      </c>
      <c r="BI166" s="59">
        <f ca="1">AVERAGE(OFFSET($BH$3,0,0,'Données projet'!$E$11+1,1))-AVERAGE(OFFSET($H$3,0,0,'Données projet'!$E$11+1,1))</f>
        <v>165.39579887388538</v>
      </c>
      <c r="BJ166" s="59">
        <f t="shared" si="146"/>
        <v>155.89639262545802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0.18247483523617739</v>
      </c>
      <c r="BR166" s="21">
        <f>EXP(-LN(2)/2)*BR165+(1-EXP(-LN(2)/2))/(LN(2)/2)*BL166*BO166*VLOOKUP('Données projet'!$B$11,Paramètres!$A$1:$I$89,3,0)*0.475*44/12</f>
        <v>1.3301354635239659E-19</v>
      </c>
      <c r="BS166" s="22">
        <f t="shared" si="169"/>
        <v>0.18247483523617739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2.8421709430404007E-14</v>
      </c>
      <c r="BZ166" s="13">
        <f>BY166*VLOOKUP('Données projet'!$B$12,Paramètres!$A$1:$I$89,3,0)*VLOOKUP('Données projet'!$B$12,Paramètres!$A$1:$I$89,5,0)</f>
        <v>2.7489477361086758E-14</v>
      </c>
      <c r="CA166" s="13">
        <f t="shared" si="170"/>
        <v>4.7995394886724981E-13</v>
      </c>
      <c r="CB166" s="20">
        <f t="shared" si="171"/>
        <v>8.8379730068101964E-13</v>
      </c>
      <c r="CC166" s="59">
        <f t="shared" si="119"/>
        <v>293.33333333333422</v>
      </c>
      <c r="CD166" s="59">
        <f ca="1">AVERAGE(OFFSET($CC$3,0,0,'Données projet'!$E$12+1,1))-AVERAGE(OFFSET($H$3,0,0,'Données projet'!$E$12+1,1))</f>
        <v>156.26368818265388</v>
      </c>
      <c r="CE166" s="59">
        <f t="shared" si="148"/>
        <v>56.347130462109817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2.8421709430404007E-14</v>
      </c>
      <c r="CU166" s="17">
        <f>CT166*VLOOKUP('Données projet'!$B$13,Paramètres!$A$1:$I$89,3,0)*VLOOKUP('Données projet'!$B$13,Paramètres!$A$1:$I$89,5,0)</f>
        <v>2.3055690689943732E-14</v>
      </c>
      <c r="CV166" s="13">
        <f t="shared" si="173"/>
        <v>4.10868481342271E-13</v>
      </c>
      <c r="CW166" s="20">
        <f t="shared" si="174"/>
        <v>7.5575126628944061E-13</v>
      </c>
      <c r="CX166" s="59">
        <f t="shared" si="122"/>
        <v>293.33333333333405</v>
      </c>
      <c r="CY166" s="59">
        <f ca="1">AVERAGE(OFFSET($CX$3,0,0,'Données projet'!$E$13+1,1))-AVERAGE(OFFSET($H$3,0,0,'Données projet'!$E$13+1,1))</f>
        <v>112.78807760743126</v>
      </c>
      <c r="CZ166" s="59">
        <f t="shared" si="150"/>
        <v>37.867745922003564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-8.5265128291212022E-14</v>
      </c>
      <c r="DP166" s="17">
        <f>DO166*VLOOKUP('Données projet'!$B$14,Paramètres!$A$1:$I$89,3,0)*VLOOKUP('Données projet'!$B$14,Paramètres!$A$1:$I$89,5,0)</f>
        <v>-5.7195848057745024E-14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107.15837202366862</v>
      </c>
      <c r="DU166" s="59">
        <f t="shared" si="152"/>
        <v>139.67031833740026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0.14189083608842259</v>
      </c>
      <c r="EC166" s="21">
        <f>EXP(-LN(2)/2)*EC165+(1-EXP(-LN(2)/2))/(LN(2)/2)*DW166*DZ166*VLOOKUP('Données projet'!$B$14,Paramètres!$A$1:$I$89,3,0)*0.475*44/12</f>
        <v>6.4680790223637308E-20</v>
      </c>
      <c r="ED166" s="22">
        <f t="shared" si="178"/>
        <v>0.14189083608842259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-1.1368683772161603E-13</v>
      </c>
      <c r="EK166" s="17">
        <f>EJ166*VLOOKUP('Données projet'!$B$15,Paramètres!$A$1:$I$89,3,0)*VLOOKUP('Données projet'!$B$15,Paramètres!$A$1:$I$89,5,0)</f>
        <v>-5.3205440053716299E-14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123.60520571614535</v>
      </c>
      <c r="EP166" s="59">
        <f t="shared" si="154"/>
        <v>119.00926870519527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6.2266812181529081E-2</v>
      </c>
      <c r="EW166" s="21">
        <f>EXP(-LN(2)/25)*EW165+(1-EXP(-LN(2)/25))/(LN(2)/25)*Calculateur!ER166*Calculateur!ET166*VLOOKUP('Données projet'!$B$15,Paramètres!$A$1:$I$89,3,0)*0.475*44/12</f>
        <v>0.11957865966070835</v>
      </c>
      <c r="EX166" s="21">
        <f>EXP(-LN(2)/2)*EX165+(1-EXP(-LN(2)/2))/(LN(2)/2)*ER166*EU166*VLOOKUP('Données projet'!$B$15,Paramètres!$A$1:$I$89,3,0)*0.475*44/12</f>
        <v>5.8588200296780905E-20</v>
      </c>
      <c r="EY166" s="22">
        <f t="shared" si="181"/>
        <v>0.18184547184223743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-2.2737367544323206E-13</v>
      </c>
      <c r="FF166" s="17">
        <f>FE166*VLOOKUP('Données projet'!$B$16,Paramètres!$A$1:$I$89,3,0)*VLOOKUP('Données projet'!$B$16,Paramètres!$A$1:$I$89,5,0)</f>
        <v>-1.0936673788819462E-13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197.66963254934603</v>
      </c>
      <c r="FK166" s="59">
        <f t="shared" si="156"/>
        <v>158.08388141976138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0.19148542853724809</v>
      </c>
      <c r="FR166" s="21">
        <f>EXP(-LN(2)/25)*FR165+(1-EXP(-LN(2)/25))/(LN(2)/25)*Calculateur!FM166*Calculateur!FO166*VLOOKUP('Données projet'!$B$16,Paramètres!$A$1:$I$89,3,0)*0.475*44/12</f>
        <v>0.13301076006893961</v>
      </c>
      <c r="FS166" s="21">
        <f>EXP(-LN(2)/2)*FS165+(1-EXP(-LN(2)/2))/(LN(2)/2)*FM166*FP166*VLOOKUP('Données projet'!$B$16,Paramètres!$A$1:$I$89,3,0)*0.475*44/12</f>
        <v>7.9328545565840754E-20</v>
      </c>
      <c r="FT166" s="22">
        <f t="shared" si="184"/>
        <v>0.32449618860618767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5.6843418860808015E-14</v>
      </c>
      <c r="GA166" s="17">
        <f>FZ166*VLOOKUP('Données projet'!$B$17,Paramètres!$A$1:$I$89,3,0)*VLOOKUP('Données projet'!$B$17,Paramètres!$A$1:$I$89,5,0)</f>
        <v>3.3992364478763198E-14</v>
      </c>
      <c r="GB166" s="13">
        <f t="shared" si="185"/>
        <v>5.790027782444094E-13</v>
      </c>
      <c r="GC166" s="20">
        <f t="shared" si="186"/>
        <v>1.0676332069095257E-12</v>
      </c>
      <c r="GD166" s="59">
        <f t="shared" si="134"/>
        <v>293.33333333333439</v>
      </c>
      <c r="GE166" s="59">
        <f ca="1">AVERAGE(OFFSET($GD$3,0,0,'Données projet'!$E$17+1,1))-AVERAGE(OFFSET($H$3,0,0,'Données projet'!$E$17+1,1))</f>
        <v>165.39579887388538</v>
      </c>
      <c r="GF166" s="59">
        <f t="shared" si="158"/>
        <v>155.89639262545802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0.18247483523617739</v>
      </c>
      <c r="GN166" s="21">
        <f>EXP(-LN(2)/2)*GN165+(1-EXP(-LN(2)/2))/(LN(2)/2)*GH166*GK166*VLOOKUP('Données projet'!$B$17,Paramètres!$A$1:$I$89,3,0)*0.475*44/12</f>
        <v>1.3301354635239659E-19</v>
      </c>
      <c r="GO166" s="21">
        <f t="shared" si="187"/>
        <v>0.18247483523617739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2.8421709430404007E-14</v>
      </c>
      <c r="GV166" s="17">
        <f>GU166*VLOOKUP('Données projet'!$B$18,Paramètres!$A$1:$I$89,3,0)*VLOOKUP('Données projet'!$B$18,Paramètres!$A$1:$I$89,5,0)</f>
        <v>3.0593128030886874E-14</v>
      </c>
      <c r="GW166" s="13">
        <f t="shared" si="188"/>
        <v>5.2753263159251616E-13</v>
      </c>
      <c r="GX166" s="20">
        <f t="shared" si="189"/>
        <v>9.7206903134409357E-13</v>
      </c>
      <c r="GY166" s="59">
        <f t="shared" si="137"/>
        <v>293.33333333333428</v>
      </c>
      <c r="GZ166" s="59">
        <f ca="1">AVERAGE(OFFSET($GY$3,0,0,'Données projet'!$E$18+1,1))-AVERAGE(OFFSET($H$3,0,0,'Données projet'!$E$18+1,1))</f>
        <v>186.60545265015247</v>
      </c>
      <c r="HA166" s="59">
        <f t="shared" si="160"/>
        <v>69.239647548491234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0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0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1.9065282685915009E-13</v>
      </c>
      <c r="P167" s="13">
        <f t="shared" si="141"/>
        <v>2.6568987209435707E-12</v>
      </c>
      <c r="Q167" s="20">
        <f t="shared" si="162"/>
        <v>4.959485612423072E-12</v>
      </c>
      <c r="R167" s="59">
        <f t="shared" si="109"/>
        <v>293.33333333333826</v>
      </c>
      <c r="S167" s="59">
        <f ca="1">AVERAGE(OFFSET($R$3,0,0,'Données projet'!$E$9+1,1))-AVERAGE(OFFSET($H$3,0,0,'Données projet'!$E$9+1,1))</f>
        <v>235.10258076192054</v>
      </c>
      <c r="T167" s="59">
        <f t="shared" si="142"/>
        <v>233.47316052603765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0.24113891325551226</v>
      </c>
      <c r="AA167" s="21">
        <f>EXP(-LN(2)/25)*AA166+(1-EXP(-LN(2)/25))/(LN(2)/25)*Calculateur!V167*Calculateur!X167*VLOOKUP('Données projet'!$B$9,Paramètres!$A$1:$I$89,3,0)*0.475*44/12</f>
        <v>0.44886903588981686</v>
      </c>
      <c r="AB167" s="21">
        <f>EXP(-LN(2)/2)*AB166+(1-EXP(-LN(2)/2))/(LN(2)/2)*V167*Y167*VLOOKUP('Données projet'!$B$9,Paramètres!$A$1:$I$89,3,0)*0.475*44/12</f>
        <v>1.6345758380368381E-19</v>
      </c>
      <c r="AC167" s="22">
        <f t="shared" si="163"/>
        <v>0.69000794914532915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2.2737367544323206E-13</v>
      </c>
      <c r="AJ167" s="13">
        <f>AI167*VLOOKUP('Données projet'!$B$10,Paramètres!$A$1:$I$89,3,0)*VLOOKUP('Données projet'!$B$10,Paramètres!$A$1:$I$89,5,0)</f>
        <v>1.2414602679200471E-13</v>
      </c>
      <c r="AK167" s="13">
        <f t="shared" si="164"/>
        <v>1.8186582995804361E-12</v>
      </c>
      <c r="AL167" s="20">
        <f t="shared" si="165"/>
        <v>3.3837175350986671E-12</v>
      </c>
      <c r="AM167" s="59">
        <f t="shared" si="113"/>
        <v>293.33333333333672</v>
      </c>
      <c r="AN167" s="59">
        <f ca="1">AVERAGE(OFFSET($AM$3,0,0,'Données projet'!$E$10+1,1))-AVERAGE(OFFSET($H$3,0,0,'Données projet'!$E$10+1,1))</f>
        <v>168.72306536277267</v>
      </c>
      <c r="AO167" s="59">
        <f t="shared" si="144"/>
        <v>203.35476578922339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0.21411911959263227</v>
      </c>
      <c r="AV167" s="21">
        <f>EXP(-LN(2)/25)*AV166+(1-EXP(-LN(2)/25))/(LN(2)/25)*Calculateur!AQ167*Calculateur!AS167*VLOOKUP('Données projet'!$B$10,Paramètres!$A$1:$I$89,3,0)*0.475*44/12</f>
        <v>0.55965983286496723</v>
      </c>
      <c r="AW167" s="21">
        <f>EXP(-LN(2)/2)*AW166+(1-EXP(-LN(2)/2))/(LN(2)/2)*AQ167*AT167*VLOOKUP('Données projet'!$B$10,Paramètres!$A$1:$I$89,3,0)*0.475*44/12</f>
        <v>1.356868625574107E-19</v>
      </c>
      <c r="AX167" s="21">
        <f t="shared" si="166"/>
        <v>0.77377895245759953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3.3992364478763198E-14</v>
      </c>
      <c r="BF167" s="13">
        <f t="shared" si="167"/>
        <v>5.790027782444094E-13</v>
      </c>
      <c r="BG167" s="20">
        <f t="shared" si="168"/>
        <v>1.0676332069095257E-12</v>
      </c>
      <c r="BH167" s="59">
        <f t="shared" si="116"/>
        <v>293.33333333333439</v>
      </c>
      <c r="BI167" s="59">
        <f ca="1">AVERAGE(OFFSET($BH$3,0,0,'Données projet'!$E$11+1,1))-AVERAGE(OFFSET($H$3,0,0,'Données projet'!$E$11+1,1))</f>
        <v>165.39579887388538</v>
      </c>
      <c r="BJ167" s="59">
        <f t="shared" si="146"/>
        <v>155.89639262545802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0.17748505127070957</v>
      </c>
      <c r="BR167" s="21">
        <f>EXP(-LN(2)/2)*BR166+(1-EXP(-LN(2)/2))/(LN(2)/2)*BL167*BO167*VLOOKUP('Données projet'!$B$11,Paramètres!$A$1:$I$89,3,0)*0.475*44/12</f>
        <v>9.4054780615450795E-20</v>
      </c>
      <c r="BS167" s="22">
        <f t="shared" si="169"/>
        <v>0.17748505127070957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2.8421709430404007E-14</v>
      </c>
      <c r="BZ167" s="13">
        <f>BY167*VLOOKUP('Données projet'!$B$12,Paramètres!$A$1:$I$89,3,0)*VLOOKUP('Données projet'!$B$12,Paramètres!$A$1:$I$89,5,0)</f>
        <v>2.7489477361086758E-14</v>
      </c>
      <c r="CA167" s="13">
        <f t="shared" si="170"/>
        <v>4.7995394886724981E-13</v>
      </c>
      <c r="CB167" s="20">
        <f t="shared" si="171"/>
        <v>8.8379730068101964E-13</v>
      </c>
      <c r="CC167" s="59">
        <f t="shared" si="119"/>
        <v>293.33333333333422</v>
      </c>
      <c r="CD167" s="59">
        <f ca="1">AVERAGE(OFFSET($CC$3,0,0,'Données projet'!$E$12+1,1))-AVERAGE(OFFSET($H$3,0,0,'Données projet'!$E$12+1,1))</f>
        <v>156.26368818265388</v>
      </c>
      <c r="CE167" s="59">
        <f t="shared" si="148"/>
        <v>56.347130462109817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2.8421709430404007E-14</v>
      </c>
      <c r="CU167" s="17">
        <f>CT167*VLOOKUP('Données projet'!$B$13,Paramètres!$A$1:$I$89,3,0)*VLOOKUP('Données projet'!$B$13,Paramètres!$A$1:$I$89,5,0)</f>
        <v>2.3055690689943732E-14</v>
      </c>
      <c r="CV167" s="13">
        <f t="shared" si="173"/>
        <v>4.10868481342271E-13</v>
      </c>
      <c r="CW167" s="20">
        <f t="shared" si="174"/>
        <v>7.5575126628944061E-13</v>
      </c>
      <c r="CX167" s="59">
        <f t="shared" si="122"/>
        <v>293.33333333333405</v>
      </c>
      <c r="CY167" s="59">
        <f ca="1">AVERAGE(OFFSET($CX$3,0,0,'Données projet'!$E$13+1,1))-AVERAGE(OFFSET($H$3,0,0,'Données projet'!$E$13+1,1))</f>
        <v>112.78807760743126</v>
      </c>
      <c r="CZ167" s="59">
        <f t="shared" si="150"/>
        <v>37.867745922003564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-8.5265128291212022E-14</v>
      </c>
      <c r="DP167" s="17">
        <f>DO167*VLOOKUP('Données projet'!$B$14,Paramètres!$A$1:$I$89,3,0)*VLOOKUP('Données projet'!$B$14,Paramètres!$A$1:$I$89,5,0)</f>
        <v>-5.7195848057745024E-14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107.15837202366862</v>
      </c>
      <c r="DU167" s="59">
        <f t="shared" si="152"/>
        <v>139.67031833740026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0.13801082371386991</v>
      </c>
      <c r="EC167" s="21">
        <f>EXP(-LN(2)/2)*EC166+(1-EXP(-LN(2)/2))/(LN(2)/2)*DW167*DZ167*VLOOKUP('Données projet'!$B$14,Paramètres!$A$1:$I$89,3,0)*0.475*44/12</f>
        <v>4.5736225379638489E-20</v>
      </c>
      <c r="ED167" s="22">
        <f t="shared" si="178"/>
        <v>0.13801082371386991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-1.1368683772161603E-13</v>
      </c>
      <c r="EK167" s="17">
        <f>EJ167*VLOOKUP('Données projet'!$B$15,Paramètres!$A$1:$I$89,3,0)*VLOOKUP('Données projet'!$B$15,Paramètres!$A$1:$I$89,5,0)</f>
        <v>-5.3205440053716299E-14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123.60520571614535</v>
      </c>
      <c r="EP167" s="59">
        <f t="shared" si="154"/>
        <v>119.00926870519527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6.1045797973654614E-2</v>
      </c>
      <c r="EW167" s="21">
        <f>EXP(-LN(2)/25)*EW166+(1-EXP(-LN(2)/25))/(LN(2)/25)*Calculateur!ER167*Calculateur!ET167*VLOOKUP('Données projet'!$B$15,Paramètres!$A$1:$I$89,3,0)*0.475*44/12</f>
        <v>0.11630877492391788</v>
      </c>
      <c r="EX167" s="21">
        <f>EXP(-LN(2)/2)*EX166+(1-EXP(-LN(2)/2))/(LN(2)/2)*ER167*EU167*VLOOKUP('Données projet'!$B$15,Paramètres!$A$1:$I$89,3,0)*0.475*44/12</f>
        <v>4.1428113727369475E-20</v>
      </c>
      <c r="EY167" s="22">
        <f t="shared" si="181"/>
        <v>0.1773545728975725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-2.2737367544323206E-13</v>
      </c>
      <c r="FF167" s="17">
        <f>FE167*VLOOKUP('Données projet'!$B$16,Paramètres!$A$1:$I$89,3,0)*VLOOKUP('Données projet'!$B$16,Paramètres!$A$1:$I$89,5,0)</f>
        <v>-1.0936673788819462E-13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197.66963254934603</v>
      </c>
      <c r="FK167" s="59">
        <f t="shared" si="156"/>
        <v>158.08388141976138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0.18773051607821156</v>
      </c>
      <c r="FR167" s="21">
        <f>EXP(-LN(2)/25)*FR166+(1-EXP(-LN(2)/25))/(LN(2)/25)*Calculateur!FM167*Calculateur!FO167*VLOOKUP('Données projet'!$B$16,Paramètres!$A$1:$I$89,3,0)*0.475*44/12</f>
        <v>0.12937357384012257</v>
      </c>
      <c r="FS167" s="21">
        <f>EXP(-LN(2)/2)*FS166+(1-EXP(-LN(2)/2))/(LN(2)/2)*FM167*FP167*VLOOKUP('Données projet'!$B$16,Paramètres!$A$1:$I$89,3,0)*0.475*44/12</f>
        <v>5.6093752511272021E-20</v>
      </c>
      <c r="FT167" s="22">
        <f t="shared" si="184"/>
        <v>0.31710408991833416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5.6843418860808015E-14</v>
      </c>
      <c r="GA167" s="17">
        <f>FZ167*VLOOKUP('Données projet'!$B$17,Paramètres!$A$1:$I$89,3,0)*VLOOKUP('Données projet'!$B$17,Paramètres!$A$1:$I$89,5,0)</f>
        <v>3.3992364478763198E-14</v>
      </c>
      <c r="GB167" s="13">
        <f t="shared" si="185"/>
        <v>5.790027782444094E-13</v>
      </c>
      <c r="GC167" s="20">
        <f t="shared" si="186"/>
        <v>1.0676332069095257E-12</v>
      </c>
      <c r="GD167" s="59">
        <f t="shared" si="134"/>
        <v>293.33333333333439</v>
      </c>
      <c r="GE167" s="59">
        <f ca="1">AVERAGE(OFFSET($GD$3,0,0,'Données projet'!$E$17+1,1))-AVERAGE(OFFSET($H$3,0,0,'Données projet'!$E$17+1,1))</f>
        <v>165.39579887388538</v>
      </c>
      <c r="GF167" s="59">
        <f t="shared" si="158"/>
        <v>155.89639262545802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0.17748505127070957</v>
      </c>
      <c r="GN167" s="21">
        <f>EXP(-LN(2)/2)*GN166+(1-EXP(-LN(2)/2))/(LN(2)/2)*GH167*GK167*VLOOKUP('Données projet'!$B$17,Paramètres!$A$1:$I$89,3,0)*0.475*44/12</f>
        <v>9.4054780615450795E-20</v>
      </c>
      <c r="GO167" s="21">
        <f t="shared" si="187"/>
        <v>0.17748505127070957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2.8421709430404007E-14</v>
      </c>
      <c r="GV167" s="17">
        <f>GU167*VLOOKUP('Données projet'!$B$18,Paramètres!$A$1:$I$89,3,0)*VLOOKUP('Données projet'!$B$18,Paramètres!$A$1:$I$89,5,0)</f>
        <v>3.0593128030886874E-14</v>
      </c>
      <c r="GW167" s="13">
        <f t="shared" si="188"/>
        <v>5.2753263159251616E-13</v>
      </c>
      <c r="GX167" s="20">
        <f t="shared" si="189"/>
        <v>9.7206903134409357E-13</v>
      </c>
      <c r="GY167" s="59">
        <f t="shared" si="137"/>
        <v>293.33333333333428</v>
      </c>
      <c r="GZ167" s="59">
        <f ca="1">AVERAGE(OFFSET($GY$3,0,0,'Données projet'!$E$18+1,1))-AVERAGE(OFFSET($H$3,0,0,'Données projet'!$E$18+1,1))</f>
        <v>186.60545265015247</v>
      </c>
      <c r="HA167" s="59">
        <f t="shared" si="160"/>
        <v>69.239647548491234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0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0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1.9065282685915009E-13</v>
      </c>
      <c r="P168" s="13">
        <f t="shared" si="141"/>
        <v>2.6568987209435707E-12</v>
      </c>
      <c r="Q168" s="20">
        <f t="shared" si="162"/>
        <v>4.959485612423072E-12</v>
      </c>
      <c r="R168" s="59">
        <f t="shared" si="109"/>
        <v>293.33333333333826</v>
      </c>
      <c r="S168" s="59">
        <f ca="1">AVERAGE(OFFSET($R$3,0,0,'Données projet'!$E$9+1,1))-AVERAGE(OFFSET($H$3,0,0,'Données projet'!$E$9+1,1))</f>
        <v>235.10258076192054</v>
      </c>
      <c r="T168" s="59">
        <f t="shared" si="142"/>
        <v>233.47316052603765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0.23641032624678579</v>
      </c>
      <c r="AA168" s="21">
        <f>EXP(-LN(2)/25)*AA167+(1-EXP(-LN(2)/25))/(LN(2)/25)*Calculateur!V168*Calculateur!X168*VLOOKUP('Données projet'!$B$9,Paramètres!$A$1:$I$89,3,0)*0.475*44/12</f>
        <v>0.4365946884984131</v>
      </c>
      <c r="AB168" s="21">
        <f>EXP(-LN(2)/2)*AB167+(1-EXP(-LN(2)/2))/(LN(2)/2)*V168*Y168*VLOOKUP('Données projet'!$B$9,Paramètres!$A$1:$I$89,3,0)*0.475*44/12</f>
        <v>1.155819659439532E-19</v>
      </c>
      <c r="AC168" s="22">
        <f t="shared" si="163"/>
        <v>0.67300501474519892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2.2737367544323206E-13</v>
      </c>
      <c r="AJ168" s="13">
        <f>AI168*VLOOKUP('Données projet'!$B$10,Paramètres!$A$1:$I$89,3,0)*VLOOKUP('Données projet'!$B$10,Paramètres!$A$1:$I$89,5,0)</f>
        <v>1.2414602679200471E-13</v>
      </c>
      <c r="AK168" s="13">
        <f t="shared" si="164"/>
        <v>1.8186582995804361E-12</v>
      </c>
      <c r="AL168" s="20">
        <f t="shared" si="165"/>
        <v>3.3837175350986671E-12</v>
      </c>
      <c r="AM168" s="59">
        <f t="shared" si="113"/>
        <v>293.33333333333672</v>
      </c>
      <c r="AN168" s="59">
        <f ca="1">AVERAGE(OFFSET($AM$3,0,0,'Données projet'!$E$10+1,1))-AVERAGE(OFFSET($H$3,0,0,'Données projet'!$E$10+1,1))</f>
        <v>168.72306536277267</v>
      </c>
      <c r="AO168" s="59">
        <f t="shared" si="144"/>
        <v>203.35476578922339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0.20992037425718804</v>
      </c>
      <c r="AV168" s="21">
        <f>EXP(-LN(2)/25)*AV167+(1-EXP(-LN(2)/25))/(LN(2)/25)*Calculateur!AQ168*Calculateur!AS168*VLOOKUP('Données projet'!$B$10,Paramètres!$A$1:$I$89,3,0)*0.475*44/12</f>
        <v>0.54435590530404321</v>
      </c>
      <c r="AW168" s="21">
        <f>EXP(-LN(2)/2)*AW167+(1-EXP(-LN(2)/2))/(LN(2)/2)*AQ168*AT168*VLOOKUP('Données projet'!$B$10,Paramètres!$A$1:$I$89,3,0)*0.475*44/12</f>
        <v>9.5945100632272157E-20</v>
      </c>
      <c r="AX168" s="21">
        <f t="shared" si="166"/>
        <v>0.75427627956123122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3.3992364478763198E-14</v>
      </c>
      <c r="BF168" s="13">
        <f t="shared" si="167"/>
        <v>5.790027782444094E-13</v>
      </c>
      <c r="BG168" s="20">
        <f t="shared" si="168"/>
        <v>1.0676332069095257E-12</v>
      </c>
      <c r="BH168" s="59">
        <f t="shared" si="116"/>
        <v>293.33333333333439</v>
      </c>
      <c r="BI168" s="59">
        <f ca="1">AVERAGE(OFFSET($BH$3,0,0,'Données projet'!$E$11+1,1))-AVERAGE(OFFSET($H$3,0,0,'Données projet'!$E$11+1,1))</f>
        <v>165.39579887388538</v>
      </c>
      <c r="BJ168" s="59">
        <f t="shared" si="146"/>
        <v>155.89639262545802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0.17263171321017881</v>
      </c>
      <c r="BR168" s="21">
        <f>EXP(-LN(2)/2)*BR167+(1-EXP(-LN(2)/2))/(LN(2)/2)*BL168*BO168*VLOOKUP('Données projet'!$B$11,Paramètres!$A$1:$I$89,3,0)*0.475*44/12</f>
        <v>6.6506773176198296E-20</v>
      </c>
      <c r="BS168" s="22">
        <f t="shared" si="169"/>
        <v>0.17263171321017881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2.8421709430404007E-14</v>
      </c>
      <c r="BZ168" s="13">
        <f>BY168*VLOOKUP('Données projet'!$B$12,Paramètres!$A$1:$I$89,3,0)*VLOOKUP('Données projet'!$B$12,Paramètres!$A$1:$I$89,5,0)</f>
        <v>2.7489477361086758E-14</v>
      </c>
      <c r="CA168" s="13">
        <f t="shared" si="170"/>
        <v>4.7995394886724981E-13</v>
      </c>
      <c r="CB168" s="20">
        <f t="shared" si="171"/>
        <v>8.8379730068101964E-13</v>
      </c>
      <c r="CC168" s="59">
        <f t="shared" si="119"/>
        <v>293.33333333333422</v>
      </c>
      <c r="CD168" s="59">
        <f ca="1">AVERAGE(OFFSET($CC$3,0,0,'Données projet'!$E$12+1,1))-AVERAGE(OFFSET($H$3,0,0,'Données projet'!$E$12+1,1))</f>
        <v>156.26368818265388</v>
      </c>
      <c r="CE168" s="59">
        <f t="shared" si="148"/>
        <v>56.347130462109817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2.8421709430404007E-14</v>
      </c>
      <c r="CU168" s="17">
        <f>CT168*VLOOKUP('Données projet'!$B$13,Paramètres!$A$1:$I$89,3,0)*VLOOKUP('Données projet'!$B$13,Paramètres!$A$1:$I$89,5,0)</f>
        <v>2.3055690689943732E-14</v>
      </c>
      <c r="CV168" s="13">
        <f t="shared" si="173"/>
        <v>4.10868481342271E-13</v>
      </c>
      <c r="CW168" s="20">
        <f t="shared" si="174"/>
        <v>7.5575126628944061E-13</v>
      </c>
      <c r="CX168" s="59">
        <f t="shared" si="122"/>
        <v>293.33333333333405</v>
      </c>
      <c r="CY168" s="59">
        <f ca="1">AVERAGE(OFFSET($CX$3,0,0,'Données projet'!$E$13+1,1))-AVERAGE(OFFSET($H$3,0,0,'Données projet'!$E$13+1,1))</f>
        <v>112.78807760743126</v>
      </c>
      <c r="CZ168" s="59">
        <f t="shared" si="150"/>
        <v>37.867745922003564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-8.5265128291212022E-14</v>
      </c>
      <c r="DP168" s="17">
        <f>DO168*VLOOKUP('Données projet'!$B$14,Paramètres!$A$1:$I$89,3,0)*VLOOKUP('Données projet'!$B$14,Paramètres!$A$1:$I$89,5,0)</f>
        <v>-5.7195848057745024E-14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107.15837202366862</v>
      </c>
      <c r="DU168" s="59">
        <f t="shared" si="152"/>
        <v>139.67031833740026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0.13423691048174036</v>
      </c>
      <c r="EC168" s="21">
        <f>EXP(-LN(2)/2)*EC167+(1-EXP(-LN(2)/2))/(LN(2)/2)*DW168*DZ168*VLOOKUP('Données projet'!$B$14,Paramètres!$A$1:$I$89,3,0)*0.475*44/12</f>
        <v>3.2340395111818654E-20</v>
      </c>
      <c r="ED168" s="22">
        <f t="shared" si="178"/>
        <v>0.13423691048174036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-1.1368683772161603E-13</v>
      </c>
      <c r="EK168" s="17">
        <f>EJ168*VLOOKUP('Données projet'!$B$15,Paramètres!$A$1:$I$89,3,0)*VLOOKUP('Données projet'!$B$15,Paramètres!$A$1:$I$89,5,0)</f>
        <v>-5.3205440053716299E-14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123.60520571614535</v>
      </c>
      <c r="EP168" s="59">
        <f t="shared" si="154"/>
        <v>119.00926870519527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5.9848727109651431E-2</v>
      </c>
      <c r="EW168" s="21">
        <f>EXP(-LN(2)/25)*EW167+(1-EXP(-LN(2)/25))/(LN(2)/25)*Calculateur!ER168*Calculateur!ET168*VLOOKUP('Données projet'!$B$15,Paramètres!$A$1:$I$89,3,0)*0.475*44/12</f>
        <v>0.11312830535721069</v>
      </c>
      <c r="EX168" s="21">
        <f>EXP(-LN(2)/2)*EX167+(1-EXP(-LN(2)/2))/(LN(2)/2)*ER168*EU168*VLOOKUP('Données projet'!$B$15,Paramètres!$A$1:$I$89,3,0)*0.475*44/12</f>
        <v>2.9294100148390453E-20</v>
      </c>
      <c r="EY168" s="22">
        <f t="shared" si="181"/>
        <v>0.17297703246686214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-2.2737367544323206E-13</v>
      </c>
      <c r="FF168" s="17">
        <f>FE168*VLOOKUP('Données projet'!$B$16,Paramètres!$A$1:$I$89,3,0)*VLOOKUP('Données projet'!$B$16,Paramètres!$A$1:$I$89,5,0)</f>
        <v>-1.0936673788819462E-13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197.66963254934603</v>
      </c>
      <c r="FK168" s="59">
        <f t="shared" si="156"/>
        <v>158.08388141976138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0.18404923516222629</v>
      </c>
      <c r="FR168" s="21">
        <f>EXP(-LN(2)/25)*FR167+(1-EXP(-LN(2)/25))/(LN(2)/25)*Calculateur!FM168*Calculateur!FO168*VLOOKUP('Données projet'!$B$16,Paramètres!$A$1:$I$89,3,0)*0.475*44/12</f>
        <v>0.12583584666000386</v>
      </c>
      <c r="FS168" s="21">
        <f>EXP(-LN(2)/2)*FS167+(1-EXP(-LN(2)/2))/(LN(2)/2)*FM168*FP168*VLOOKUP('Données projet'!$B$16,Paramètres!$A$1:$I$89,3,0)*0.475*44/12</f>
        <v>3.9664272782920377E-20</v>
      </c>
      <c r="FT168" s="22">
        <f t="shared" si="184"/>
        <v>0.30988508182223018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5.6843418860808015E-14</v>
      </c>
      <c r="GA168" s="17">
        <f>FZ168*VLOOKUP('Données projet'!$B$17,Paramètres!$A$1:$I$89,3,0)*VLOOKUP('Données projet'!$B$17,Paramètres!$A$1:$I$89,5,0)</f>
        <v>3.3992364478763198E-14</v>
      </c>
      <c r="GB168" s="13">
        <f t="shared" si="185"/>
        <v>5.790027782444094E-13</v>
      </c>
      <c r="GC168" s="20">
        <f t="shared" si="186"/>
        <v>1.0676332069095257E-12</v>
      </c>
      <c r="GD168" s="59">
        <f t="shared" si="134"/>
        <v>293.33333333333439</v>
      </c>
      <c r="GE168" s="59">
        <f ca="1">AVERAGE(OFFSET($GD$3,0,0,'Données projet'!$E$17+1,1))-AVERAGE(OFFSET($H$3,0,0,'Données projet'!$E$17+1,1))</f>
        <v>165.39579887388538</v>
      </c>
      <c r="GF168" s="59">
        <f t="shared" si="158"/>
        <v>155.89639262545802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0.17263171321017881</v>
      </c>
      <c r="GN168" s="21">
        <f>EXP(-LN(2)/2)*GN167+(1-EXP(-LN(2)/2))/(LN(2)/2)*GH168*GK168*VLOOKUP('Données projet'!$B$17,Paramètres!$A$1:$I$89,3,0)*0.475*44/12</f>
        <v>6.6506773176198296E-20</v>
      </c>
      <c r="GO168" s="21">
        <f t="shared" si="187"/>
        <v>0.17263171321017881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2.8421709430404007E-14</v>
      </c>
      <c r="GV168" s="17">
        <f>GU168*VLOOKUP('Données projet'!$B$18,Paramètres!$A$1:$I$89,3,0)*VLOOKUP('Données projet'!$B$18,Paramètres!$A$1:$I$89,5,0)</f>
        <v>3.0593128030886874E-14</v>
      </c>
      <c r="GW168" s="13">
        <f t="shared" si="188"/>
        <v>5.2753263159251616E-13</v>
      </c>
      <c r="GX168" s="20">
        <f t="shared" si="189"/>
        <v>9.7206903134409357E-13</v>
      </c>
      <c r="GY168" s="59">
        <f t="shared" si="137"/>
        <v>293.33333333333428</v>
      </c>
      <c r="GZ168" s="59">
        <f ca="1">AVERAGE(OFFSET($GY$3,0,0,'Données projet'!$E$18+1,1))-AVERAGE(OFFSET($H$3,0,0,'Données projet'!$E$18+1,1))</f>
        <v>186.60545265015247</v>
      </c>
      <c r="HA168" s="59">
        <f t="shared" si="160"/>
        <v>69.239647548491234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0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0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1.9065282685915009E-13</v>
      </c>
      <c r="P169" s="13">
        <f t="shared" si="141"/>
        <v>2.6568987209435707E-12</v>
      </c>
      <c r="Q169" s="20">
        <f t="shared" si="162"/>
        <v>4.959485612423072E-12</v>
      </c>
      <c r="R169" s="59">
        <f t="shared" si="109"/>
        <v>293.33333333333826</v>
      </c>
      <c r="S169" s="59">
        <f ca="1">AVERAGE(OFFSET($R$3,0,0,'Données projet'!$E$9+1,1))-AVERAGE(OFFSET($H$3,0,0,'Données projet'!$E$9+1,1))</f>
        <v>235.10258076192054</v>
      </c>
      <c r="T169" s="59">
        <f t="shared" si="142"/>
        <v>233.47316052603765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0.23177446394514714</v>
      </c>
      <c r="AA169" s="21">
        <f>EXP(-LN(2)/25)*AA168+(1-EXP(-LN(2)/25))/(LN(2)/25)*Calculateur!V169*Calculateur!X169*VLOOKUP('Données projet'!$B$9,Paramètres!$A$1:$I$89,3,0)*0.475*44/12</f>
        <v>0.42465598378190716</v>
      </c>
      <c r="AB169" s="21">
        <f>EXP(-LN(2)/2)*AB168+(1-EXP(-LN(2)/2))/(LN(2)/2)*V169*Y169*VLOOKUP('Données projet'!$B$9,Paramètres!$A$1:$I$89,3,0)*0.475*44/12</f>
        <v>8.1728791901841903E-20</v>
      </c>
      <c r="AC169" s="22">
        <f t="shared" si="163"/>
        <v>0.65643044772705428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2.2737367544323206E-13</v>
      </c>
      <c r="AJ169" s="13">
        <f>AI169*VLOOKUP('Données projet'!$B$10,Paramètres!$A$1:$I$89,3,0)*VLOOKUP('Données projet'!$B$10,Paramètres!$A$1:$I$89,5,0)</f>
        <v>1.2414602679200471E-13</v>
      </c>
      <c r="AK169" s="13">
        <f t="shared" si="164"/>
        <v>1.8186582995804361E-12</v>
      </c>
      <c r="AL169" s="20">
        <f t="shared" si="165"/>
        <v>3.3837175350986671E-12</v>
      </c>
      <c r="AM169" s="59">
        <f t="shared" si="113"/>
        <v>293.33333333333672</v>
      </c>
      <c r="AN169" s="59">
        <f ca="1">AVERAGE(OFFSET($AM$3,0,0,'Données projet'!$E$10+1,1))-AVERAGE(OFFSET($H$3,0,0,'Données projet'!$E$10+1,1))</f>
        <v>168.72306536277267</v>
      </c>
      <c r="AO169" s="59">
        <f t="shared" si="144"/>
        <v>203.35476578922339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0.20580396375679011</v>
      </c>
      <c r="AV169" s="21">
        <f>EXP(-LN(2)/25)*AV168+(1-EXP(-LN(2)/25))/(LN(2)/25)*Calculateur!AQ169*Calculateur!AS169*VLOOKUP('Données projet'!$B$10,Paramètres!$A$1:$I$89,3,0)*0.475*44/12</f>
        <v>0.52947046444707124</v>
      </c>
      <c r="AW169" s="21">
        <f>EXP(-LN(2)/2)*AW168+(1-EXP(-LN(2)/2))/(LN(2)/2)*AQ169*AT169*VLOOKUP('Données projet'!$B$10,Paramètres!$A$1:$I$89,3,0)*0.475*44/12</f>
        <v>6.784343127870535E-20</v>
      </c>
      <c r="AX169" s="21">
        <f t="shared" si="166"/>
        <v>0.73527442820386135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3.3992364478763198E-14</v>
      </c>
      <c r="BF169" s="13">
        <f t="shared" si="167"/>
        <v>5.790027782444094E-13</v>
      </c>
      <c r="BG169" s="20">
        <f t="shared" si="168"/>
        <v>1.0676332069095257E-12</v>
      </c>
      <c r="BH169" s="59">
        <f t="shared" si="116"/>
        <v>293.33333333333439</v>
      </c>
      <c r="BI169" s="59">
        <f ca="1">AVERAGE(OFFSET($BH$3,0,0,'Données projet'!$E$11+1,1))-AVERAGE(OFFSET($H$3,0,0,'Données projet'!$E$11+1,1))</f>
        <v>165.39579887388538</v>
      </c>
      <c r="BJ169" s="59">
        <f t="shared" si="146"/>
        <v>155.89639262545802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0.16791108993413922</v>
      </c>
      <c r="BR169" s="21">
        <f>EXP(-LN(2)/2)*BR168+(1-EXP(-LN(2)/2))/(LN(2)/2)*BL169*BO169*VLOOKUP('Données projet'!$B$11,Paramètres!$A$1:$I$89,3,0)*0.475*44/12</f>
        <v>4.7027390307725397E-20</v>
      </c>
      <c r="BS169" s="22">
        <f t="shared" si="169"/>
        <v>0.16791108993413922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2.8421709430404007E-14</v>
      </c>
      <c r="BZ169" s="13">
        <f>BY169*VLOOKUP('Données projet'!$B$12,Paramètres!$A$1:$I$89,3,0)*VLOOKUP('Données projet'!$B$12,Paramètres!$A$1:$I$89,5,0)</f>
        <v>2.7489477361086758E-14</v>
      </c>
      <c r="CA169" s="13">
        <f t="shared" si="170"/>
        <v>4.7995394886724981E-13</v>
      </c>
      <c r="CB169" s="20">
        <f t="shared" si="171"/>
        <v>8.8379730068101964E-13</v>
      </c>
      <c r="CC169" s="59">
        <f t="shared" si="119"/>
        <v>293.33333333333422</v>
      </c>
      <c r="CD169" s="59">
        <f ca="1">AVERAGE(OFFSET($CC$3,0,0,'Données projet'!$E$12+1,1))-AVERAGE(OFFSET($H$3,0,0,'Données projet'!$E$12+1,1))</f>
        <v>156.26368818265388</v>
      </c>
      <c r="CE169" s="59">
        <f t="shared" si="148"/>
        <v>56.347130462109817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2.8421709430404007E-14</v>
      </c>
      <c r="CU169" s="17">
        <f>CT169*VLOOKUP('Données projet'!$B$13,Paramètres!$A$1:$I$89,3,0)*VLOOKUP('Données projet'!$B$13,Paramètres!$A$1:$I$89,5,0)</f>
        <v>2.3055690689943732E-14</v>
      </c>
      <c r="CV169" s="13">
        <f t="shared" si="173"/>
        <v>4.10868481342271E-13</v>
      </c>
      <c r="CW169" s="20">
        <f t="shared" si="174"/>
        <v>7.5575126628944061E-13</v>
      </c>
      <c r="CX169" s="59">
        <f t="shared" si="122"/>
        <v>293.33333333333405</v>
      </c>
      <c r="CY169" s="59">
        <f ca="1">AVERAGE(OFFSET($CX$3,0,0,'Données projet'!$E$13+1,1))-AVERAGE(OFFSET($H$3,0,0,'Données projet'!$E$13+1,1))</f>
        <v>112.78807760743126</v>
      </c>
      <c r="CZ169" s="59">
        <f t="shared" si="150"/>
        <v>37.867745922003564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-8.5265128291212022E-14</v>
      </c>
      <c r="DP169" s="17">
        <f>DO169*VLOOKUP('Données projet'!$B$14,Paramètres!$A$1:$I$89,3,0)*VLOOKUP('Données projet'!$B$14,Paramètres!$A$1:$I$89,5,0)</f>
        <v>-5.7195848057745024E-14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107.15837202366862</v>
      </c>
      <c r="DU169" s="59">
        <f t="shared" si="152"/>
        <v>139.67031833740026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0.13056619510540485</v>
      </c>
      <c r="EC169" s="21">
        <f>EXP(-LN(2)/2)*EC168+(1-EXP(-LN(2)/2))/(LN(2)/2)*DW169*DZ169*VLOOKUP('Données projet'!$B$14,Paramètres!$A$1:$I$89,3,0)*0.475*44/12</f>
        <v>2.2868112689819245E-20</v>
      </c>
      <c r="ED169" s="22">
        <f t="shared" si="178"/>
        <v>0.13056619510540485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-1.1368683772161603E-13</v>
      </c>
      <c r="EK169" s="17">
        <f>EJ169*VLOOKUP('Données projet'!$B$15,Paramètres!$A$1:$I$89,3,0)*VLOOKUP('Données projet'!$B$15,Paramètres!$A$1:$I$89,5,0)</f>
        <v>-5.3205440053716299E-14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123.60520571614535</v>
      </c>
      <c r="EP169" s="59">
        <f t="shared" si="154"/>
        <v>119.00926870519527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5.8675130075150218E-2</v>
      </c>
      <c r="EW169" s="21">
        <f>EXP(-LN(2)/25)*EW168+(1-EXP(-LN(2)/25))/(LN(2)/25)*Calculateur!ER169*Calculateur!ET169*VLOOKUP('Données projet'!$B$15,Paramètres!$A$1:$I$89,3,0)*0.475*44/12</f>
        <v>0.11003480589805874</v>
      </c>
      <c r="EX169" s="21">
        <f>EXP(-LN(2)/2)*EX168+(1-EXP(-LN(2)/2))/(LN(2)/2)*ER169*EU169*VLOOKUP('Données projet'!$B$15,Paramètres!$A$1:$I$89,3,0)*0.475*44/12</f>
        <v>2.0714056863684738E-20</v>
      </c>
      <c r="EY169" s="22">
        <f t="shared" si="181"/>
        <v>0.16870993597320896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-2.2737367544323206E-13</v>
      </c>
      <c r="FF169" s="17">
        <f>FE169*VLOOKUP('Données projet'!$B$16,Paramètres!$A$1:$I$89,3,0)*VLOOKUP('Données projet'!$B$16,Paramètres!$A$1:$I$89,5,0)</f>
        <v>-1.0936673788819462E-13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197.66963254934603</v>
      </c>
      <c r="FK169" s="59">
        <f t="shared" si="156"/>
        <v>158.08388141976138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0.18044014191964383</v>
      </c>
      <c r="FR169" s="21">
        <f>EXP(-LN(2)/25)*FR168+(1-EXP(-LN(2)/25))/(LN(2)/25)*Calculateur!FM169*Calculateur!FO169*VLOOKUP('Données projet'!$B$16,Paramètres!$A$1:$I$89,3,0)*0.475*44/12</f>
        <v>0.12239485881566647</v>
      </c>
      <c r="FS169" s="21">
        <f>EXP(-LN(2)/2)*FS168+(1-EXP(-LN(2)/2))/(LN(2)/2)*FM169*FP169*VLOOKUP('Données projet'!$B$16,Paramètres!$A$1:$I$89,3,0)*0.475*44/12</f>
        <v>2.804687625563601E-20</v>
      </c>
      <c r="FT169" s="22">
        <f t="shared" si="184"/>
        <v>0.30283500073531033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5.6843418860808015E-14</v>
      </c>
      <c r="GA169" s="17">
        <f>FZ169*VLOOKUP('Données projet'!$B$17,Paramètres!$A$1:$I$89,3,0)*VLOOKUP('Données projet'!$B$17,Paramètres!$A$1:$I$89,5,0)</f>
        <v>3.3992364478763198E-14</v>
      </c>
      <c r="GB169" s="13">
        <f t="shared" si="185"/>
        <v>5.790027782444094E-13</v>
      </c>
      <c r="GC169" s="20">
        <f t="shared" si="186"/>
        <v>1.0676332069095257E-12</v>
      </c>
      <c r="GD169" s="59">
        <f t="shared" si="134"/>
        <v>293.33333333333439</v>
      </c>
      <c r="GE169" s="59">
        <f ca="1">AVERAGE(OFFSET($GD$3,0,0,'Données projet'!$E$17+1,1))-AVERAGE(OFFSET($H$3,0,0,'Données projet'!$E$17+1,1))</f>
        <v>165.39579887388538</v>
      </c>
      <c r="GF169" s="59">
        <f t="shared" si="158"/>
        <v>155.89639262545802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0.16791108993413922</v>
      </c>
      <c r="GN169" s="21">
        <f>EXP(-LN(2)/2)*GN168+(1-EXP(-LN(2)/2))/(LN(2)/2)*GH169*GK169*VLOOKUP('Données projet'!$B$17,Paramètres!$A$1:$I$89,3,0)*0.475*44/12</f>
        <v>4.7027390307725397E-20</v>
      </c>
      <c r="GO169" s="21">
        <f t="shared" si="187"/>
        <v>0.16791108993413922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2.8421709430404007E-14</v>
      </c>
      <c r="GV169" s="17">
        <f>GU169*VLOOKUP('Données projet'!$B$18,Paramètres!$A$1:$I$89,3,0)*VLOOKUP('Données projet'!$B$18,Paramètres!$A$1:$I$89,5,0)</f>
        <v>3.0593128030886874E-14</v>
      </c>
      <c r="GW169" s="13">
        <f t="shared" si="188"/>
        <v>5.2753263159251616E-13</v>
      </c>
      <c r="GX169" s="20">
        <f t="shared" si="189"/>
        <v>9.7206903134409357E-13</v>
      </c>
      <c r="GY169" s="59">
        <f t="shared" si="137"/>
        <v>293.33333333333428</v>
      </c>
      <c r="GZ169" s="59">
        <f ca="1">AVERAGE(OFFSET($GY$3,0,0,'Données projet'!$E$18+1,1))-AVERAGE(OFFSET($H$3,0,0,'Données projet'!$E$18+1,1))</f>
        <v>186.60545265015247</v>
      </c>
      <c r="HA169" s="59">
        <f t="shared" si="160"/>
        <v>69.239647548491234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0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0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1.9065282685915009E-13</v>
      </c>
      <c r="P170" s="13">
        <f t="shared" si="141"/>
        <v>2.6568987209435707E-12</v>
      </c>
      <c r="Q170" s="20">
        <f t="shared" si="162"/>
        <v>4.959485612423072E-12</v>
      </c>
      <c r="R170" s="59">
        <f t="shared" si="109"/>
        <v>293.33333333333826</v>
      </c>
      <c r="S170" s="59">
        <f ca="1">AVERAGE(OFFSET($R$3,0,0,'Données projet'!$E$9+1,1))-AVERAGE(OFFSET($H$3,0,0,'Données projet'!$E$9+1,1))</f>
        <v>235.10258076192054</v>
      </c>
      <c r="T170" s="59">
        <f t="shared" si="142"/>
        <v>233.47316052603765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0.22722950807564685</v>
      </c>
      <c r="AA170" s="21">
        <f>EXP(-LN(2)/25)*AA169+(1-EXP(-LN(2)/25))/(LN(2)/25)*Calculateur!V170*Calculateur!X170*VLOOKUP('Données projet'!$B$9,Paramètres!$A$1:$I$89,3,0)*0.475*44/12</f>
        <v>0.41304374357370327</v>
      </c>
      <c r="AB170" s="21">
        <f>EXP(-LN(2)/2)*AB169+(1-EXP(-LN(2)/2))/(LN(2)/2)*V170*Y170*VLOOKUP('Données projet'!$B$9,Paramètres!$A$1:$I$89,3,0)*0.475*44/12</f>
        <v>5.7790982971976599E-20</v>
      </c>
      <c r="AC170" s="22">
        <f t="shared" si="163"/>
        <v>0.64027325164935012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2.2737367544323206E-13</v>
      </c>
      <c r="AJ170" s="13">
        <f>AI170*VLOOKUP('Données projet'!$B$10,Paramètres!$A$1:$I$89,3,0)*VLOOKUP('Données projet'!$B$10,Paramètres!$A$1:$I$89,5,0)</f>
        <v>1.2414602679200471E-13</v>
      </c>
      <c r="AK170" s="13">
        <f t="shared" si="164"/>
        <v>1.8186582995804361E-12</v>
      </c>
      <c r="AL170" s="20">
        <f t="shared" si="165"/>
        <v>3.3837175350986671E-12</v>
      </c>
      <c r="AM170" s="59">
        <f t="shared" si="113"/>
        <v>293.33333333333672</v>
      </c>
      <c r="AN170" s="59">
        <f ca="1">AVERAGE(OFFSET($AM$3,0,0,'Données projet'!$E$10+1,1))-AVERAGE(OFFSET($H$3,0,0,'Données projet'!$E$10+1,1))</f>
        <v>168.72306536277267</v>
      </c>
      <c r="AO170" s="59">
        <f t="shared" si="144"/>
        <v>203.35476578922339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0.20176827355554247</v>
      </c>
      <c r="AV170" s="21">
        <f>EXP(-LN(2)/25)*AV169+(1-EXP(-LN(2)/25))/(LN(2)/25)*Calculateur!AQ170*Calculateur!AS170*VLOOKUP('Données projet'!$B$10,Paramètres!$A$1:$I$89,3,0)*0.475*44/12</f>
        <v>0.51499206675312448</v>
      </c>
      <c r="AW170" s="21">
        <f>EXP(-LN(2)/2)*AW169+(1-EXP(-LN(2)/2))/(LN(2)/2)*AQ170*AT170*VLOOKUP('Données projet'!$B$10,Paramètres!$A$1:$I$89,3,0)*0.475*44/12</f>
        <v>4.7972550316136079E-20</v>
      </c>
      <c r="AX170" s="21">
        <f t="shared" si="166"/>
        <v>0.71676034030866698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3.3992364478763198E-14</v>
      </c>
      <c r="BF170" s="13">
        <f t="shared" si="167"/>
        <v>5.790027782444094E-13</v>
      </c>
      <c r="BG170" s="20">
        <f t="shared" si="168"/>
        <v>1.0676332069095257E-12</v>
      </c>
      <c r="BH170" s="59">
        <f t="shared" si="116"/>
        <v>293.33333333333439</v>
      </c>
      <c r="BI170" s="59">
        <f ca="1">AVERAGE(OFFSET($BH$3,0,0,'Données projet'!$E$11+1,1))-AVERAGE(OFFSET($H$3,0,0,'Données projet'!$E$11+1,1))</f>
        <v>165.39579887388538</v>
      </c>
      <c r="BJ170" s="59">
        <f t="shared" si="146"/>
        <v>155.89639262545802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0.16331955234982973</v>
      </c>
      <c r="BR170" s="21">
        <f>EXP(-LN(2)/2)*BR169+(1-EXP(-LN(2)/2))/(LN(2)/2)*BL170*BO170*VLOOKUP('Données projet'!$B$11,Paramètres!$A$1:$I$89,3,0)*0.475*44/12</f>
        <v>3.3253386588099148E-20</v>
      </c>
      <c r="BS170" s="22">
        <f t="shared" si="169"/>
        <v>0.16331955234982973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2.8421709430404007E-14</v>
      </c>
      <c r="BZ170" s="13">
        <f>BY170*VLOOKUP('Données projet'!$B$12,Paramètres!$A$1:$I$89,3,0)*VLOOKUP('Données projet'!$B$12,Paramètres!$A$1:$I$89,5,0)</f>
        <v>2.7489477361086758E-14</v>
      </c>
      <c r="CA170" s="13">
        <f t="shared" si="170"/>
        <v>4.7995394886724981E-13</v>
      </c>
      <c r="CB170" s="20">
        <f t="shared" si="171"/>
        <v>8.8379730068101964E-13</v>
      </c>
      <c r="CC170" s="59">
        <f t="shared" si="119"/>
        <v>293.33333333333422</v>
      </c>
      <c r="CD170" s="59">
        <f ca="1">AVERAGE(OFFSET($CC$3,0,0,'Données projet'!$E$12+1,1))-AVERAGE(OFFSET($H$3,0,0,'Données projet'!$E$12+1,1))</f>
        <v>156.26368818265388</v>
      </c>
      <c r="CE170" s="59">
        <f t="shared" si="148"/>
        <v>56.347130462109817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2.8421709430404007E-14</v>
      </c>
      <c r="CU170" s="17">
        <f>CT170*VLOOKUP('Données projet'!$B$13,Paramètres!$A$1:$I$89,3,0)*VLOOKUP('Données projet'!$B$13,Paramètres!$A$1:$I$89,5,0)</f>
        <v>2.3055690689943732E-14</v>
      </c>
      <c r="CV170" s="13">
        <f t="shared" si="173"/>
        <v>4.10868481342271E-13</v>
      </c>
      <c r="CW170" s="20">
        <f t="shared" si="174"/>
        <v>7.5575126628944061E-13</v>
      </c>
      <c r="CX170" s="59">
        <f t="shared" si="122"/>
        <v>293.33333333333405</v>
      </c>
      <c r="CY170" s="59">
        <f ca="1">AVERAGE(OFFSET($CX$3,0,0,'Données projet'!$E$13+1,1))-AVERAGE(OFFSET($H$3,0,0,'Données projet'!$E$13+1,1))</f>
        <v>112.78807760743126</v>
      </c>
      <c r="CZ170" s="59">
        <f t="shared" si="150"/>
        <v>37.867745922003564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-8.5265128291212022E-14</v>
      </c>
      <c r="DP170" s="17">
        <f>DO170*VLOOKUP('Données projet'!$B$14,Paramètres!$A$1:$I$89,3,0)*VLOOKUP('Données projet'!$B$14,Paramètres!$A$1:$I$89,5,0)</f>
        <v>-5.7195848057745024E-14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107.15837202366862</v>
      </c>
      <c r="DU170" s="59">
        <f t="shared" si="152"/>
        <v>139.67031833740026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0.12699585563406976</v>
      </c>
      <c r="EC170" s="21">
        <f>EXP(-LN(2)/2)*EC169+(1-EXP(-LN(2)/2))/(LN(2)/2)*DW170*DZ170*VLOOKUP('Données projet'!$B$14,Paramètres!$A$1:$I$89,3,0)*0.475*44/12</f>
        <v>1.6170197555909327E-20</v>
      </c>
      <c r="ED170" s="22">
        <f t="shared" si="178"/>
        <v>0.12699585563406976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-1.1368683772161603E-13</v>
      </c>
      <c r="EK170" s="17">
        <f>EJ170*VLOOKUP('Données projet'!$B$15,Paramètres!$A$1:$I$89,3,0)*VLOOKUP('Données projet'!$B$15,Paramètres!$A$1:$I$89,5,0)</f>
        <v>-5.3205440053716299E-14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123.60520571614535</v>
      </c>
      <c r="EP170" s="59">
        <f t="shared" si="154"/>
        <v>119.00926870519527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5.7524546562672065E-2</v>
      </c>
      <c r="EW170" s="21">
        <f>EXP(-LN(2)/25)*EW169+(1-EXP(-LN(2)/25))/(LN(2)/25)*Calculateur!ER170*Calculateur!ET170*VLOOKUP('Données projet'!$B$15,Paramètres!$A$1:$I$89,3,0)*0.475*44/12</f>
        <v>0.10702589834429736</v>
      </c>
      <c r="EX170" s="21">
        <f>EXP(-LN(2)/2)*EX169+(1-EXP(-LN(2)/2))/(LN(2)/2)*ER170*EU170*VLOOKUP('Données projet'!$B$15,Paramètres!$A$1:$I$89,3,0)*0.475*44/12</f>
        <v>1.4647050074195226E-20</v>
      </c>
      <c r="EY170" s="22">
        <f t="shared" si="181"/>
        <v>0.16455044490696943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-2.2737367544323206E-13</v>
      </c>
      <c r="FF170" s="17">
        <f>FE170*VLOOKUP('Données projet'!$B$16,Paramètres!$A$1:$I$89,3,0)*VLOOKUP('Données projet'!$B$16,Paramètres!$A$1:$I$89,5,0)</f>
        <v>-1.0936673788819462E-13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197.66963254934603</v>
      </c>
      <c r="FK170" s="59">
        <f t="shared" si="156"/>
        <v>158.08388141976138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0.1769018207942189</v>
      </c>
      <c r="FR170" s="21">
        <f>EXP(-LN(2)/25)*FR169+(1-EXP(-LN(2)/25))/(LN(2)/25)*Calculateur!FM170*Calculateur!FO170*VLOOKUP('Données projet'!$B$16,Paramètres!$A$1:$I$89,3,0)*0.475*44/12</f>
        <v>0.11904796496488619</v>
      </c>
      <c r="FS170" s="21">
        <f>EXP(-LN(2)/2)*FS169+(1-EXP(-LN(2)/2))/(LN(2)/2)*FM170*FP170*VLOOKUP('Données projet'!$B$16,Paramètres!$A$1:$I$89,3,0)*0.475*44/12</f>
        <v>1.9832136391460188E-20</v>
      </c>
      <c r="FT170" s="22">
        <f t="shared" si="184"/>
        <v>0.29594978575910508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5.6843418860808015E-14</v>
      </c>
      <c r="GA170" s="17">
        <f>FZ170*VLOOKUP('Données projet'!$B$17,Paramètres!$A$1:$I$89,3,0)*VLOOKUP('Données projet'!$B$17,Paramètres!$A$1:$I$89,5,0)</f>
        <v>3.3992364478763198E-14</v>
      </c>
      <c r="GB170" s="13">
        <f t="shared" si="185"/>
        <v>5.790027782444094E-13</v>
      </c>
      <c r="GC170" s="20">
        <f t="shared" si="186"/>
        <v>1.0676332069095257E-12</v>
      </c>
      <c r="GD170" s="59">
        <f t="shared" si="134"/>
        <v>293.33333333333439</v>
      </c>
      <c r="GE170" s="59">
        <f ca="1">AVERAGE(OFFSET($GD$3,0,0,'Données projet'!$E$17+1,1))-AVERAGE(OFFSET($H$3,0,0,'Données projet'!$E$17+1,1))</f>
        <v>165.39579887388538</v>
      </c>
      <c r="GF170" s="59">
        <f t="shared" si="158"/>
        <v>155.89639262545802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0.16331955234982973</v>
      </c>
      <c r="GN170" s="21">
        <f>EXP(-LN(2)/2)*GN169+(1-EXP(-LN(2)/2))/(LN(2)/2)*GH170*GK170*VLOOKUP('Données projet'!$B$17,Paramètres!$A$1:$I$89,3,0)*0.475*44/12</f>
        <v>3.3253386588099148E-20</v>
      </c>
      <c r="GO170" s="21">
        <f t="shared" si="187"/>
        <v>0.16331955234982973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2.8421709430404007E-14</v>
      </c>
      <c r="GV170" s="17">
        <f>GU170*VLOOKUP('Données projet'!$B$18,Paramètres!$A$1:$I$89,3,0)*VLOOKUP('Données projet'!$B$18,Paramètres!$A$1:$I$89,5,0)</f>
        <v>3.0593128030886874E-14</v>
      </c>
      <c r="GW170" s="13">
        <f t="shared" si="188"/>
        <v>5.2753263159251616E-13</v>
      </c>
      <c r="GX170" s="20">
        <f t="shared" si="189"/>
        <v>9.7206903134409357E-13</v>
      </c>
      <c r="GY170" s="59">
        <f t="shared" si="137"/>
        <v>293.33333333333428</v>
      </c>
      <c r="GZ170" s="59">
        <f ca="1">AVERAGE(OFFSET($GY$3,0,0,'Données projet'!$E$18+1,1))-AVERAGE(OFFSET($H$3,0,0,'Données projet'!$E$18+1,1))</f>
        <v>186.60545265015247</v>
      </c>
      <c r="HA170" s="59">
        <f t="shared" si="160"/>
        <v>69.239647548491234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0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0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1.9065282685915009E-13</v>
      </c>
      <c r="P171" s="13">
        <f t="shared" si="141"/>
        <v>2.6568987209435707E-12</v>
      </c>
      <c r="Q171" s="20">
        <f t="shared" si="162"/>
        <v>4.959485612423072E-12</v>
      </c>
      <c r="R171" s="59">
        <f t="shared" si="109"/>
        <v>293.33333333333826</v>
      </c>
      <c r="S171" s="59">
        <f ca="1">AVERAGE(OFFSET($R$3,0,0,'Données projet'!$E$9+1,1))-AVERAGE(OFFSET($H$3,0,0,'Données projet'!$E$9+1,1))</f>
        <v>235.10258076192054</v>
      </c>
      <c r="T171" s="59">
        <f t="shared" si="142"/>
        <v>233.47316052603765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0.2227736760185981</v>
      </c>
      <c r="AA171" s="21">
        <f>EXP(-LN(2)/25)*AA170+(1-EXP(-LN(2)/25))/(LN(2)/25)*Calculateur!V171*Calculateur!X171*VLOOKUP('Données projet'!$B$9,Paramètres!$A$1:$I$89,3,0)*0.475*44/12</f>
        <v>0.40174904068465389</v>
      </c>
      <c r="AB171" s="21">
        <f>EXP(-LN(2)/2)*AB170+(1-EXP(-LN(2)/2))/(LN(2)/2)*V171*Y171*VLOOKUP('Données projet'!$B$9,Paramètres!$A$1:$I$89,3,0)*0.475*44/12</f>
        <v>4.0864395950920952E-20</v>
      </c>
      <c r="AC171" s="22">
        <f t="shared" si="163"/>
        <v>0.62452271670325199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2.2737367544323206E-13</v>
      </c>
      <c r="AJ171" s="13">
        <f>AI171*VLOOKUP('Données projet'!$B$10,Paramètres!$A$1:$I$89,3,0)*VLOOKUP('Données projet'!$B$10,Paramètres!$A$1:$I$89,5,0)</f>
        <v>1.2414602679200471E-13</v>
      </c>
      <c r="AK171" s="13">
        <f t="shared" si="164"/>
        <v>1.8186582995804361E-12</v>
      </c>
      <c r="AL171" s="20">
        <f t="shared" si="165"/>
        <v>3.3837175350986671E-12</v>
      </c>
      <c r="AM171" s="59">
        <f t="shared" si="113"/>
        <v>293.33333333333672</v>
      </c>
      <c r="AN171" s="59">
        <f ca="1">AVERAGE(OFFSET($AM$3,0,0,'Données projet'!$E$10+1,1))-AVERAGE(OFFSET($H$3,0,0,'Données projet'!$E$10+1,1))</f>
        <v>168.72306536277267</v>
      </c>
      <c r="AO171" s="59">
        <f t="shared" si="144"/>
        <v>203.35476578922339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0.19781172077761333</v>
      </c>
      <c r="AV171" s="21">
        <f>EXP(-LN(2)/25)*AV170+(1-EXP(-LN(2)/25))/(LN(2)/25)*Calculateur!AQ171*Calculateur!AS171*VLOOKUP('Données projet'!$B$10,Paramètres!$A$1:$I$89,3,0)*0.475*44/12</f>
        <v>0.50090958160550458</v>
      </c>
      <c r="AW171" s="21">
        <f>EXP(-LN(2)/2)*AW170+(1-EXP(-LN(2)/2))/(LN(2)/2)*AQ171*AT171*VLOOKUP('Données projet'!$B$10,Paramètres!$A$1:$I$89,3,0)*0.475*44/12</f>
        <v>3.3921715639352675E-20</v>
      </c>
      <c r="AX171" s="21">
        <f t="shared" si="166"/>
        <v>0.69872130238311791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3.3992364478763198E-14</v>
      </c>
      <c r="BF171" s="13">
        <f t="shared" si="167"/>
        <v>5.790027782444094E-13</v>
      </c>
      <c r="BG171" s="20">
        <f t="shared" si="168"/>
        <v>1.0676332069095257E-12</v>
      </c>
      <c r="BH171" s="59">
        <f t="shared" si="116"/>
        <v>293.33333333333439</v>
      </c>
      <c r="BI171" s="59">
        <f ca="1">AVERAGE(OFFSET($BH$3,0,0,'Données projet'!$E$11+1,1))-AVERAGE(OFFSET($H$3,0,0,'Données projet'!$E$11+1,1))</f>
        <v>165.39579887388538</v>
      </c>
      <c r="BJ171" s="59">
        <f t="shared" si="146"/>
        <v>155.89639262545802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0.15885357060222166</v>
      </c>
      <c r="BR171" s="21">
        <f>EXP(-LN(2)/2)*BR170+(1-EXP(-LN(2)/2))/(LN(2)/2)*BL171*BO171*VLOOKUP('Données projet'!$B$11,Paramètres!$A$1:$I$89,3,0)*0.475*44/12</f>
        <v>2.3513695153862699E-20</v>
      </c>
      <c r="BS171" s="22">
        <f t="shared" si="169"/>
        <v>0.15885357060222166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2.8421709430404007E-14</v>
      </c>
      <c r="BZ171" s="13">
        <f>BY171*VLOOKUP('Données projet'!$B$12,Paramètres!$A$1:$I$89,3,0)*VLOOKUP('Données projet'!$B$12,Paramètres!$A$1:$I$89,5,0)</f>
        <v>2.7489477361086758E-14</v>
      </c>
      <c r="CA171" s="13">
        <f t="shared" si="170"/>
        <v>4.7995394886724981E-13</v>
      </c>
      <c r="CB171" s="20">
        <f t="shared" si="171"/>
        <v>8.8379730068101964E-13</v>
      </c>
      <c r="CC171" s="59">
        <f t="shared" si="119"/>
        <v>293.33333333333422</v>
      </c>
      <c r="CD171" s="59">
        <f ca="1">AVERAGE(OFFSET($CC$3,0,0,'Données projet'!$E$12+1,1))-AVERAGE(OFFSET($H$3,0,0,'Données projet'!$E$12+1,1))</f>
        <v>156.26368818265388</v>
      </c>
      <c r="CE171" s="59">
        <f t="shared" si="148"/>
        <v>56.347130462109817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2.8421709430404007E-14</v>
      </c>
      <c r="CU171" s="17">
        <f>CT171*VLOOKUP('Données projet'!$B$13,Paramètres!$A$1:$I$89,3,0)*VLOOKUP('Données projet'!$B$13,Paramètres!$A$1:$I$89,5,0)</f>
        <v>2.3055690689943732E-14</v>
      </c>
      <c r="CV171" s="13">
        <f t="shared" si="173"/>
        <v>4.10868481342271E-13</v>
      </c>
      <c r="CW171" s="20">
        <f t="shared" si="174"/>
        <v>7.5575126628944061E-13</v>
      </c>
      <c r="CX171" s="59">
        <f t="shared" si="122"/>
        <v>293.33333333333405</v>
      </c>
      <c r="CY171" s="59">
        <f ca="1">AVERAGE(OFFSET($CX$3,0,0,'Données projet'!$E$13+1,1))-AVERAGE(OFFSET($H$3,0,0,'Données projet'!$E$13+1,1))</f>
        <v>112.78807760743126</v>
      </c>
      <c r="CZ171" s="59">
        <f t="shared" si="150"/>
        <v>37.867745922003564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-8.5265128291212022E-14</v>
      </c>
      <c r="DP171" s="17">
        <f>DO171*VLOOKUP('Données projet'!$B$14,Paramètres!$A$1:$I$89,3,0)*VLOOKUP('Données projet'!$B$14,Paramètres!$A$1:$I$89,5,0)</f>
        <v>-5.7195848057745024E-14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107.15837202366862</v>
      </c>
      <c r="DU171" s="59">
        <f t="shared" si="152"/>
        <v>139.67031833740026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0.12352314728333433</v>
      </c>
      <c r="EC171" s="21">
        <f>EXP(-LN(2)/2)*EC170+(1-EXP(-LN(2)/2))/(LN(2)/2)*DW171*DZ171*VLOOKUP('Données projet'!$B$14,Paramètres!$A$1:$I$89,3,0)*0.475*44/12</f>
        <v>1.1434056344909622E-20</v>
      </c>
      <c r="ED171" s="22">
        <f t="shared" si="178"/>
        <v>0.12352314728333433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-1.1368683772161603E-13</v>
      </c>
      <c r="EK171" s="17">
        <f>EJ171*VLOOKUP('Données projet'!$B$15,Paramètres!$A$1:$I$89,3,0)*VLOOKUP('Données projet'!$B$15,Paramètres!$A$1:$I$89,5,0)</f>
        <v>-5.3205440053716299E-14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123.60520571614535</v>
      </c>
      <c r="EP171" s="59">
        <f t="shared" si="154"/>
        <v>119.00926870519527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5.6396525291086963E-2</v>
      </c>
      <c r="EW171" s="21">
        <f>EXP(-LN(2)/25)*EW170+(1-EXP(-LN(2)/25))/(LN(2)/25)*Calculateur!ER171*Calculateur!ET171*VLOOKUP('Données projet'!$B$15,Paramètres!$A$1:$I$89,3,0)*0.475*44/12</f>
        <v>0.10409926952582517</v>
      </c>
      <c r="EX171" s="21">
        <f>EXP(-LN(2)/2)*EX170+(1-EXP(-LN(2)/2))/(LN(2)/2)*ER171*EU171*VLOOKUP('Données projet'!$B$15,Paramètres!$A$1:$I$89,3,0)*0.475*44/12</f>
        <v>1.0357028431842369E-20</v>
      </c>
      <c r="EY171" s="22">
        <f t="shared" si="181"/>
        <v>0.16049579481691212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-2.2737367544323206E-13</v>
      </c>
      <c r="FF171" s="17">
        <f>FE171*VLOOKUP('Données projet'!$B$16,Paramètres!$A$1:$I$89,3,0)*VLOOKUP('Données projet'!$B$16,Paramètres!$A$1:$I$89,5,0)</f>
        <v>-1.0936673788819462E-13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197.66963254934603</v>
      </c>
      <c r="FK171" s="59">
        <f t="shared" si="156"/>
        <v>158.08388141976138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0.17343288398790077</v>
      </c>
      <c r="FR171" s="21">
        <f>EXP(-LN(2)/25)*FR170+(1-EXP(-LN(2)/25))/(LN(2)/25)*Calculateur!FM171*Calculateur!FO171*VLOOKUP('Données projet'!$B$16,Paramètres!$A$1:$I$89,3,0)*0.475*44/12</f>
        <v>0.11579259210246098</v>
      </c>
      <c r="FS171" s="21">
        <f>EXP(-LN(2)/2)*FS170+(1-EXP(-LN(2)/2))/(LN(2)/2)*FM171*FP171*VLOOKUP('Données projet'!$B$16,Paramètres!$A$1:$I$89,3,0)*0.475*44/12</f>
        <v>1.4023438127818005E-20</v>
      </c>
      <c r="FT171" s="22">
        <f t="shared" si="184"/>
        <v>0.28922547609036175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5.6843418860808015E-14</v>
      </c>
      <c r="GA171" s="17">
        <f>FZ171*VLOOKUP('Données projet'!$B$17,Paramètres!$A$1:$I$89,3,0)*VLOOKUP('Données projet'!$B$17,Paramètres!$A$1:$I$89,5,0)</f>
        <v>3.3992364478763198E-14</v>
      </c>
      <c r="GB171" s="13">
        <f t="shared" si="185"/>
        <v>5.790027782444094E-13</v>
      </c>
      <c r="GC171" s="20">
        <f t="shared" si="186"/>
        <v>1.0676332069095257E-12</v>
      </c>
      <c r="GD171" s="59">
        <f t="shared" si="134"/>
        <v>293.33333333333439</v>
      </c>
      <c r="GE171" s="59">
        <f ca="1">AVERAGE(OFFSET($GD$3,0,0,'Données projet'!$E$17+1,1))-AVERAGE(OFFSET($H$3,0,0,'Données projet'!$E$17+1,1))</f>
        <v>165.39579887388538</v>
      </c>
      <c r="GF171" s="59">
        <f t="shared" si="158"/>
        <v>155.89639262545802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0.15885357060222166</v>
      </c>
      <c r="GN171" s="21">
        <f>EXP(-LN(2)/2)*GN170+(1-EXP(-LN(2)/2))/(LN(2)/2)*GH171*GK171*VLOOKUP('Données projet'!$B$17,Paramètres!$A$1:$I$89,3,0)*0.475*44/12</f>
        <v>2.3513695153862699E-20</v>
      </c>
      <c r="GO171" s="21">
        <f t="shared" si="187"/>
        <v>0.15885357060222166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2.8421709430404007E-14</v>
      </c>
      <c r="GV171" s="17">
        <f>GU171*VLOOKUP('Données projet'!$B$18,Paramètres!$A$1:$I$89,3,0)*VLOOKUP('Données projet'!$B$18,Paramètres!$A$1:$I$89,5,0)</f>
        <v>3.0593128030886874E-14</v>
      </c>
      <c r="GW171" s="13">
        <f t="shared" si="188"/>
        <v>5.2753263159251616E-13</v>
      </c>
      <c r="GX171" s="20">
        <f t="shared" si="189"/>
        <v>9.7206903134409357E-13</v>
      </c>
      <c r="GY171" s="59">
        <f t="shared" si="137"/>
        <v>293.33333333333428</v>
      </c>
      <c r="GZ171" s="59">
        <f ca="1">AVERAGE(OFFSET($GY$3,0,0,'Données projet'!$E$18+1,1))-AVERAGE(OFFSET($H$3,0,0,'Données projet'!$E$18+1,1))</f>
        <v>186.60545265015247</v>
      </c>
      <c r="HA171" s="59">
        <f t="shared" si="160"/>
        <v>69.239647548491234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0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0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1.9065282685915009E-13</v>
      </c>
      <c r="P172" s="13">
        <f t="shared" si="141"/>
        <v>2.6568987209435707E-12</v>
      </c>
      <c r="Q172" s="20">
        <f t="shared" si="162"/>
        <v>4.959485612423072E-12</v>
      </c>
      <c r="R172" s="59">
        <f t="shared" si="109"/>
        <v>293.33333333333826</v>
      </c>
      <c r="S172" s="59">
        <f ca="1">AVERAGE(OFFSET($R$3,0,0,'Données projet'!$E$9+1,1))-AVERAGE(OFFSET($H$3,0,0,'Données projet'!$E$9+1,1))</f>
        <v>235.10258076192054</v>
      </c>
      <c r="T172" s="59">
        <f t="shared" si="142"/>
        <v>233.47316052603765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0.21840522011039887</v>
      </c>
      <c r="AA172" s="21">
        <f>EXP(-LN(2)/25)*AA171+(1-EXP(-LN(2)/25))/(LN(2)/25)*Calculateur!V172*Calculateur!X172*VLOOKUP('Données projet'!$B$9,Paramètres!$A$1:$I$89,3,0)*0.475*44/12</f>
        <v>0.39076319204006821</v>
      </c>
      <c r="AB172" s="21">
        <f>EXP(-LN(2)/2)*AB171+(1-EXP(-LN(2)/2))/(LN(2)/2)*V172*Y172*VLOOKUP('Données projet'!$B$9,Paramètres!$A$1:$I$89,3,0)*0.475*44/12</f>
        <v>2.88954914859883E-20</v>
      </c>
      <c r="AC172" s="22">
        <f t="shared" si="163"/>
        <v>0.60916841215046702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2.2737367544323206E-13</v>
      </c>
      <c r="AJ172" s="13">
        <f>AI172*VLOOKUP('Données projet'!$B$10,Paramètres!$A$1:$I$89,3,0)*VLOOKUP('Données projet'!$B$10,Paramètres!$A$1:$I$89,5,0)</f>
        <v>1.2414602679200471E-13</v>
      </c>
      <c r="AK172" s="13">
        <f t="shared" si="164"/>
        <v>1.8186582995804361E-12</v>
      </c>
      <c r="AL172" s="20">
        <f t="shared" si="165"/>
        <v>3.3837175350986671E-12</v>
      </c>
      <c r="AM172" s="59">
        <f t="shared" si="113"/>
        <v>293.33333333333672</v>
      </c>
      <c r="AN172" s="59">
        <f ca="1">AVERAGE(OFFSET($AM$3,0,0,'Données projet'!$E$10+1,1))-AVERAGE(OFFSET($H$3,0,0,'Données projet'!$E$10+1,1))</f>
        <v>168.72306536277267</v>
      </c>
      <c r="AO172" s="59">
        <f t="shared" si="144"/>
        <v>203.35476578922339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0.1939327535864005</v>
      </c>
      <c r="AV172" s="21">
        <f>EXP(-LN(2)/25)*AV171+(1-EXP(-LN(2)/25))/(LN(2)/25)*Calculateur!AQ172*Calculateur!AS172*VLOOKUP('Données projet'!$B$10,Paramètres!$A$1:$I$89,3,0)*0.475*44/12</f>
        <v>0.48721218275481198</v>
      </c>
      <c r="AW172" s="21">
        <f>EXP(-LN(2)/2)*AW171+(1-EXP(-LN(2)/2))/(LN(2)/2)*AQ172*AT172*VLOOKUP('Données projet'!$B$10,Paramètres!$A$1:$I$89,3,0)*0.475*44/12</f>
        <v>2.3986275158068039E-20</v>
      </c>
      <c r="AX172" s="21">
        <f t="shared" si="166"/>
        <v>0.68114493634121254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3.3992364478763198E-14</v>
      </c>
      <c r="BF172" s="13">
        <f t="shared" si="167"/>
        <v>5.790027782444094E-13</v>
      </c>
      <c r="BG172" s="20">
        <f t="shared" si="168"/>
        <v>1.0676332069095257E-12</v>
      </c>
      <c r="BH172" s="59">
        <f t="shared" si="116"/>
        <v>293.33333333333439</v>
      </c>
      <c r="BI172" s="59">
        <f ca="1">AVERAGE(OFFSET($BH$3,0,0,'Données projet'!$E$11+1,1))-AVERAGE(OFFSET($H$3,0,0,'Données projet'!$E$11+1,1))</f>
        <v>165.39579887388538</v>
      </c>
      <c r="BJ172" s="59">
        <f t="shared" si="146"/>
        <v>155.89639262545802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0.15450971136035771</v>
      </c>
      <c r="BR172" s="21">
        <f>EXP(-LN(2)/2)*BR171+(1-EXP(-LN(2)/2))/(LN(2)/2)*BL172*BO172*VLOOKUP('Données projet'!$B$11,Paramètres!$A$1:$I$89,3,0)*0.475*44/12</f>
        <v>1.6626693294049574E-20</v>
      </c>
      <c r="BS172" s="22">
        <f t="shared" si="169"/>
        <v>0.15450971136035771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2.8421709430404007E-14</v>
      </c>
      <c r="BZ172" s="13">
        <f>BY172*VLOOKUP('Données projet'!$B$12,Paramètres!$A$1:$I$89,3,0)*VLOOKUP('Données projet'!$B$12,Paramètres!$A$1:$I$89,5,0)</f>
        <v>2.7489477361086758E-14</v>
      </c>
      <c r="CA172" s="13">
        <f t="shared" si="170"/>
        <v>4.7995394886724981E-13</v>
      </c>
      <c r="CB172" s="20">
        <f t="shared" si="171"/>
        <v>8.8379730068101964E-13</v>
      </c>
      <c r="CC172" s="59">
        <f t="shared" si="119"/>
        <v>293.33333333333422</v>
      </c>
      <c r="CD172" s="59">
        <f ca="1">AVERAGE(OFFSET($CC$3,0,0,'Données projet'!$E$12+1,1))-AVERAGE(OFFSET($H$3,0,0,'Données projet'!$E$12+1,1))</f>
        <v>156.26368818265388</v>
      </c>
      <c r="CE172" s="59">
        <f t="shared" si="148"/>
        <v>56.347130462109817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2.8421709430404007E-14</v>
      </c>
      <c r="CU172" s="17">
        <f>CT172*VLOOKUP('Données projet'!$B$13,Paramètres!$A$1:$I$89,3,0)*VLOOKUP('Données projet'!$B$13,Paramètres!$A$1:$I$89,5,0)</f>
        <v>2.3055690689943732E-14</v>
      </c>
      <c r="CV172" s="13">
        <f t="shared" si="173"/>
        <v>4.10868481342271E-13</v>
      </c>
      <c r="CW172" s="20">
        <f t="shared" si="174"/>
        <v>7.5575126628944061E-13</v>
      </c>
      <c r="CX172" s="59">
        <f t="shared" si="122"/>
        <v>293.33333333333405</v>
      </c>
      <c r="CY172" s="59">
        <f ca="1">AVERAGE(OFFSET($CX$3,0,0,'Données projet'!$E$13+1,1))-AVERAGE(OFFSET($H$3,0,0,'Données projet'!$E$13+1,1))</f>
        <v>112.78807760743126</v>
      </c>
      <c r="CZ172" s="59">
        <f t="shared" si="150"/>
        <v>37.867745922003564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-8.5265128291212022E-14</v>
      </c>
      <c r="DP172" s="17">
        <f>DO172*VLOOKUP('Données projet'!$B$14,Paramètres!$A$1:$I$89,3,0)*VLOOKUP('Données projet'!$B$14,Paramètres!$A$1:$I$89,5,0)</f>
        <v>-5.7195848057745024E-14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107.15837202366862</v>
      </c>
      <c r="DU172" s="59">
        <f t="shared" si="152"/>
        <v>139.67031833740026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0.12014540032507155</v>
      </c>
      <c r="EC172" s="21">
        <f>EXP(-LN(2)/2)*EC171+(1-EXP(-LN(2)/2))/(LN(2)/2)*DW172*DZ172*VLOOKUP('Données projet'!$B$14,Paramètres!$A$1:$I$89,3,0)*0.475*44/12</f>
        <v>8.0850987779546636E-21</v>
      </c>
      <c r="ED172" s="22">
        <f t="shared" si="178"/>
        <v>0.12014540032507155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-1.1368683772161603E-13</v>
      </c>
      <c r="EK172" s="17">
        <f>EJ172*VLOOKUP('Données projet'!$B$15,Paramètres!$A$1:$I$89,3,0)*VLOOKUP('Données projet'!$B$15,Paramètres!$A$1:$I$89,5,0)</f>
        <v>-5.3205440053716299E-14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123.60520571614535</v>
      </c>
      <c r="EP172" s="59">
        <f t="shared" si="154"/>
        <v>119.00926870519527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5.5290623828612606E-2</v>
      </c>
      <c r="EW172" s="21">
        <f>EXP(-LN(2)/25)*EW171+(1-EXP(-LN(2)/25))/(LN(2)/25)*Calculateur!ER172*Calculateur!ET172*VLOOKUP('Données projet'!$B$15,Paramètres!$A$1:$I$89,3,0)*0.475*44/12</f>
        <v>0.10125266952629881</v>
      </c>
      <c r="EX172" s="21">
        <f>EXP(-LN(2)/2)*EX171+(1-EXP(-LN(2)/2))/(LN(2)/2)*ER172*EU172*VLOOKUP('Données projet'!$B$15,Paramètres!$A$1:$I$89,3,0)*0.475*44/12</f>
        <v>7.3235250370976132E-21</v>
      </c>
      <c r="EY172" s="22">
        <f t="shared" si="181"/>
        <v>0.15654329335491141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-2.2737367544323206E-13</v>
      </c>
      <c r="FF172" s="17">
        <f>FE172*VLOOKUP('Données projet'!$B$16,Paramètres!$A$1:$I$89,3,0)*VLOOKUP('Données projet'!$B$16,Paramètres!$A$1:$I$89,5,0)</f>
        <v>-1.0936673788819462E-13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197.66963254934603</v>
      </c>
      <c r="FK172" s="59">
        <f t="shared" si="156"/>
        <v>158.08388141976138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0.17003197091651201</v>
      </c>
      <c r="FR172" s="21">
        <f>EXP(-LN(2)/25)*FR171+(1-EXP(-LN(2)/25))/(LN(2)/25)*Calculateur!FM172*Calculateur!FO172*VLOOKUP('Données projet'!$B$16,Paramètres!$A$1:$I$89,3,0)*0.475*44/12</f>
        <v>0.11262623758215141</v>
      </c>
      <c r="FS172" s="21">
        <f>EXP(-LN(2)/2)*FS171+(1-EXP(-LN(2)/2))/(LN(2)/2)*FM172*FP172*VLOOKUP('Données projet'!$B$16,Paramètres!$A$1:$I$89,3,0)*0.475*44/12</f>
        <v>9.9160681957300942E-21</v>
      </c>
      <c r="FT172" s="22">
        <f t="shared" si="184"/>
        <v>0.28265820849866341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5.6843418860808015E-14</v>
      </c>
      <c r="GA172" s="17">
        <f>FZ172*VLOOKUP('Données projet'!$B$17,Paramètres!$A$1:$I$89,3,0)*VLOOKUP('Données projet'!$B$17,Paramètres!$A$1:$I$89,5,0)</f>
        <v>3.3992364478763198E-14</v>
      </c>
      <c r="GB172" s="13">
        <f t="shared" si="185"/>
        <v>5.790027782444094E-13</v>
      </c>
      <c r="GC172" s="20">
        <f t="shared" si="186"/>
        <v>1.0676332069095257E-12</v>
      </c>
      <c r="GD172" s="59">
        <f t="shared" si="134"/>
        <v>293.33333333333439</v>
      </c>
      <c r="GE172" s="59">
        <f ca="1">AVERAGE(OFFSET($GD$3,0,0,'Données projet'!$E$17+1,1))-AVERAGE(OFFSET($H$3,0,0,'Données projet'!$E$17+1,1))</f>
        <v>165.39579887388538</v>
      </c>
      <c r="GF172" s="59">
        <f t="shared" si="158"/>
        <v>155.89639262545802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0.15450971136035771</v>
      </c>
      <c r="GN172" s="21">
        <f>EXP(-LN(2)/2)*GN171+(1-EXP(-LN(2)/2))/(LN(2)/2)*GH172*GK172*VLOOKUP('Données projet'!$B$17,Paramètres!$A$1:$I$89,3,0)*0.475*44/12</f>
        <v>1.6626693294049574E-20</v>
      </c>
      <c r="GO172" s="21">
        <f t="shared" si="187"/>
        <v>0.15450971136035771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2.8421709430404007E-14</v>
      </c>
      <c r="GV172" s="17">
        <f>GU172*VLOOKUP('Données projet'!$B$18,Paramètres!$A$1:$I$89,3,0)*VLOOKUP('Données projet'!$B$18,Paramètres!$A$1:$I$89,5,0)</f>
        <v>3.0593128030886874E-14</v>
      </c>
      <c r="GW172" s="13">
        <f t="shared" si="188"/>
        <v>5.2753263159251616E-13</v>
      </c>
      <c r="GX172" s="20">
        <f t="shared" si="189"/>
        <v>9.7206903134409357E-13</v>
      </c>
      <c r="GY172" s="59">
        <f t="shared" si="137"/>
        <v>293.33333333333428</v>
      </c>
      <c r="GZ172" s="59">
        <f ca="1">AVERAGE(OFFSET($GY$3,0,0,'Données projet'!$E$18+1,1))-AVERAGE(OFFSET($H$3,0,0,'Données projet'!$E$18+1,1))</f>
        <v>186.60545265015247</v>
      </c>
      <c r="HA172" s="59">
        <f t="shared" si="160"/>
        <v>69.239647548491234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0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0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1.9065282685915009E-13</v>
      </c>
      <c r="P173" s="13">
        <f t="shared" si="141"/>
        <v>2.6568987209435707E-12</v>
      </c>
      <c r="Q173" s="20">
        <f t="shared" si="162"/>
        <v>4.959485612423072E-12</v>
      </c>
      <c r="R173" s="59">
        <f t="shared" si="109"/>
        <v>293.33333333333826</v>
      </c>
      <c r="S173" s="59">
        <f ca="1">AVERAGE(OFFSET($R$3,0,0,'Données projet'!$E$9+1,1))-AVERAGE(OFFSET($H$3,0,0,'Données projet'!$E$9+1,1))</f>
        <v>235.10258076192054</v>
      </c>
      <c r="T173" s="59">
        <f t="shared" si="142"/>
        <v>233.47316052603765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0.21412242695806441</v>
      </c>
      <c r="AA173" s="21">
        <f>EXP(-LN(2)/25)*AA172+(1-EXP(-LN(2)/25))/(LN(2)/25)*Calculateur!V173*Calculateur!X173*VLOOKUP('Données projet'!$B$9,Paramètres!$A$1:$I$89,3,0)*0.475*44/12</f>
        <v>0.38007775200438937</v>
      </c>
      <c r="AB173" s="21">
        <f>EXP(-LN(2)/2)*AB172+(1-EXP(-LN(2)/2))/(LN(2)/2)*V173*Y173*VLOOKUP('Données projet'!$B$9,Paramètres!$A$1:$I$89,3,0)*0.475*44/12</f>
        <v>2.0432197975460476E-20</v>
      </c>
      <c r="AC173" s="22">
        <f t="shared" si="163"/>
        <v>0.59420017896245381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2.2737367544323206E-13</v>
      </c>
      <c r="AJ173" s="13">
        <f>AI173*VLOOKUP('Données projet'!$B$10,Paramètres!$A$1:$I$89,3,0)*VLOOKUP('Données projet'!$B$10,Paramètres!$A$1:$I$89,5,0)</f>
        <v>1.2414602679200471E-13</v>
      </c>
      <c r="AK173" s="13">
        <f t="shared" si="164"/>
        <v>1.8186582995804361E-12</v>
      </c>
      <c r="AL173" s="20">
        <f t="shared" si="165"/>
        <v>3.3837175350986671E-12</v>
      </c>
      <c r="AM173" s="59">
        <f t="shared" si="113"/>
        <v>293.33333333333672</v>
      </c>
      <c r="AN173" s="59">
        <f ca="1">AVERAGE(OFFSET($AM$3,0,0,'Données projet'!$E$10+1,1))-AVERAGE(OFFSET($H$3,0,0,'Données projet'!$E$10+1,1))</f>
        <v>168.72306536277267</v>
      </c>
      <c r="AO173" s="59">
        <f t="shared" si="144"/>
        <v>203.35476578922339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0.19012985057587098</v>
      </c>
      <c r="AV173" s="21">
        <f>EXP(-LN(2)/25)*AV172+(1-EXP(-LN(2)/25))/(LN(2)/25)*Calculateur!AQ173*Calculateur!AS173*VLOOKUP('Données projet'!$B$10,Paramètres!$A$1:$I$89,3,0)*0.475*44/12</f>
        <v>0.47388933999600652</v>
      </c>
      <c r="AW173" s="21">
        <f>EXP(-LN(2)/2)*AW172+(1-EXP(-LN(2)/2))/(LN(2)/2)*AQ173*AT173*VLOOKUP('Données projet'!$B$10,Paramètres!$A$1:$I$89,3,0)*0.475*44/12</f>
        <v>1.6960857819676337E-20</v>
      </c>
      <c r="AX173" s="21">
        <f t="shared" si="166"/>
        <v>0.66401919057187753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3.3992364478763198E-14</v>
      </c>
      <c r="BF173" s="13">
        <f t="shared" si="167"/>
        <v>5.790027782444094E-13</v>
      </c>
      <c r="BG173" s="20">
        <f t="shared" si="168"/>
        <v>1.0676332069095257E-12</v>
      </c>
      <c r="BH173" s="59">
        <f t="shared" si="116"/>
        <v>293.33333333333439</v>
      </c>
      <c r="BI173" s="59">
        <f ca="1">AVERAGE(OFFSET($BH$3,0,0,'Données projet'!$E$11+1,1))-AVERAGE(OFFSET($H$3,0,0,'Données projet'!$E$11+1,1))</f>
        <v>165.39579887388538</v>
      </c>
      <c r="BJ173" s="59">
        <f t="shared" si="146"/>
        <v>155.89639262545802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0.15028463517789614</v>
      </c>
      <c r="BR173" s="21">
        <f>EXP(-LN(2)/2)*BR172+(1-EXP(-LN(2)/2))/(LN(2)/2)*BL173*BO173*VLOOKUP('Données projet'!$B$11,Paramètres!$A$1:$I$89,3,0)*0.475*44/12</f>
        <v>1.1756847576931349E-20</v>
      </c>
      <c r="BS173" s="22">
        <f t="shared" si="169"/>
        <v>0.15028463517789614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2.8421709430404007E-14</v>
      </c>
      <c r="BZ173" s="13">
        <f>BY173*VLOOKUP('Données projet'!$B$12,Paramètres!$A$1:$I$89,3,0)*VLOOKUP('Données projet'!$B$12,Paramètres!$A$1:$I$89,5,0)</f>
        <v>2.7489477361086758E-14</v>
      </c>
      <c r="CA173" s="13">
        <f t="shared" si="170"/>
        <v>4.7995394886724981E-13</v>
      </c>
      <c r="CB173" s="20">
        <f t="shared" si="171"/>
        <v>8.8379730068101964E-13</v>
      </c>
      <c r="CC173" s="59">
        <f t="shared" si="119"/>
        <v>293.33333333333422</v>
      </c>
      <c r="CD173" s="59">
        <f ca="1">AVERAGE(OFFSET($CC$3,0,0,'Données projet'!$E$12+1,1))-AVERAGE(OFFSET($H$3,0,0,'Données projet'!$E$12+1,1))</f>
        <v>156.26368818265388</v>
      </c>
      <c r="CE173" s="59">
        <f t="shared" si="148"/>
        <v>56.347130462109817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2.8421709430404007E-14</v>
      </c>
      <c r="CU173" s="17">
        <f>CT173*VLOOKUP('Données projet'!$B$13,Paramètres!$A$1:$I$89,3,0)*VLOOKUP('Données projet'!$B$13,Paramètres!$A$1:$I$89,5,0)</f>
        <v>2.3055690689943732E-14</v>
      </c>
      <c r="CV173" s="13">
        <f t="shared" si="173"/>
        <v>4.10868481342271E-13</v>
      </c>
      <c r="CW173" s="20">
        <f t="shared" si="174"/>
        <v>7.5575126628944061E-13</v>
      </c>
      <c r="CX173" s="59">
        <f t="shared" si="122"/>
        <v>293.33333333333405</v>
      </c>
      <c r="CY173" s="59">
        <f ca="1">AVERAGE(OFFSET($CX$3,0,0,'Données projet'!$E$13+1,1))-AVERAGE(OFFSET($H$3,0,0,'Données projet'!$E$13+1,1))</f>
        <v>112.78807760743126</v>
      </c>
      <c r="CZ173" s="59">
        <f t="shared" si="150"/>
        <v>37.867745922003564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-8.5265128291212022E-14</v>
      </c>
      <c r="DP173" s="17">
        <f>DO173*VLOOKUP('Données projet'!$B$14,Paramètres!$A$1:$I$89,3,0)*VLOOKUP('Données projet'!$B$14,Paramètres!$A$1:$I$89,5,0)</f>
        <v>-5.7195848057745024E-14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107.15837202366862</v>
      </c>
      <c r="DU173" s="59">
        <f t="shared" si="152"/>
        <v>139.67031833740026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0.11686001803501046</v>
      </c>
      <c r="EC173" s="21">
        <f>EXP(-LN(2)/2)*EC172+(1-EXP(-LN(2)/2))/(LN(2)/2)*DW173*DZ173*VLOOKUP('Données projet'!$B$14,Paramètres!$A$1:$I$89,3,0)*0.475*44/12</f>
        <v>5.7170281724548111E-21</v>
      </c>
      <c r="ED173" s="22">
        <f t="shared" si="178"/>
        <v>0.11686001803501046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-1.1368683772161603E-13</v>
      </c>
      <c r="EK173" s="17">
        <f>EJ173*VLOOKUP('Données projet'!$B$15,Paramètres!$A$1:$I$89,3,0)*VLOOKUP('Données projet'!$B$15,Paramètres!$A$1:$I$89,5,0)</f>
        <v>-5.3205440053716299E-14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123.60520571614535</v>
      </c>
      <c r="EP173" s="59">
        <f t="shared" si="154"/>
        <v>119.00926870519527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5.4206408419284084E-2</v>
      </c>
      <c r="EW173" s="21">
        <f>EXP(-LN(2)/25)*EW172+(1-EXP(-LN(2)/25))/(LN(2)/25)*Calculateur!ER173*Calculateur!ET173*VLOOKUP('Données projet'!$B$15,Paramètres!$A$1:$I$89,3,0)*0.475*44/12</f>
        <v>9.8483909953455698E-2</v>
      </c>
      <c r="EX173" s="21">
        <f>EXP(-LN(2)/2)*EX172+(1-EXP(-LN(2)/2))/(LN(2)/2)*ER173*EU173*VLOOKUP('Données projet'!$B$15,Paramètres!$A$1:$I$89,3,0)*0.475*44/12</f>
        <v>5.1785142159211844E-21</v>
      </c>
      <c r="EY173" s="22">
        <f t="shared" si="181"/>
        <v>0.15269031837273978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-2.2737367544323206E-13</v>
      </c>
      <c r="FF173" s="17">
        <f>FE173*VLOOKUP('Données projet'!$B$16,Paramètres!$A$1:$I$89,3,0)*VLOOKUP('Données projet'!$B$16,Paramètres!$A$1:$I$89,5,0)</f>
        <v>-1.0936673788819462E-13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197.66963254934603</v>
      </c>
      <c r="FK173" s="59">
        <f t="shared" si="156"/>
        <v>158.08388141976138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0.16669774767610102</v>
      </c>
      <c r="FR173" s="21">
        <f>EXP(-LN(2)/25)*FR172+(1-EXP(-LN(2)/25))/(LN(2)/25)*Calculateur!FM173*Calculateur!FO173*VLOOKUP('Données projet'!$B$16,Paramètres!$A$1:$I$89,3,0)*0.475*44/12</f>
        <v>0.10954646719271106</v>
      </c>
      <c r="FS173" s="21">
        <f>EXP(-LN(2)/2)*FS172+(1-EXP(-LN(2)/2))/(LN(2)/2)*FM173*FP173*VLOOKUP('Données projet'!$B$16,Paramètres!$A$1:$I$89,3,0)*0.475*44/12</f>
        <v>7.0117190639090026E-21</v>
      </c>
      <c r="FT173" s="22">
        <f t="shared" si="184"/>
        <v>0.27624421486881207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5.6843418860808015E-14</v>
      </c>
      <c r="GA173" s="17">
        <f>FZ173*VLOOKUP('Données projet'!$B$17,Paramètres!$A$1:$I$89,3,0)*VLOOKUP('Données projet'!$B$17,Paramètres!$A$1:$I$89,5,0)</f>
        <v>3.3992364478763198E-14</v>
      </c>
      <c r="GB173" s="13">
        <f t="shared" si="185"/>
        <v>5.790027782444094E-13</v>
      </c>
      <c r="GC173" s="20">
        <f t="shared" si="186"/>
        <v>1.0676332069095257E-12</v>
      </c>
      <c r="GD173" s="59">
        <f t="shared" si="134"/>
        <v>293.33333333333439</v>
      </c>
      <c r="GE173" s="59">
        <f ca="1">AVERAGE(OFFSET($GD$3,0,0,'Données projet'!$E$17+1,1))-AVERAGE(OFFSET($H$3,0,0,'Données projet'!$E$17+1,1))</f>
        <v>165.39579887388538</v>
      </c>
      <c r="GF173" s="59">
        <f t="shared" si="158"/>
        <v>155.89639262545802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0.15028463517789614</v>
      </c>
      <c r="GN173" s="21">
        <f>EXP(-LN(2)/2)*GN172+(1-EXP(-LN(2)/2))/(LN(2)/2)*GH173*GK173*VLOOKUP('Données projet'!$B$17,Paramètres!$A$1:$I$89,3,0)*0.475*44/12</f>
        <v>1.1756847576931349E-20</v>
      </c>
      <c r="GO173" s="21">
        <f t="shared" si="187"/>
        <v>0.15028463517789614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2.8421709430404007E-14</v>
      </c>
      <c r="GV173" s="17">
        <f>GU173*VLOOKUP('Données projet'!$B$18,Paramètres!$A$1:$I$89,3,0)*VLOOKUP('Données projet'!$B$18,Paramètres!$A$1:$I$89,5,0)</f>
        <v>3.0593128030886874E-14</v>
      </c>
      <c r="GW173" s="13">
        <f t="shared" si="188"/>
        <v>5.2753263159251616E-13</v>
      </c>
      <c r="GX173" s="20">
        <f t="shared" si="189"/>
        <v>9.7206903134409357E-13</v>
      </c>
      <c r="GY173" s="59">
        <f t="shared" si="137"/>
        <v>293.33333333333428</v>
      </c>
      <c r="GZ173" s="59">
        <f ca="1">AVERAGE(OFFSET($GY$3,0,0,'Données projet'!$E$18+1,1))-AVERAGE(OFFSET($H$3,0,0,'Données projet'!$E$18+1,1))</f>
        <v>186.60545265015247</v>
      </c>
      <c r="HA173" s="59">
        <f t="shared" si="160"/>
        <v>69.239647548491234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0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0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1.9065282685915009E-13</v>
      </c>
      <c r="P174" s="13">
        <f t="shared" si="141"/>
        <v>2.6568987209435707E-12</v>
      </c>
      <c r="Q174" s="20">
        <f t="shared" si="162"/>
        <v>4.959485612423072E-12</v>
      </c>
      <c r="R174" s="59">
        <f t="shared" si="109"/>
        <v>293.33333333333826</v>
      </c>
      <c r="S174" s="59">
        <f ca="1">AVERAGE(OFFSET($R$3,0,0,'Données projet'!$E$9+1,1))-AVERAGE(OFFSET($H$3,0,0,'Données projet'!$E$9+1,1))</f>
        <v>235.10258076192054</v>
      </c>
      <c r="T174" s="59">
        <f t="shared" si="142"/>
        <v>233.47316052603765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0.20992361676720137</v>
      </c>
      <c r="AA174" s="21">
        <f>EXP(-LN(2)/25)*AA173+(1-EXP(-LN(2)/25))/(LN(2)/25)*Calculateur!V174*Calculateur!X174*VLOOKUP('Données projet'!$B$9,Paramètres!$A$1:$I$89,3,0)*0.475*44/12</f>
        <v>0.36968450588840907</v>
      </c>
      <c r="AB174" s="21">
        <f>EXP(-LN(2)/2)*AB173+(1-EXP(-LN(2)/2))/(LN(2)/2)*V174*Y174*VLOOKUP('Données projet'!$B$9,Paramètres!$A$1:$I$89,3,0)*0.475*44/12</f>
        <v>1.444774574299415E-20</v>
      </c>
      <c r="AC174" s="22">
        <f t="shared" si="163"/>
        <v>0.57960812265561046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2.2737367544323206E-13</v>
      </c>
      <c r="AJ174" s="13">
        <f>AI174*VLOOKUP('Données projet'!$B$10,Paramètres!$A$1:$I$89,3,0)*VLOOKUP('Données projet'!$B$10,Paramètres!$A$1:$I$89,5,0)</f>
        <v>1.2414602679200471E-13</v>
      </c>
      <c r="AK174" s="13">
        <f t="shared" si="164"/>
        <v>1.8186582995804361E-12</v>
      </c>
      <c r="AL174" s="20">
        <f t="shared" si="165"/>
        <v>3.3837175350986671E-12</v>
      </c>
      <c r="AM174" s="59">
        <f t="shared" si="113"/>
        <v>293.33333333333672</v>
      </c>
      <c r="AN174" s="59">
        <f ca="1">AVERAGE(OFFSET($AM$3,0,0,'Données projet'!$E$10+1,1))-AVERAGE(OFFSET($H$3,0,0,'Données projet'!$E$10+1,1))</f>
        <v>168.72306536277267</v>
      </c>
      <c r="AO174" s="59">
        <f t="shared" si="144"/>
        <v>203.35476578922339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0.18640152017383613</v>
      </c>
      <c r="AV174" s="21">
        <f>EXP(-LN(2)/25)*AV173+(1-EXP(-LN(2)/25))/(LN(2)/25)*Calculateur!AQ174*Calculateur!AS174*VLOOKUP('Données projet'!$B$10,Paramètres!$A$1:$I$89,3,0)*0.475*44/12</f>
        <v>0.46093081107305844</v>
      </c>
      <c r="AW174" s="21">
        <f>EXP(-LN(2)/2)*AW173+(1-EXP(-LN(2)/2))/(LN(2)/2)*AQ174*AT174*VLOOKUP('Données projet'!$B$10,Paramètres!$A$1:$I$89,3,0)*0.475*44/12</f>
        <v>1.199313757903402E-20</v>
      </c>
      <c r="AX174" s="21">
        <f t="shared" si="166"/>
        <v>0.6473323312468946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3.3992364478763198E-14</v>
      </c>
      <c r="BF174" s="13">
        <f t="shared" si="167"/>
        <v>5.790027782444094E-13</v>
      </c>
      <c r="BG174" s="20">
        <f t="shared" si="168"/>
        <v>1.0676332069095257E-12</v>
      </c>
      <c r="BH174" s="59">
        <f t="shared" si="116"/>
        <v>293.33333333333439</v>
      </c>
      <c r="BI174" s="59">
        <f ca="1">AVERAGE(OFFSET($BH$3,0,0,'Données projet'!$E$11+1,1))-AVERAGE(OFFSET($H$3,0,0,'Données projet'!$E$11+1,1))</f>
        <v>165.39579887388538</v>
      </c>
      <c r="BJ174" s="59">
        <f t="shared" si="146"/>
        <v>155.89639262545802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0.14617509392583108</v>
      </c>
      <c r="BR174" s="21">
        <f>EXP(-LN(2)/2)*BR173+(1-EXP(-LN(2)/2))/(LN(2)/2)*BL174*BO174*VLOOKUP('Données projet'!$B$11,Paramètres!$A$1:$I$89,3,0)*0.475*44/12</f>
        <v>8.3133466470247869E-21</v>
      </c>
      <c r="BS174" s="22">
        <f t="shared" si="169"/>
        <v>0.14617509392583108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2.8421709430404007E-14</v>
      </c>
      <c r="BZ174" s="13">
        <f>BY174*VLOOKUP('Données projet'!$B$12,Paramètres!$A$1:$I$89,3,0)*VLOOKUP('Données projet'!$B$12,Paramètres!$A$1:$I$89,5,0)</f>
        <v>2.7489477361086758E-14</v>
      </c>
      <c r="CA174" s="13">
        <f t="shared" si="170"/>
        <v>4.7995394886724981E-13</v>
      </c>
      <c r="CB174" s="20">
        <f t="shared" si="171"/>
        <v>8.8379730068101964E-13</v>
      </c>
      <c r="CC174" s="59">
        <f t="shared" si="119"/>
        <v>293.33333333333422</v>
      </c>
      <c r="CD174" s="59">
        <f ca="1">AVERAGE(OFFSET($CC$3,0,0,'Données projet'!$E$12+1,1))-AVERAGE(OFFSET($H$3,0,0,'Données projet'!$E$12+1,1))</f>
        <v>156.26368818265388</v>
      </c>
      <c r="CE174" s="59">
        <f t="shared" si="148"/>
        <v>56.347130462109817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2.8421709430404007E-14</v>
      </c>
      <c r="CU174" s="17">
        <f>CT174*VLOOKUP('Données projet'!$B$13,Paramètres!$A$1:$I$89,3,0)*VLOOKUP('Données projet'!$B$13,Paramètres!$A$1:$I$89,5,0)</f>
        <v>2.3055690689943732E-14</v>
      </c>
      <c r="CV174" s="13">
        <f t="shared" si="173"/>
        <v>4.10868481342271E-13</v>
      </c>
      <c r="CW174" s="20">
        <f t="shared" si="174"/>
        <v>7.5575126628944061E-13</v>
      </c>
      <c r="CX174" s="59">
        <f t="shared" si="122"/>
        <v>293.33333333333405</v>
      </c>
      <c r="CY174" s="59">
        <f ca="1">AVERAGE(OFFSET($CX$3,0,0,'Données projet'!$E$13+1,1))-AVERAGE(OFFSET($H$3,0,0,'Données projet'!$E$13+1,1))</f>
        <v>112.78807760743126</v>
      </c>
      <c r="CZ174" s="59">
        <f t="shared" si="150"/>
        <v>37.867745922003564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-8.5265128291212022E-14</v>
      </c>
      <c r="DP174" s="17">
        <f>DO174*VLOOKUP('Données projet'!$B$14,Paramètres!$A$1:$I$89,3,0)*VLOOKUP('Données projet'!$B$14,Paramètres!$A$1:$I$89,5,0)</f>
        <v>-5.7195848057745024E-14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107.15837202366862</v>
      </c>
      <c r="DU174" s="59">
        <f t="shared" si="152"/>
        <v>139.67031833740026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0.11366447469644184</v>
      </c>
      <c r="EC174" s="21">
        <f>EXP(-LN(2)/2)*EC173+(1-EXP(-LN(2)/2))/(LN(2)/2)*DW174*DZ174*VLOOKUP('Données projet'!$B$14,Paramètres!$A$1:$I$89,3,0)*0.475*44/12</f>
        <v>4.0425493889773318E-21</v>
      </c>
      <c r="ED174" s="22">
        <f t="shared" si="178"/>
        <v>0.11366447469644184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-1.1368683772161603E-13</v>
      </c>
      <c r="EK174" s="17">
        <f>EJ174*VLOOKUP('Données projet'!$B$15,Paramètres!$A$1:$I$89,3,0)*VLOOKUP('Données projet'!$B$15,Paramètres!$A$1:$I$89,5,0)</f>
        <v>-5.3205440053716299E-14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123.60520571614535</v>
      </c>
      <c r="EP174" s="59">
        <f t="shared" si="154"/>
        <v>119.00926870519527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5.3143453812826397E-2</v>
      </c>
      <c r="EW174" s="21">
        <f>EXP(-LN(2)/25)*EW173+(1-EXP(-LN(2)/25))/(LN(2)/25)*Calculateur!ER174*Calculateur!ET174*VLOOKUP('Données projet'!$B$15,Paramètres!$A$1:$I$89,3,0)*0.475*44/12</f>
        <v>9.5790862256734721E-2</v>
      </c>
      <c r="EX174" s="21">
        <f>EXP(-LN(2)/2)*EX173+(1-EXP(-LN(2)/2))/(LN(2)/2)*ER174*EU174*VLOOKUP('Données projet'!$B$15,Paramètres!$A$1:$I$89,3,0)*0.475*44/12</f>
        <v>3.6617625185488066E-21</v>
      </c>
      <c r="EY174" s="22">
        <f t="shared" si="181"/>
        <v>0.14893431606956112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-2.2737367544323206E-13</v>
      </c>
      <c r="FF174" s="17">
        <f>FE174*VLOOKUP('Données projet'!$B$16,Paramètres!$A$1:$I$89,3,0)*VLOOKUP('Données projet'!$B$16,Paramètres!$A$1:$I$89,5,0)</f>
        <v>-1.0936673788819462E-13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197.66963254934603</v>
      </c>
      <c r="FK174" s="59">
        <f t="shared" si="156"/>
        <v>158.08388141976138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0.16342890651975914</v>
      </c>
      <c r="FR174" s="21">
        <f>EXP(-LN(2)/25)*FR173+(1-EXP(-LN(2)/25))/(LN(2)/25)*Calculateur!FM174*Calculateur!FO174*VLOOKUP('Données projet'!$B$16,Paramètres!$A$1:$I$89,3,0)*0.475*44/12</f>
        <v>0.10655091328652805</v>
      </c>
      <c r="FS174" s="21">
        <f>EXP(-LN(2)/2)*FS173+(1-EXP(-LN(2)/2))/(LN(2)/2)*FM174*FP174*VLOOKUP('Données projet'!$B$16,Paramètres!$A$1:$I$89,3,0)*0.475*44/12</f>
        <v>4.9580340978650471E-21</v>
      </c>
      <c r="FT174" s="22">
        <f t="shared" si="184"/>
        <v>0.26997981980628716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5.6843418860808015E-14</v>
      </c>
      <c r="GA174" s="17">
        <f>FZ174*VLOOKUP('Données projet'!$B$17,Paramètres!$A$1:$I$89,3,0)*VLOOKUP('Données projet'!$B$17,Paramètres!$A$1:$I$89,5,0)</f>
        <v>3.3992364478763198E-14</v>
      </c>
      <c r="GB174" s="13">
        <f t="shared" si="185"/>
        <v>5.790027782444094E-13</v>
      </c>
      <c r="GC174" s="20">
        <f t="shared" si="186"/>
        <v>1.0676332069095257E-12</v>
      </c>
      <c r="GD174" s="59">
        <f t="shared" si="134"/>
        <v>293.33333333333439</v>
      </c>
      <c r="GE174" s="59">
        <f ca="1">AVERAGE(OFFSET($GD$3,0,0,'Données projet'!$E$17+1,1))-AVERAGE(OFFSET($H$3,0,0,'Données projet'!$E$17+1,1))</f>
        <v>165.39579887388538</v>
      </c>
      <c r="GF174" s="59">
        <f t="shared" si="158"/>
        <v>155.89639262545802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0.14617509392583108</v>
      </c>
      <c r="GN174" s="21">
        <f>EXP(-LN(2)/2)*GN173+(1-EXP(-LN(2)/2))/(LN(2)/2)*GH174*GK174*VLOOKUP('Données projet'!$B$17,Paramètres!$A$1:$I$89,3,0)*0.475*44/12</f>
        <v>8.3133466470247869E-21</v>
      </c>
      <c r="GO174" s="21">
        <f t="shared" si="187"/>
        <v>0.14617509392583108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2.8421709430404007E-14</v>
      </c>
      <c r="GV174" s="17">
        <f>GU174*VLOOKUP('Données projet'!$B$18,Paramètres!$A$1:$I$89,3,0)*VLOOKUP('Données projet'!$B$18,Paramètres!$A$1:$I$89,5,0)</f>
        <v>3.0593128030886874E-14</v>
      </c>
      <c r="GW174" s="13">
        <f t="shared" si="188"/>
        <v>5.2753263159251616E-13</v>
      </c>
      <c r="GX174" s="20">
        <f t="shared" si="189"/>
        <v>9.7206903134409357E-13</v>
      </c>
      <c r="GY174" s="59">
        <f t="shared" si="137"/>
        <v>293.33333333333428</v>
      </c>
      <c r="GZ174" s="59">
        <f ca="1">AVERAGE(OFFSET($GY$3,0,0,'Données projet'!$E$18+1,1))-AVERAGE(OFFSET($H$3,0,0,'Données projet'!$E$18+1,1))</f>
        <v>186.60545265015247</v>
      </c>
      <c r="HA174" s="59">
        <f t="shared" si="160"/>
        <v>69.239647548491234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0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0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1.9065282685915009E-13</v>
      </c>
      <c r="P175" s="13">
        <f t="shared" si="141"/>
        <v>2.6568987209435707E-12</v>
      </c>
      <c r="Q175" s="20">
        <f t="shared" si="162"/>
        <v>4.959485612423072E-12</v>
      </c>
      <c r="R175" s="59">
        <f t="shared" si="109"/>
        <v>293.33333333333826</v>
      </c>
      <c r="S175" s="59">
        <f ca="1">AVERAGE(OFFSET($R$3,0,0,'Données projet'!$E$9+1,1))-AVERAGE(OFFSET($H$3,0,0,'Données projet'!$E$9+1,1))</f>
        <v>235.10258076192054</v>
      </c>
      <c r="T175" s="59">
        <f t="shared" si="142"/>
        <v>233.47316052603765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0.2058071426831598</v>
      </c>
      <c r="AA175" s="21">
        <f>EXP(-LN(2)/25)*AA174+(1-EXP(-LN(2)/25))/(LN(2)/25)*Calculateur!V175*Calculateur!X175*VLOOKUP('Données projet'!$B$9,Paramètres!$A$1:$I$89,3,0)*0.475*44/12</f>
        <v>0.35957546363402726</v>
      </c>
      <c r="AB175" s="21">
        <f>EXP(-LN(2)/2)*AB174+(1-EXP(-LN(2)/2))/(LN(2)/2)*V175*Y175*VLOOKUP('Données projet'!$B$9,Paramètres!$A$1:$I$89,3,0)*0.475*44/12</f>
        <v>1.0216098987730238E-20</v>
      </c>
      <c r="AC175" s="22">
        <f t="shared" si="163"/>
        <v>0.56538260631718706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2.2737367544323206E-13</v>
      </c>
      <c r="AJ175" s="13">
        <f>AI175*VLOOKUP('Données projet'!$B$10,Paramètres!$A$1:$I$89,3,0)*VLOOKUP('Données projet'!$B$10,Paramètres!$A$1:$I$89,5,0)</f>
        <v>1.2414602679200471E-13</v>
      </c>
      <c r="AK175" s="13">
        <f t="shared" si="164"/>
        <v>1.8186582995804361E-12</v>
      </c>
      <c r="AL175" s="20">
        <f t="shared" si="165"/>
        <v>3.3837175350986671E-12</v>
      </c>
      <c r="AM175" s="59">
        <f t="shared" si="113"/>
        <v>293.33333333333672</v>
      </c>
      <c r="AN175" s="59">
        <f ca="1">AVERAGE(OFFSET($AM$3,0,0,'Données projet'!$E$10+1,1))-AVERAGE(OFFSET($H$3,0,0,'Données projet'!$E$10+1,1))</f>
        <v>168.72306536277267</v>
      </c>
      <c r="AO175" s="59">
        <f t="shared" si="144"/>
        <v>203.35476578922339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0.18274630005692818</v>
      </c>
      <c r="AV175" s="21">
        <f>EXP(-LN(2)/25)*AV174+(1-EXP(-LN(2)/25))/(LN(2)/25)*Calculateur!AQ175*Calculateur!AS175*VLOOKUP('Données projet'!$B$10,Paramètres!$A$1:$I$89,3,0)*0.475*44/12</f>
        <v>0.44832663380496779</v>
      </c>
      <c r="AW175" s="21">
        <f>EXP(-LN(2)/2)*AW174+(1-EXP(-LN(2)/2))/(LN(2)/2)*AQ175*AT175*VLOOKUP('Données projet'!$B$10,Paramètres!$A$1:$I$89,3,0)*0.475*44/12</f>
        <v>8.4804289098381687E-21</v>
      </c>
      <c r="AX175" s="21">
        <f t="shared" si="166"/>
        <v>0.631072933861896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3.3992364478763198E-14</v>
      </c>
      <c r="BF175" s="13">
        <f t="shared" si="167"/>
        <v>5.790027782444094E-13</v>
      </c>
      <c r="BG175" s="20">
        <f t="shared" si="168"/>
        <v>1.0676332069095257E-12</v>
      </c>
      <c r="BH175" s="59">
        <f t="shared" si="116"/>
        <v>293.33333333333439</v>
      </c>
      <c r="BI175" s="59">
        <f ca="1">AVERAGE(OFFSET($BH$3,0,0,'Données projet'!$E$11+1,1))-AVERAGE(OFFSET($H$3,0,0,'Données projet'!$E$11+1,1))</f>
        <v>165.39579887388538</v>
      </c>
      <c r="BJ175" s="59">
        <f t="shared" si="146"/>
        <v>155.89639262545802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0.14217792829541512</v>
      </c>
      <c r="BR175" s="21">
        <f>EXP(-LN(2)/2)*BR174+(1-EXP(-LN(2)/2))/(LN(2)/2)*BL175*BO175*VLOOKUP('Données projet'!$B$11,Paramètres!$A$1:$I$89,3,0)*0.475*44/12</f>
        <v>5.8784237884656747E-21</v>
      </c>
      <c r="BS175" s="22">
        <f t="shared" si="169"/>
        <v>0.14217792829541512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2.8421709430404007E-14</v>
      </c>
      <c r="BZ175" s="13">
        <f>BY175*VLOOKUP('Données projet'!$B$12,Paramètres!$A$1:$I$89,3,0)*VLOOKUP('Données projet'!$B$12,Paramètres!$A$1:$I$89,5,0)</f>
        <v>2.7489477361086758E-14</v>
      </c>
      <c r="CA175" s="13">
        <f t="shared" si="170"/>
        <v>4.7995394886724981E-13</v>
      </c>
      <c r="CB175" s="20">
        <f t="shared" si="171"/>
        <v>8.8379730068101964E-13</v>
      </c>
      <c r="CC175" s="59">
        <f t="shared" si="119"/>
        <v>293.33333333333422</v>
      </c>
      <c r="CD175" s="59">
        <f ca="1">AVERAGE(OFFSET($CC$3,0,0,'Données projet'!$E$12+1,1))-AVERAGE(OFFSET($H$3,0,0,'Données projet'!$E$12+1,1))</f>
        <v>156.26368818265388</v>
      </c>
      <c r="CE175" s="59">
        <f t="shared" si="148"/>
        <v>56.347130462109817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2.8421709430404007E-14</v>
      </c>
      <c r="CU175" s="17">
        <f>CT175*VLOOKUP('Données projet'!$B$13,Paramètres!$A$1:$I$89,3,0)*VLOOKUP('Données projet'!$B$13,Paramètres!$A$1:$I$89,5,0)</f>
        <v>2.3055690689943732E-14</v>
      </c>
      <c r="CV175" s="13">
        <f t="shared" si="173"/>
        <v>4.10868481342271E-13</v>
      </c>
      <c r="CW175" s="20">
        <f t="shared" si="174"/>
        <v>7.5575126628944061E-13</v>
      </c>
      <c r="CX175" s="59">
        <f t="shared" si="122"/>
        <v>293.33333333333405</v>
      </c>
      <c r="CY175" s="59">
        <f ca="1">AVERAGE(OFFSET($CX$3,0,0,'Données projet'!$E$13+1,1))-AVERAGE(OFFSET($H$3,0,0,'Données projet'!$E$13+1,1))</f>
        <v>112.78807760743126</v>
      </c>
      <c r="CZ175" s="59">
        <f t="shared" si="150"/>
        <v>37.867745922003564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-8.5265128291212022E-14</v>
      </c>
      <c r="DP175" s="17">
        <f>DO175*VLOOKUP('Données projet'!$B$14,Paramètres!$A$1:$I$89,3,0)*VLOOKUP('Données projet'!$B$14,Paramètres!$A$1:$I$89,5,0)</f>
        <v>-5.7195848057745024E-14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107.15837202366862</v>
      </c>
      <c r="DU175" s="59">
        <f t="shared" si="152"/>
        <v>139.67031833740026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0.11055631365851269</v>
      </c>
      <c r="EC175" s="21">
        <f>EXP(-LN(2)/2)*EC174+(1-EXP(-LN(2)/2))/(LN(2)/2)*DW175*DZ175*VLOOKUP('Données projet'!$B$14,Paramètres!$A$1:$I$89,3,0)*0.475*44/12</f>
        <v>2.8585140862274056E-21</v>
      </c>
      <c r="ED175" s="22">
        <f t="shared" si="178"/>
        <v>0.11055631365851269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-1.1368683772161603E-13</v>
      </c>
      <c r="EK175" s="17">
        <f>EJ175*VLOOKUP('Données projet'!$B$15,Paramètres!$A$1:$I$89,3,0)*VLOOKUP('Données projet'!$B$15,Paramètres!$A$1:$I$89,5,0)</f>
        <v>-5.3205440053716299E-14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123.60520571614535</v>
      </c>
      <c r="EP175" s="59">
        <f t="shared" si="154"/>
        <v>119.00926870519527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5.2101343097863052E-2</v>
      </c>
      <c r="EW175" s="21">
        <f>EXP(-LN(2)/25)*EW174+(1-EXP(-LN(2)/25))/(LN(2)/25)*Calculateur!ER175*Calculateur!ET175*VLOOKUP('Données projet'!$B$15,Paramètres!$A$1:$I$89,3,0)*0.475*44/12</f>
        <v>9.31714560909018E-2</v>
      </c>
      <c r="EX175" s="21">
        <f>EXP(-LN(2)/2)*EX174+(1-EXP(-LN(2)/2))/(LN(2)/2)*ER175*EU175*VLOOKUP('Données projet'!$B$15,Paramètres!$A$1:$I$89,3,0)*0.475*44/12</f>
        <v>2.5892571079605922E-21</v>
      </c>
      <c r="EY175" s="22">
        <f t="shared" si="181"/>
        <v>0.14527279918876485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-2.2737367544323206E-13</v>
      </c>
      <c r="FF175" s="17">
        <f>FE175*VLOOKUP('Données projet'!$B$16,Paramètres!$A$1:$I$89,3,0)*VLOOKUP('Données projet'!$B$16,Paramètres!$A$1:$I$89,5,0)</f>
        <v>-1.0936673788819462E-13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197.66963254934603</v>
      </c>
      <c r="FK175" s="59">
        <f t="shared" si="156"/>
        <v>158.08388141976138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0.16022416534469688</v>
      </c>
      <c r="FR175" s="21">
        <f>EXP(-LN(2)/25)*FR174+(1-EXP(-LN(2)/25))/(LN(2)/25)*Calculateur!FM175*Calculateur!FO175*VLOOKUP('Données projet'!$B$16,Paramètres!$A$1:$I$89,3,0)*0.475*44/12</f>
        <v>0.10363727295943893</v>
      </c>
      <c r="FS175" s="21">
        <f>EXP(-LN(2)/2)*FS174+(1-EXP(-LN(2)/2))/(LN(2)/2)*FM175*FP175*VLOOKUP('Données projet'!$B$16,Paramètres!$A$1:$I$89,3,0)*0.475*44/12</f>
        <v>3.5058595319545013E-21</v>
      </c>
      <c r="FT175" s="22">
        <f t="shared" si="184"/>
        <v>0.26386143830413583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5.6843418860808015E-14</v>
      </c>
      <c r="GA175" s="17">
        <f>FZ175*VLOOKUP('Données projet'!$B$17,Paramètres!$A$1:$I$89,3,0)*VLOOKUP('Données projet'!$B$17,Paramètres!$A$1:$I$89,5,0)</f>
        <v>3.3992364478763198E-14</v>
      </c>
      <c r="GB175" s="13">
        <f t="shared" si="185"/>
        <v>5.790027782444094E-13</v>
      </c>
      <c r="GC175" s="20">
        <f t="shared" si="186"/>
        <v>1.0676332069095257E-12</v>
      </c>
      <c r="GD175" s="59">
        <f t="shared" si="134"/>
        <v>293.33333333333439</v>
      </c>
      <c r="GE175" s="59">
        <f ca="1">AVERAGE(OFFSET($GD$3,0,0,'Données projet'!$E$17+1,1))-AVERAGE(OFFSET($H$3,0,0,'Données projet'!$E$17+1,1))</f>
        <v>165.39579887388538</v>
      </c>
      <c r="GF175" s="59">
        <f t="shared" si="158"/>
        <v>155.89639262545802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0.14217792829541512</v>
      </c>
      <c r="GN175" s="21">
        <f>EXP(-LN(2)/2)*GN174+(1-EXP(-LN(2)/2))/(LN(2)/2)*GH175*GK175*VLOOKUP('Données projet'!$B$17,Paramètres!$A$1:$I$89,3,0)*0.475*44/12</f>
        <v>5.8784237884656747E-21</v>
      </c>
      <c r="GO175" s="21">
        <f t="shared" si="187"/>
        <v>0.14217792829541512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2.8421709430404007E-14</v>
      </c>
      <c r="GV175" s="17">
        <f>GU175*VLOOKUP('Données projet'!$B$18,Paramètres!$A$1:$I$89,3,0)*VLOOKUP('Données projet'!$B$18,Paramètres!$A$1:$I$89,5,0)</f>
        <v>3.0593128030886874E-14</v>
      </c>
      <c r="GW175" s="13">
        <f t="shared" si="188"/>
        <v>5.2753263159251616E-13</v>
      </c>
      <c r="GX175" s="20">
        <f t="shared" si="189"/>
        <v>9.7206903134409357E-13</v>
      </c>
      <c r="GY175" s="59">
        <f t="shared" si="137"/>
        <v>293.33333333333428</v>
      </c>
      <c r="GZ175" s="59">
        <f ca="1">AVERAGE(OFFSET($GY$3,0,0,'Données projet'!$E$18+1,1))-AVERAGE(OFFSET($H$3,0,0,'Données projet'!$E$18+1,1))</f>
        <v>186.60545265015247</v>
      </c>
      <c r="HA175" s="59">
        <f t="shared" si="160"/>
        <v>69.239647548491234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0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0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1.9065282685915009E-13</v>
      </c>
      <c r="P176" s="13">
        <f t="shared" si="141"/>
        <v>2.6568987209435707E-12</v>
      </c>
      <c r="Q176" s="20">
        <f t="shared" si="162"/>
        <v>4.959485612423072E-12</v>
      </c>
      <c r="R176" s="59">
        <f t="shared" si="109"/>
        <v>293.33333333333826</v>
      </c>
      <c r="S176" s="59">
        <f ca="1">AVERAGE(OFFSET($R$3,0,0,'Données projet'!$E$9+1,1))-AVERAGE(OFFSET($H$3,0,0,'Données projet'!$E$9+1,1))</f>
        <v>235.10258076192054</v>
      </c>
      <c r="T176" s="59">
        <f t="shared" si="142"/>
        <v>233.47316052603765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0.20177139014510503</v>
      </c>
      <c r="AA176" s="21">
        <f>EXP(-LN(2)/25)*AA175+(1-EXP(-LN(2)/25))/(LN(2)/25)*Calculateur!V176*Calculateur!X176*VLOOKUP('Données projet'!$B$9,Paramètres!$A$1:$I$89,3,0)*0.475*44/12</f>
        <v>0.34974285367170299</v>
      </c>
      <c r="AB176" s="21">
        <f>EXP(-LN(2)/2)*AB175+(1-EXP(-LN(2)/2))/(LN(2)/2)*V176*Y176*VLOOKUP('Données projet'!$B$9,Paramètres!$A$1:$I$89,3,0)*0.475*44/12</f>
        <v>7.2238728714970749E-21</v>
      </c>
      <c r="AC176" s="22">
        <f t="shared" si="163"/>
        <v>0.55151424381680803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2.2737367544323206E-13</v>
      </c>
      <c r="AJ176" s="13">
        <f>AI176*VLOOKUP('Données projet'!$B$10,Paramètres!$A$1:$I$89,3,0)*VLOOKUP('Données projet'!$B$10,Paramètres!$A$1:$I$89,5,0)</f>
        <v>1.2414602679200471E-13</v>
      </c>
      <c r="AK176" s="13">
        <f t="shared" si="164"/>
        <v>1.8186582995804361E-12</v>
      </c>
      <c r="AL176" s="20">
        <f t="shared" si="165"/>
        <v>3.3837175350986671E-12</v>
      </c>
      <c r="AM176" s="59">
        <f t="shared" si="113"/>
        <v>293.33333333333672</v>
      </c>
      <c r="AN176" s="59">
        <f ca="1">AVERAGE(OFFSET($AM$3,0,0,'Données projet'!$E$10+1,1))-AVERAGE(OFFSET($H$3,0,0,'Données projet'!$E$10+1,1))</f>
        <v>168.72306536277267</v>
      </c>
      <c r="AO176" s="59">
        <f t="shared" si="144"/>
        <v>203.35476578922339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0.17916275657704867</v>
      </c>
      <c r="AV176" s="21">
        <f>EXP(-LN(2)/25)*AV175+(1-EXP(-LN(2)/25))/(LN(2)/25)*Calculateur!AQ176*Calculateur!AS176*VLOOKUP('Données projet'!$B$10,Paramètres!$A$1:$I$89,3,0)*0.475*44/12</f>
        <v>0.43606711842709794</v>
      </c>
      <c r="AW176" s="21">
        <f>EXP(-LN(2)/2)*AW175+(1-EXP(-LN(2)/2))/(LN(2)/2)*AQ176*AT176*VLOOKUP('Données projet'!$B$10,Paramètres!$A$1:$I$89,3,0)*0.475*44/12</f>
        <v>5.9965687895170098E-21</v>
      </c>
      <c r="AX176" s="21">
        <f t="shared" si="166"/>
        <v>0.61522987500414661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3.3992364478763198E-14</v>
      </c>
      <c r="BF176" s="13">
        <f t="shared" si="167"/>
        <v>5.790027782444094E-13</v>
      </c>
      <c r="BG176" s="20">
        <f t="shared" si="168"/>
        <v>1.0676332069095257E-12</v>
      </c>
      <c r="BH176" s="59">
        <f t="shared" si="116"/>
        <v>293.33333333333439</v>
      </c>
      <c r="BI176" s="59">
        <f ca="1">AVERAGE(OFFSET($BH$3,0,0,'Données projet'!$E$11+1,1))-AVERAGE(OFFSET($H$3,0,0,'Données projet'!$E$11+1,1))</f>
        <v>165.39579887388538</v>
      </c>
      <c r="BJ176" s="59">
        <f t="shared" si="146"/>
        <v>155.89639262545802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0.1382900653693647</v>
      </c>
      <c r="BR176" s="21">
        <f>EXP(-LN(2)/2)*BR175+(1-EXP(-LN(2)/2))/(LN(2)/2)*BL176*BO176*VLOOKUP('Données projet'!$B$11,Paramètres!$A$1:$I$89,3,0)*0.475*44/12</f>
        <v>4.1566733235123935E-21</v>
      </c>
      <c r="BS176" s="22">
        <f t="shared" si="169"/>
        <v>0.1382900653693647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2.8421709430404007E-14</v>
      </c>
      <c r="BZ176" s="13">
        <f>BY176*VLOOKUP('Données projet'!$B$12,Paramètres!$A$1:$I$89,3,0)*VLOOKUP('Données projet'!$B$12,Paramètres!$A$1:$I$89,5,0)</f>
        <v>2.7489477361086758E-14</v>
      </c>
      <c r="CA176" s="13">
        <f t="shared" si="170"/>
        <v>4.7995394886724981E-13</v>
      </c>
      <c r="CB176" s="20">
        <f t="shared" si="171"/>
        <v>8.8379730068101964E-13</v>
      </c>
      <c r="CC176" s="59">
        <f t="shared" si="119"/>
        <v>293.33333333333422</v>
      </c>
      <c r="CD176" s="59">
        <f ca="1">AVERAGE(OFFSET($CC$3,0,0,'Données projet'!$E$12+1,1))-AVERAGE(OFFSET($H$3,0,0,'Données projet'!$E$12+1,1))</f>
        <v>156.26368818265388</v>
      </c>
      <c r="CE176" s="59">
        <f t="shared" si="148"/>
        <v>56.347130462109817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2.8421709430404007E-14</v>
      </c>
      <c r="CU176" s="17">
        <f>CT176*VLOOKUP('Données projet'!$B$13,Paramètres!$A$1:$I$89,3,0)*VLOOKUP('Données projet'!$B$13,Paramètres!$A$1:$I$89,5,0)</f>
        <v>2.3055690689943732E-14</v>
      </c>
      <c r="CV176" s="13">
        <f t="shared" si="173"/>
        <v>4.10868481342271E-13</v>
      </c>
      <c r="CW176" s="20">
        <f t="shared" si="174"/>
        <v>7.5575126628944061E-13</v>
      </c>
      <c r="CX176" s="59">
        <f t="shared" si="122"/>
        <v>293.33333333333405</v>
      </c>
      <c r="CY176" s="59">
        <f ca="1">AVERAGE(OFFSET($CX$3,0,0,'Données projet'!$E$13+1,1))-AVERAGE(OFFSET($H$3,0,0,'Données projet'!$E$13+1,1))</f>
        <v>112.78807760743126</v>
      </c>
      <c r="CZ176" s="59">
        <f t="shared" si="150"/>
        <v>37.867745922003564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-8.5265128291212022E-14</v>
      </c>
      <c r="DP176" s="17">
        <f>DO176*VLOOKUP('Données projet'!$B$14,Paramètres!$A$1:$I$89,3,0)*VLOOKUP('Données projet'!$B$14,Paramètres!$A$1:$I$89,5,0)</f>
        <v>-5.7195848057745024E-14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107.15837202366862</v>
      </c>
      <c r="DU176" s="59">
        <f t="shared" si="152"/>
        <v>139.67031833740026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0.1075331454476168</v>
      </c>
      <c r="EC176" s="21">
        <f>EXP(-LN(2)/2)*EC175+(1-EXP(-LN(2)/2))/(LN(2)/2)*DW176*DZ176*VLOOKUP('Données projet'!$B$14,Paramètres!$A$1:$I$89,3,0)*0.475*44/12</f>
        <v>2.0212746944886659E-21</v>
      </c>
      <c r="ED176" s="22">
        <f t="shared" si="178"/>
        <v>0.1075331454476168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-1.1368683772161603E-13</v>
      </c>
      <c r="EK176" s="17">
        <f>EJ176*VLOOKUP('Données projet'!$B$15,Paramètres!$A$1:$I$89,3,0)*VLOOKUP('Données projet'!$B$15,Paramètres!$A$1:$I$89,5,0)</f>
        <v>-5.3205440053716299E-14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123.60520571614535</v>
      </c>
      <c r="EP176" s="59">
        <f t="shared" si="154"/>
        <v>119.00926870519527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5.1079667538395365E-2</v>
      </c>
      <c r="EW176" s="21">
        <f>EXP(-LN(2)/25)*EW175+(1-EXP(-LN(2)/25))/(LN(2)/25)*Calculateur!ER176*Calculateur!ET176*VLOOKUP('Données projet'!$B$15,Paramètres!$A$1:$I$89,3,0)*0.475*44/12</f>
        <v>9.0623677724422161E-2</v>
      </c>
      <c r="EX176" s="21">
        <f>EXP(-LN(2)/2)*EX175+(1-EXP(-LN(2)/2))/(LN(2)/2)*ER176*EU176*VLOOKUP('Données projet'!$B$15,Paramètres!$A$1:$I$89,3,0)*0.475*44/12</f>
        <v>1.8308812592744033E-21</v>
      </c>
      <c r="EY176" s="22">
        <f t="shared" si="181"/>
        <v>0.14170334526281753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-2.2737367544323206E-13</v>
      </c>
      <c r="FF176" s="17">
        <f>FE176*VLOOKUP('Données projet'!$B$16,Paramètres!$A$1:$I$89,3,0)*VLOOKUP('Données projet'!$B$16,Paramètres!$A$1:$I$89,5,0)</f>
        <v>-1.0936673788819462E-13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197.66963254934603</v>
      </c>
      <c r="FK176" s="59">
        <f t="shared" si="156"/>
        <v>158.08388141976138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0.15708226718937848</v>
      </c>
      <c r="FR176" s="21">
        <f>EXP(-LN(2)/25)*FR175+(1-EXP(-LN(2)/25))/(LN(2)/25)*Calculateur!FM176*Calculateur!FO176*VLOOKUP('Données projet'!$B$16,Paramètres!$A$1:$I$89,3,0)*0.475*44/12</f>
        <v>0.10080330628031575</v>
      </c>
      <c r="FS176" s="21">
        <f>EXP(-LN(2)/2)*FS175+(1-EXP(-LN(2)/2))/(LN(2)/2)*FM176*FP176*VLOOKUP('Données projet'!$B$16,Paramètres!$A$1:$I$89,3,0)*0.475*44/12</f>
        <v>2.4790170489325236E-21</v>
      </c>
      <c r="FT176" s="22">
        <f t="shared" si="184"/>
        <v>0.25788557346969421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5.6843418860808015E-14</v>
      </c>
      <c r="GA176" s="17">
        <f>FZ176*VLOOKUP('Données projet'!$B$17,Paramètres!$A$1:$I$89,3,0)*VLOOKUP('Données projet'!$B$17,Paramètres!$A$1:$I$89,5,0)</f>
        <v>3.3992364478763198E-14</v>
      </c>
      <c r="GB176" s="13">
        <f t="shared" si="185"/>
        <v>5.790027782444094E-13</v>
      </c>
      <c r="GC176" s="20">
        <f t="shared" si="186"/>
        <v>1.0676332069095257E-12</v>
      </c>
      <c r="GD176" s="59">
        <f t="shared" si="134"/>
        <v>293.33333333333439</v>
      </c>
      <c r="GE176" s="59">
        <f ca="1">AVERAGE(OFFSET($GD$3,0,0,'Données projet'!$E$17+1,1))-AVERAGE(OFFSET($H$3,0,0,'Données projet'!$E$17+1,1))</f>
        <v>165.39579887388538</v>
      </c>
      <c r="GF176" s="59">
        <f t="shared" si="158"/>
        <v>155.89639262545802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0.1382900653693647</v>
      </c>
      <c r="GN176" s="21">
        <f>EXP(-LN(2)/2)*GN175+(1-EXP(-LN(2)/2))/(LN(2)/2)*GH176*GK176*VLOOKUP('Données projet'!$B$17,Paramètres!$A$1:$I$89,3,0)*0.475*44/12</f>
        <v>4.1566733235123935E-21</v>
      </c>
      <c r="GO176" s="21">
        <f t="shared" si="187"/>
        <v>0.1382900653693647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2.8421709430404007E-14</v>
      </c>
      <c r="GV176" s="17">
        <f>GU176*VLOOKUP('Données projet'!$B$18,Paramètres!$A$1:$I$89,3,0)*VLOOKUP('Données projet'!$B$18,Paramètres!$A$1:$I$89,5,0)</f>
        <v>3.0593128030886874E-14</v>
      </c>
      <c r="GW176" s="13">
        <f t="shared" si="188"/>
        <v>5.2753263159251616E-13</v>
      </c>
      <c r="GX176" s="20">
        <f t="shared" si="189"/>
        <v>9.7206903134409357E-13</v>
      </c>
      <c r="GY176" s="59">
        <f t="shared" si="137"/>
        <v>293.33333333333428</v>
      </c>
      <c r="GZ176" s="59">
        <f ca="1">AVERAGE(OFFSET($GY$3,0,0,'Données projet'!$E$18+1,1))-AVERAGE(OFFSET($H$3,0,0,'Données projet'!$E$18+1,1))</f>
        <v>186.60545265015247</v>
      </c>
      <c r="HA176" s="59">
        <f t="shared" si="160"/>
        <v>69.239647548491234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0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0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1.9065282685915009E-13</v>
      </c>
      <c r="P177" s="13">
        <f t="shared" si="141"/>
        <v>2.6568987209435707E-12</v>
      </c>
      <c r="Q177" s="20">
        <f t="shared" si="162"/>
        <v>4.959485612423072E-12</v>
      </c>
      <c r="R177" s="59">
        <f t="shared" si="109"/>
        <v>293.33333333333826</v>
      </c>
      <c r="S177" s="59">
        <f ca="1">AVERAGE(OFFSET($R$3,0,0,'Données projet'!$E$9+1,1))-AVERAGE(OFFSET($H$3,0,0,'Données projet'!$E$9+1,1))</f>
        <v>235.10258076192054</v>
      </c>
      <c r="T177" s="59">
        <f t="shared" si="142"/>
        <v>233.47316052603765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0.19781477625275551</v>
      </c>
      <c r="AA177" s="21">
        <f>EXP(-LN(2)/25)*AA176+(1-EXP(-LN(2)/25))/(LN(2)/25)*Calculateur!V177*Calculateur!X177*VLOOKUP('Données projet'!$B$9,Paramètres!$A$1:$I$89,3,0)*0.475*44/12</f>
        <v>0.34017911694587294</v>
      </c>
      <c r="AB177" s="21">
        <f>EXP(-LN(2)/2)*AB176+(1-EXP(-LN(2)/2))/(LN(2)/2)*V177*Y177*VLOOKUP('Données projet'!$B$9,Paramètres!$A$1:$I$89,3,0)*0.475*44/12</f>
        <v>5.108049493865119E-21</v>
      </c>
      <c r="AC177" s="22">
        <f t="shared" si="163"/>
        <v>0.53799389319862845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2.2737367544323206E-13</v>
      </c>
      <c r="AJ177" s="13">
        <f>AI177*VLOOKUP('Données projet'!$B$10,Paramètres!$A$1:$I$89,3,0)*VLOOKUP('Données projet'!$B$10,Paramètres!$A$1:$I$89,5,0)</f>
        <v>1.2414602679200471E-13</v>
      </c>
      <c r="AK177" s="13">
        <f t="shared" si="164"/>
        <v>1.8186582995804361E-12</v>
      </c>
      <c r="AL177" s="20">
        <f t="shared" si="165"/>
        <v>3.3837175350986671E-12</v>
      </c>
      <c r="AM177" s="59">
        <f t="shared" si="113"/>
        <v>293.33333333333672</v>
      </c>
      <c r="AN177" s="59">
        <f ca="1">AVERAGE(OFFSET($AM$3,0,0,'Données projet'!$E$10+1,1))-AVERAGE(OFFSET($H$3,0,0,'Données projet'!$E$10+1,1))</f>
        <v>168.72306536277267</v>
      </c>
      <c r="AO177" s="59">
        <f t="shared" si="144"/>
        <v>203.35476578922339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0.1756494841990639</v>
      </c>
      <c r="AV177" s="21">
        <f>EXP(-LN(2)/25)*AV176+(1-EXP(-LN(2)/25))/(LN(2)/25)*Calculateur!AQ177*Calculateur!AS177*VLOOKUP('Données projet'!$B$10,Paramètres!$A$1:$I$89,3,0)*0.475*44/12</f>
        <v>0.42414284014193582</v>
      </c>
      <c r="AW177" s="21">
        <f>EXP(-LN(2)/2)*AW176+(1-EXP(-LN(2)/2))/(LN(2)/2)*AQ177*AT177*VLOOKUP('Données projet'!$B$10,Paramètres!$A$1:$I$89,3,0)*0.475*44/12</f>
        <v>4.2402144549190843E-21</v>
      </c>
      <c r="AX177" s="21">
        <f t="shared" si="166"/>
        <v>0.59979232434099972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3.3992364478763198E-14</v>
      </c>
      <c r="BF177" s="13">
        <f t="shared" si="167"/>
        <v>5.790027782444094E-13</v>
      </c>
      <c r="BG177" s="20">
        <f t="shared" si="168"/>
        <v>1.0676332069095257E-12</v>
      </c>
      <c r="BH177" s="59">
        <f t="shared" si="116"/>
        <v>293.33333333333439</v>
      </c>
      <c r="BI177" s="59">
        <f ca="1">AVERAGE(OFFSET($BH$3,0,0,'Données projet'!$E$11+1,1))-AVERAGE(OFFSET($H$3,0,0,'Données projet'!$E$11+1,1))</f>
        <v>165.39579887388538</v>
      </c>
      <c r="BJ177" s="59">
        <f t="shared" si="146"/>
        <v>155.89639262545802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0.13450851625948096</v>
      </c>
      <c r="BR177" s="21">
        <f>EXP(-LN(2)/2)*BR176+(1-EXP(-LN(2)/2))/(LN(2)/2)*BL177*BO177*VLOOKUP('Données projet'!$B$11,Paramètres!$A$1:$I$89,3,0)*0.475*44/12</f>
        <v>2.9392118942328373E-21</v>
      </c>
      <c r="BS177" s="22">
        <f t="shared" si="169"/>
        <v>0.13450851625948096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2.8421709430404007E-14</v>
      </c>
      <c r="BZ177" s="13">
        <f>BY177*VLOOKUP('Données projet'!$B$12,Paramètres!$A$1:$I$89,3,0)*VLOOKUP('Données projet'!$B$12,Paramètres!$A$1:$I$89,5,0)</f>
        <v>2.7489477361086758E-14</v>
      </c>
      <c r="CA177" s="13">
        <f t="shared" si="170"/>
        <v>4.7995394886724981E-13</v>
      </c>
      <c r="CB177" s="20">
        <f t="shared" si="171"/>
        <v>8.8379730068101964E-13</v>
      </c>
      <c r="CC177" s="59">
        <f t="shared" si="119"/>
        <v>293.33333333333422</v>
      </c>
      <c r="CD177" s="59">
        <f ca="1">AVERAGE(OFFSET($CC$3,0,0,'Données projet'!$E$12+1,1))-AVERAGE(OFFSET($H$3,0,0,'Données projet'!$E$12+1,1))</f>
        <v>156.26368818265388</v>
      </c>
      <c r="CE177" s="59">
        <f t="shared" si="148"/>
        <v>56.347130462109817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2.8421709430404007E-14</v>
      </c>
      <c r="CU177" s="17">
        <f>CT177*VLOOKUP('Données projet'!$B$13,Paramètres!$A$1:$I$89,3,0)*VLOOKUP('Données projet'!$B$13,Paramètres!$A$1:$I$89,5,0)</f>
        <v>2.3055690689943732E-14</v>
      </c>
      <c r="CV177" s="13">
        <f t="shared" si="173"/>
        <v>4.10868481342271E-13</v>
      </c>
      <c r="CW177" s="20">
        <f t="shared" si="174"/>
        <v>7.5575126628944061E-13</v>
      </c>
      <c r="CX177" s="59">
        <f t="shared" si="122"/>
        <v>293.33333333333405</v>
      </c>
      <c r="CY177" s="59">
        <f ca="1">AVERAGE(OFFSET($CX$3,0,0,'Données projet'!$E$13+1,1))-AVERAGE(OFFSET($H$3,0,0,'Données projet'!$E$13+1,1))</f>
        <v>112.78807760743126</v>
      </c>
      <c r="CZ177" s="59">
        <f t="shared" si="150"/>
        <v>37.867745922003564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-8.5265128291212022E-14</v>
      </c>
      <c r="DP177" s="17">
        <f>DO177*VLOOKUP('Données projet'!$B$14,Paramètres!$A$1:$I$89,3,0)*VLOOKUP('Données projet'!$B$14,Paramètres!$A$1:$I$89,5,0)</f>
        <v>-5.7195848057745024E-14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107.15837202366862</v>
      </c>
      <c r="DU177" s="59">
        <f t="shared" si="152"/>
        <v>139.67031833740026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0.10459264593042937</v>
      </c>
      <c r="EC177" s="21">
        <f>EXP(-LN(2)/2)*EC176+(1-EXP(-LN(2)/2))/(LN(2)/2)*DW177*DZ177*VLOOKUP('Données projet'!$B$14,Paramètres!$A$1:$I$89,3,0)*0.475*44/12</f>
        <v>1.4292570431137028E-21</v>
      </c>
      <c r="ED177" s="22">
        <f t="shared" si="178"/>
        <v>0.10459264593042937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-1.1368683772161603E-13</v>
      </c>
      <c r="EK177" s="17">
        <f>EJ177*VLOOKUP('Données projet'!$B$15,Paramètres!$A$1:$I$89,3,0)*VLOOKUP('Données projet'!$B$15,Paramètres!$A$1:$I$89,5,0)</f>
        <v>-5.3205440053716299E-14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123.60520571614535</v>
      </c>
      <c r="EP177" s="59">
        <f t="shared" si="154"/>
        <v>119.00926870519527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5.0078026413488276E-2</v>
      </c>
      <c r="EW177" s="21">
        <f>EXP(-LN(2)/25)*EW176+(1-EXP(-LN(2)/25))/(LN(2)/25)*Calculateur!ER177*Calculateur!ET177*VLOOKUP('Données projet'!$B$15,Paramètres!$A$1:$I$89,3,0)*0.475*44/12</f>
        <v>8.8145568491355755E-2</v>
      </c>
      <c r="EX177" s="21">
        <f>EXP(-LN(2)/2)*EX176+(1-EXP(-LN(2)/2))/(LN(2)/2)*ER177*EU177*VLOOKUP('Données projet'!$B$15,Paramètres!$A$1:$I$89,3,0)*0.475*44/12</f>
        <v>1.2946285539802961E-21</v>
      </c>
      <c r="EY177" s="22">
        <f t="shared" si="181"/>
        <v>0.13822359490484404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-2.2737367544323206E-13</v>
      </c>
      <c r="FF177" s="17">
        <f>FE177*VLOOKUP('Données projet'!$B$16,Paramètres!$A$1:$I$89,3,0)*VLOOKUP('Données projet'!$B$16,Paramètres!$A$1:$I$89,5,0)</f>
        <v>-1.0936673788819462E-13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197.66963254934603</v>
      </c>
      <c r="FK177" s="59">
        <f t="shared" si="156"/>
        <v>158.08388141976138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0.15400197974051724</v>
      </c>
      <c r="FR177" s="21">
        <f>EXP(-LN(2)/25)*FR176+(1-EXP(-LN(2)/25))/(LN(2)/25)*Calculateur!FM177*Calculateur!FO177*VLOOKUP('Données projet'!$B$16,Paramètres!$A$1:$I$89,3,0)*0.475*44/12</f>
        <v>9.8046834569065031E-2</v>
      </c>
      <c r="FS177" s="21">
        <f>EXP(-LN(2)/2)*FS176+(1-EXP(-LN(2)/2))/(LN(2)/2)*FM177*FP177*VLOOKUP('Données projet'!$B$16,Paramètres!$A$1:$I$89,3,0)*0.475*44/12</f>
        <v>1.7529297659772507E-21</v>
      </c>
      <c r="FT177" s="22">
        <f t="shared" si="184"/>
        <v>0.25204881430958226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5.6843418860808015E-14</v>
      </c>
      <c r="GA177" s="17">
        <f>FZ177*VLOOKUP('Données projet'!$B$17,Paramètres!$A$1:$I$89,3,0)*VLOOKUP('Données projet'!$B$17,Paramètres!$A$1:$I$89,5,0)</f>
        <v>3.3992364478763198E-14</v>
      </c>
      <c r="GB177" s="13">
        <f t="shared" si="185"/>
        <v>5.790027782444094E-13</v>
      </c>
      <c r="GC177" s="20">
        <f t="shared" si="186"/>
        <v>1.0676332069095257E-12</v>
      </c>
      <c r="GD177" s="59">
        <f t="shared" si="134"/>
        <v>293.33333333333439</v>
      </c>
      <c r="GE177" s="59">
        <f ca="1">AVERAGE(OFFSET($GD$3,0,0,'Données projet'!$E$17+1,1))-AVERAGE(OFFSET($H$3,0,0,'Données projet'!$E$17+1,1))</f>
        <v>165.39579887388538</v>
      </c>
      <c r="GF177" s="59">
        <f t="shared" si="158"/>
        <v>155.89639262545802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0.13450851625948096</v>
      </c>
      <c r="GN177" s="21">
        <f>EXP(-LN(2)/2)*GN176+(1-EXP(-LN(2)/2))/(LN(2)/2)*GH177*GK177*VLOOKUP('Données projet'!$B$17,Paramètres!$A$1:$I$89,3,0)*0.475*44/12</f>
        <v>2.9392118942328373E-21</v>
      </c>
      <c r="GO177" s="21">
        <f t="shared" si="187"/>
        <v>0.13450851625948096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2.8421709430404007E-14</v>
      </c>
      <c r="GV177" s="17">
        <f>GU177*VLOOKUP('Données projet'!$B$18,Paramètres!$A$1:$I$89,3,0)*VLOOKUP('Données projet'!$B$18,Paramètres!$A$1:$I$89,5,0)</f>
        <v>3.0593128030886874E-14</v>
      </c>
      <c r="GW177" s="13">
        <f t="shared" si="188"/>
        <v>5.2753263159251616E-13</v>
      </c>
      <c r="GX177" s="20">
        <f t="shared" si="189"/>
        <v>9.7206903134409357E-13</v>
      </c>
      <c r="GY177" s="59">
        <f t="shared" si="137"/>
        <v>293.33333333333428</v>
      </c>
      <c r="GZ177" s="59">
        <f ca="1">AVERAGE(OFFSET($GY$3,0,0,'Données projet'!$E$18+1,1))-AVERAGE(OFFSET($H$3,0,0,'Données projet'!$E$18+1,1))</f>
        <v>186.60545265015247</v>
      </c>
      <c r="HA177" s="59">
        <f t="shared" si="160"/>
        <v>69.239647548491234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0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0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1.9065282685915009E-13</v>
      </c>
      <c r="P178" s="13">
        <f t="shared" si="141"/>
        <v>2.6568987209435707E-12</v>
      </c>
      <c r="Q178" s="20">
        <f t="shared" si="162"/>
        <v>4.959485612423072E-12</v>
      </c>
      <c r="R178" s="59">
        <f t="shared" si="109"/>
        <v>293.33333333333826</v>
      </c>
      <c r="S178" s="59">
        <f ca="1">AVERAGE(OFFSET($R$3,0,0,'Données projet'!$E$9+1,1))-AVERAGE(OFFSET($H$3,0,0,'Données projet'!$E$9+1,1))</f>
        <v>235.10258076192054</v>
      </c>
      <c r="T178" s="59">
        <f t="shared" si="142"/>
        <v>233.47316052603765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0.19393574914553879</v>
      </c>
      <c r="AA178" s="21">
        <f>EXP(-LN(2)/25)*AA177+(1-EXP(-LN(2)/25))/(LN(2)/25)*Calculateur!V178*Calculateur!X178*VLOOKUP('Données projet'!$B$9,Paramètres!$A$1:$I$89,3,0)*0.475*44/12</f>
        <v>0.33087690110374579</v>
      </c>
      <c r="AB178" s="21">
        <f>EXP(-LN(2)/2)*AB177+(1-EXP(-LN(2)/2))/(LN(2)/2)*V178*Y178*VLOOKUP('Données projet'!$B$9,Paramètres!$A$1:$I$89,3,0)*0.475*44/12</f>
        <v>3.6119364357485375E-21</v>
      </c>
      <c r="AC178" s="22">
        <f t="shared" si="163"/>
        <v>0.52481265024928458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2.2737367544323206E-13</v>
      </c>
      <c r="AJ178" s="13">
        <f>AI178*VLOOKUP('Données projet'!$B$10,Paramètres!$A$1:$I$89,3,0)*VLOOKUP('Données projet'!$B$10,Paramètres!$A$1:$I$89,5,0)</f>
        <v>1.2414602679200471E-13</v>
      </c>
      <c r="AK178" s="13">
        <f t="shared" si="164"/>
        <v>1.8186582995804361E-12</v>
      </c>
      <c r="AL178" s="20">
        <f t="shared" si="165"/>
        <v>3.3837175350986671E-12</v>
      </c>
      <c r="AM178" s="59">
        <f t="shared" si="113"/>
        <v>293.33333333333672</v>
      </c>
      <c r="AN178" s="59">
        <f ca="1">AVERAGE(OFFSET($AM$3,0,0,'Données projet'!$E$10+1,1))-AVERAGE(OFFSET($H$3,0,0,'Données projet'!$E$10+1,1))</f>
        <v>168.72306536277267</v>
      </c>
      <c r="AO178" s="59">
        <f t="shared" si="144"/>
        <v>203.35476578922339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0.17220510494952684</v>
      </c>
      <c r="AV178" s="21">
        <f>EXP(-LN(2)/25)*AV177+(1-EXP(-LN(2)/25))/(LN(2)/25)*Calculateur!AQ178*Calculateur!AS178*VLOOKUP('Données projet'!$B$10,Paramètres!$A$1:$I$89,3,0)*0.475*44/12</f>
        <v>0.412544631873552</v>
      </c>
      <c r="AW178" s="21">
        <f>EXP(-LN(2)/2)*AW177+(1-EXP(-LN(2)/2))/(LN(2)/2)*AQ178*AT178*VLOOKUP('Données projet'!$B$10,Paramètres!$A$1:$I$89,3,0)*0.475*44/12</f>
        <v>2.9982843947585049E-21</v>
      </c>
      <c r="AX178" s="21">
        <f t="shared" si="166"/>
        <v>0.58474973682307885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3.3992364478763198E-14</v>
      </c>
      <c r="BF178" s="13">
        <f t="shared" si="167"/>
        <v>5.790027782444094E-13</v>
      </c>
      <c r="BG178" s="20">
        <f t="shared" si="168"/>
        <v>1.0676332069095257E-12</v>
      </c>
      <c r="BH178" s="59">
        <f t="shared" si="116"/>
        <v>293.33333333333439</v>
      </c>
      <c r="BI178" s="59">
        <f ca="1">AVERAGE(OFFSET($BH$3,0,0,'Données projet'!$E$11+1,1))-AVERAGE(OFFSET($H$3,0,0,'Données projet'!$E$11+1,1))</f>
        <v>165.39579887388538</v>
      </c>
      <c r="BJ178" s="59">
        <f t="shared" si="146"/>
        <v>155.89639262545802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0.13083037380887</v>
      </c>
      <c r="BR178" s="21">
        <f>EXP(-LN(2)/2)*BR177+(1-EXP(-LN(2)/2))/(LN(2)/2)*BL178*BO178*VLOOKUP('Données projet'!$B$11,Paramètres!$A$1:$I$89,3,0)*0.475*44/12</f>
        <v>2.0783366617561967E-21</v>
      </c>
      <c r="BS178" s="22">
        <f t="shared" si="169"/>
        <v>0.13083037380887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2.8421709430404007E-14</v>
      </c>
      <c r="BZ178" s="13">
        <f>BY178*VLOOKUP('Données projet'!$B$12,Paramètres!$A$1:$I$89,3,0)*VLOOKUP('Données projet'!$B$12,Paramètres!$A$1:$I$89,5,0)</f>
        <v>2.7489477361086758E-14</v>
      </c>
      <c r="CA178" s="13">
        <f t="shared" si="170"/>
        <v>4.7995394886724981E-13</v>
      </c>
      <c r="CB178" s="20">
        <f t="shared" si="171"/>
        <v>8.8379730068101964E-13</v>
      </c>
      <c r="CC178" s="59">
        <f t="shared" si="119"/>
        <v>293.33333333333422</v>
      </c>
      <c r="CD178" s="59">
        <f ca="1">AVERAGE(OFFSET($CC$3,0,0,'Données projet'!$E$12+1,1))-AVERAGE(OFFSET($H$3,0,0,'Données projet'!$E$12+1,1))</f>
        <v>156.26368818265388</v>
      </c>
      <c r="CE178" s="59">
        <f t="shared" si="148"/>
        <v>56.347130462109817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2.8421709430404007E-14</v>
      </c>
      <c r="CU178" s="17">
        <f>CT178*VLOOKUP('Données projet'!$B$13,Paramètres!$A$1:$I$89,3,0)*VLOOKUP('Données projet'!$B$13,Paramètres!$A$1:$I$89,5,0)</f>
        <v>2.3055690689943732E-14</v>
      </c>
      <c r="CV178" s="13">
        <f t="shared" si="173"/>
        <v>4.10868481342271E-13</v>
      </c>
      <c r="CW178" s="20">
        <f t="shared" si="174"/>
        <v>7.5575126628944061E-13</v>
      </c>
      <c r="CX178" s="59">
        <f t="shared" si="122"/>
        <v>293.33333333333405</v>
      </c>
      <c r="CY178" s="59">
        <f ca="1">AVERAGE(OFFSET($CX$3,0,0,'Données projet'!$E$13+1,1))-AVERAGE(OFFSET($H$3,0,0,'Données projet'!$E$13+1,1))</f>
        <v>112.78807760743126</v>
      </c>
      <c r="CZ178" s="59">
        <f t="shared" si="150"/>
        <v>37.867745922003564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-8.5265128291212022E-14</v>
      </c>
      <c r="DP178" s="17">
        <f>DO178*VLOOKUP('Données projet'!$B$14,Paramètres!$A$1:$I$89,3,0)*VLOOKUP('Données projet'!$B$14,Paramètres!$A$1:$I$89,5,0)</f>
        <v>-5.7195848057745024E-14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107.15837202366862</v>
      </c>
      <c r="DU178" s="59">
        <f t="shared" si="152"/>
        <v>139.67031833740026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0.10173255452717359</v>
      </c>
      <c r="EC178" s="21">
        <f>EXP(-LN(2)/2)*EC177+(1-EXP(-LN(2)/2))/(LN(2)/2)*DW178*DZ178*VLOOKUP('Données projet'!$B$14,Paramètres!$A$1:$I$89,3,0)*0.475*44/12</f>
        <v>1.0106373472443329E-21</v>
      </c>
      <c r="ED178" s="22">
        <f t="shared" si="178"/>
        <v>0.10173255452717359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-1.1368683772161603E-13</v>
      </c>
      <c r="EK178" s="17">
        <f>EJ178*VLOOKUP('Données projet'!$B$15,Paramètres!$A$1:$I$89,3,0)*VLOOKUP('Données projet'!$B$15,Paramètres!$A$1:$I$89,5,0)</f>
        <v>-5.3205440053716299E-14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123.60520571614535</v>
      </c>
      <c r="EP178" s="59">
        <f t="shared" si="154"/>
        <v>119.00926870519527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4.9096026860099853E-2</v>
      </c>
      <c r="EW178" s="21">
        <f>EXP(-LN(2)/25)*EW177+(1-EXP(-LN(2)/25))/(LN(2)/25)*Calculateur!ER178*Calculateur!ET178*VLOOKUP('Données projet'!$B$15,Paramètres!$A$1:$I$89,3,0)*0.475*44/12</f>
        <v>8.5735223285585638E-2</v>
      </c>
      <c r="EX178" s="21">
        <f>EXP(-LN(2)/2)*EX177+(1-EXP(-LN(2)/2))/(LN(2)/2)*ER178*EU178*VLOOKUP('Données projet'!$B$15,Paramètres!$A$1:$I$89,3,0)*0.475*44/12</f>
        <v>9.1544062963720164E-22</v>
      </c>
      <c r="EY178" s="22">
        <f t="shared" si="181"/>
        <v>0.13483125014568548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-2.2737367544323206E-13</v>
      </c>
      <c r="FF178" s="17">
        <f>FE178*VLOOKUP('Données projet'!$B$16,Paramètres!$A$1:$I$89,3,0)*VLOOKUP('Données projet'!$B$16,Paramètres!$A$1:$I$89,5,0)</f>
        <v>-1.0936673788819462E-13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197.66963254934603</v>
      </c>
      <c r="FK178" s="59">
        <f t="shared" si="156"/>
        <v>158.08388141976138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0.15098209484973835</v>
      </c>
      <c r="FR178" s="21">
        <f>EXP(-LN(2)/25)*FR177+(1-EXP(-LN(2)/25))/(LN(2)/25)*Calculateur!FM178*Calculateur!FO178*VLOOKUP('Données projet'!$B$16,Paramètres!$A$1:$I$89,3,0)*0.475*44/12</f>
        <v>9.5365738721715013E-2</v>
      </c>
      <c r="FS178" s="21">
        <f>EXP(-LN(2)/2)*FS177+(1-EXP(-LN(2)/2))/(LN(2)/2)*FM178*FP178*VLOOKUP('Données projet'!$B$16,Paramètres!$A$1:$I$89,3,0)*0.475*44/12</f>
        <v>1.2395085244662618E-21</v>
      </c>
      <c r="FT178" s="22">
        <f t="shared" si="184"/>
        <v>0.24634783357145335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5.6843418860808015E-14</v>
      </c>
      <c r="GA178" s="17">
        <f>FZ178*VLOOKUP('Données projet'!$B$17,Paramètres!$A$1:$I$89,3,0)*VLOOKUP('Données projet'!$B$17,Paramètres!$A$1:$I$89,5,0)</f>
        <v>3.3992364478763198E-14</v>
      </c>
      <c r="GB178" s="13">
        <f t="shared" si="185"/>
        <v>5.790027782444094E-13</v>
      </c>
      <c r="GC178" s="20">
        <f t="shared" si="186"/>
        <v>1.0676332069095257E-12</v>
      </c>
      <c r="GD178" s="59">
        <f t="shared" si="134"/>
        <v>293.33333333333439</v>
      </c>
      <c r="GE178" s="59">
        <f ca="1">AVERAGE(OFFSET($GD$3,0,0,'Données projet'!$E$17+1,1))-AVERAGE(OFFSET($H$3,0,0,'Données projet'!$E$17+1,1))</f>
        <v>165.39579887388538</v>
      </c>
      <c r="GF178" s="59">
        <f t="shared" si="158"/>
        <v>155.89639262545802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0.13083037380887</v>
      </c>
      <c r="GN178" s="21">
        <f>EXP(-LN(2)/2)*GN177+(1-EXP(-LN(2)/2))/(LN(2)/2)*GH178*GK178*VLOOKUP('Données projet'!$B$17,Paramètres!$A$1:$I$89,3,0)*0.475*44/12</f>
        <v>2.0783366617561967E-21</v>
      </c>
      <c r="GO178" s="21">
        <f t="shared" si="187"/>
        <v>0.13083037380887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2.8421709430404007E-14</v>
      </c>
      <c r="GV178" s="17">
        <f>GU178*VLOOKUP('Données projet'!$B$18,Paramètres!$A$1:$I$89,3,0)*VLOOKUP('Données projet'!$B$18,Paramètres!$A$1:$I$89,5,0)</f>
        <v>3.0593128030886874E-14</v>
      </c>
      <c r="GW178" s="13">
        <f t="shared" si="188"/>
        <v>5.2753263159251616E-13</v>
      </c>
      <c r="GX178" s="20">
        <f t="shared" si="189"/>
        <v>9.7206903134409357E-13</v>
      </c>
      <c r="GY178" s="59">
        <f t="shared" si="137"/>
        <v>293.33333333333428</v>
      </c>
      <c r="GZ178" s="59">
        <f ca="1">AVERAGE(OFFSET($GY$3,0,0,'Données projet'!$E$18+1,1))-AVERAGE(OFFSET($H$3,0,0,'Données projet'!$E$18+1,1))</f>
        <v>186.60545265015247</v>
      </c>
      <c r="HA178" s="59">
        <f t="shared" si="160"/>
        <v>69.239647548491234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0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0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1.9065282685915009E-13</v>
      </c>
      <c r="P179" s="13">
        <f t="shared" si="141"/>
        <v>2.6568987209435707E-12</v>
      </c>
      <c r="Q179" s="20">
        <f t="shared" si="162"/>
        <v>4.959485612423072E-12</v>
      </c>
      <c r="R179" s="59">
        <f t="shared" si="109"/>
        <v>293.33333333333826</v>
      </c>
      <c r="S179" s="59">
        <f ca="1">AVERAGE(OFFSET($R$3,0,0,'Données projet'!$E$9+1,1))-AVERAGE(OFFSET($H$3,0,0,'Données projet'!$E$9+1,1))</f>
        <v>235.10258076192054</v>
      </c>
      <c r="T179" s="59">
        <f t="shared" si="142"/>
        <v>233.47316052603765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0.19013278739392167</v>
      </c>
      <c r="AA179" s="21">
        <f>EXP(-LN(2)/25)*AA178+(1-EXP(-LN(2)/25))/(LN(2)/25)*Calculateur!V179*Calculateur!X179*VLOOKUP('Données projet'!$B$9,Paramètres!$A$1:$I$89,3,0)*0.475*44/12</f>
        <v>0.32182905484300384</v>
      </c>
      <c r="AB179" s="21">
        <f>EXP(-LN(2)/2)*AB178+(1-EXP(-LN(2)/2))/(LN(2)/2)*V179*Y179*VLOOKUP('Données projet'!$B$9,Paramètres!$A$1:$I$89,3,0)*0.475*44/12</f>
        <v>2.5540247469325595E-21</v>
      </c>
      <c r="AC179" s="22">
        <f t="shared" si="163"/>
        <v>0.51196184223692554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2.2737367544323206E-13</v>
      </c>
      <c r="AJ179" s="13">
        <f>AI179*VLOOKUP('Données projet'!$B$10,Paramètres!$A$1:$I$89,3,0)*VLOOKUP('Données projet'!$B$10,Paramètres!$A$1:$I$89,5,0)</f>
        <v>1.2414602679200471E-13</v>
      </c>
      <c r="AK179" s="13">
        <f t="shared" si="164"/>
        <v>1.8186582995804361E-12</v>
      </c>
      <c r="AL179" s="20">
        <f t="shared" si="165"/>
        <v>3.3837175350986671E-12</v>
      </c>
      <c r="AM179" s="59">
        <f t="shared" si="113"/>
        <v>293.33333333333672</v>
      </c>
      <c r="AN179" s="59">
        <f ca="1">AVERAGE(OFFSET($AM$3,0,0,'Données projet'!$E$10+1,1))-AVERAGE(OFFSET($H$3,0,0,'Données projet'!$E$10+1,1))</f>
        <v>168.72306536277267</v>
      </c>
      <c r="AO179" s="59">
        <f t="shared" si="144"/>
        <v>203.35476578922339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0.16882826787620933</v>
      </c>
      <c r="AV179" s="21">
        <f>EXP(-LN(2)/25)*AV178+(1-EXP(-LN(2)/25))/(LN(2)/25)*Calculateur!AQ179*Calculateur!AS179*VLOOKUP('Données projet'!$B$10,Paramètres!$A$1:$I$89,3,0)*0.475*44/12</f>
        <v>0.4012635772201904</v>
      </c>
      <c r="AW179" s="21">
        <f>EXP(-LN(2)/2)*AW178+(1-EXP(-LN(2)/2))/(LN(2)/2)*AQ179*AT179*VLOOKUP('Données projet'!$B$10,Paramètres!$A$1:$I$89,3,0)*0.475*44/12</f>
        <v>2.1201072274595422E-21</v>
      </c>
      <c r="AX179" s="21">
        <f t="shared" si="166"/>
        <v>0.57009184509639976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3.3992364478763198E-14</v>
      </c>
      <c r="BF179" s="13">
        <f t="shared" si="167"/>
        <v>5.790027782444094E-13</v>
      </c>
      <c r="BG179" s="20">
        <f t="shared" si="168"/>
        <v>1.0676332069095257E-12</v>
      </c>
      <c r="BH179" s="59">
        <f t="shared" si="116"/>
        <v>293.33333333333439</v>
      </c>
      <c r="BI179" s="59">
        <f ca="1">AVERAGE(OFFSET($BH$3,0,0,'Données projet'!$E$11+1,1))-AVERAGE(OFFSET($H$3,0,0,'Données projet'!$E$11+1,1))</f>
        <v>165.39579887388538</v>
      </c>
      <c r="BJ179" s="59">
        <f t="shared" si="146"/>
        <v>155.89639262545802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0.12725281035699609</v>
      </c>
      <c r="BR179" s="21">
        <f>EXP(-LN(2)/2)*BR178+(1-EXP(-LN(2)/2))/(LN(2)/2)*BL179*BO179*VLOOKUP('Données projet'!$B$11,Paramètres!$A$1:$I$89,3,0)*0.475*44/12</f>
        <v>1.4696059471164187E-21</v>
      </c>
      <c r="BS179" s="22">
        <f t="shared" si="169"/>
        <v>0.12725281035699609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2.8421709430404007E-14</v>
      </c>
      <c r="BZ179" s="13">
        <f>BY179*VLOOKUP('Données projet'!$B$12,Paramètres!$A$1:$I$89,3,0)*VLOOKUP('Données projet'!$B$12,Paramètres!$A$1:$I$89,5,0)</f>
        <v>2.7489477361086758E-14</v>
      </c>
      <c r="CA179" s="13">
        <f t="shared" si="170"/>
        <v>4.7995394886724981E-13</v>
      </c>
      <c r="CB179" s="20">
        <f t="shared" si="171"/>
        <v>8.8379730068101964E-13</v>
      </c>
      <c r="CC179" s="59">
        <f t="shared" si="119"/>
        <v>293.33333333333422</v>
      </c>
      <c r="CD179" s="59">
        <f ca="1">AVERAGE(OFFSET($CC$3,0,0,'Données projet'!$E$12+1,1))-AVERAGE(OFFSET($H$3,0,0,'Données projet'!$E$12+1,1))</f>
        <v>156.26368818265388</v>
      </c>
      <c r="CE179" s="59">
        <f t="shared" si="148"/>
        <v>56.347130462109817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2.8421709430404007E-14</v>
      </c>
      <c r="CU179" s="17">
        <f>CT179*VLOOKUP('Données projet'!$B$13,Paramètres!$A$1:$I$89,3,0)*VLOOKUP('Données projet'!$B$13,Paramètres!$A$1:$I$89,5,0)</f>
        <v>2.3055690689943732E-14</v>
      </c>
      <c r="CV179" s="13">
        <f t="shared" si="173"/>
        <v>4.10868481342271E-13</v>
      </c>
      <c r="CW179" s="20">
        <f t="shared" si="174"/>
        <v>7.5575126628944061E-13</v>
      </c>
      <c r="CX179" s="59">
        <f t="shared" si="122"/>
        <v>293.33333333333405</v>
      </c>
      <c r="CY179" s="59">
        <f ca="1">AVERAGE(OFFSET($CX$3,0,0,'Données projet'!$E$13+1,1))-AVERAGE(OFFSET($H$3,0,0,'Données projet'!$E$13+1,1))</f>
        <v>112.78807760743126</v>
      </c>
      <c r="CZ179" s="59">
        <f t="shared" si="150"/>
        <v>37.867745922003564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-8.5265128291212022E-14</v>
      </c>
      <c r="DP179" s="17">
        <f>DO179*VLOOKUP('Données projet'!$B$14,Paramètres!$A$1:$I$89,3,0)*VLOOKUP('Données projet'!$B$14,Paramètres!$A$1:$I$89,5,0)</f>
        <v>-5.7195848057745024E-14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107.15837202366862</v>
      </c>
      <c r="DU179" s="59">
        <f t="shared" si="152"/>
        <v>139.67031833740026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9.8950672473745491E-2</v>
      </c>
      <c r="EC179" s="21">
        <f>EXP(-LN(2)/2)*EC178+(1-EXP(-LN(2)/2))/(LN(2)/2)*DW179*DZ179*VLOOKUP('Données projet'!$B$14,Paramètres!$A$1:$I$89,3,0)*0.475*44/12</f>
        <v>7.1462852155685139E-22</v>
      </c>
      <c r="ED179" s="22">
        <f t="shared" si="178"/>
        <v>9.8950672473745491E-2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-1.1368683772161603E-13</v>
      </c>
      <c r="EK179" s="17">
        <f>EJ179*VLOOKUP('Données projet'!$B$15,Paramètres!$A$1:$I$89,3,0)*VLOOKUP('Données projet'!$B$15,Paramètres!$A$1:$I$89,5,0)</f>
        <v>-5.3205440053716299E-14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123.60520571614535</v>
      </c>
      <c r="EP179" s="59">
        <f t="shared" si="154"/>
        <v>119.00926870519527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4.8133283718992795E-2</v>
      </c>
      <c r="EW179" s="21">
        <f>EXP(-LN(2)/25)*EW178+(1-EXP(-LN(2)/25))/(LN(2)/25)*Calculateur!ER179*Calculateur!ET179*VLOOKUP('Données projet'!$B$15,Paramètres!$A$1:$I$89,3,0)*0.475*44/12</f>
        <v>8.3390789096221857E-2</v>
      </c>
      <c r="EX179" s="21">
        <f>EXP(-LN(2)/2)*EX178+(1-EXP(-LN(2)/2))/(LN(2)/2)*ER179*EU179*VLOOKUP('Données projet'!$B$15,Paramètres!$A$1:$I$89,3,0)*0.475*44/12</f>
        <v>6.4731427699014805E-22</v>
      </c>
      <c r="EY179" s="22">
        <f t="shared" si="181"/>
        <v>0.13152407281521467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-2.2737367544323206E-13</v>
      </c>
      <c r="FF179" s="17">
        <f>FE179*VLOOKUP('Données projet'!$B$16,Paramètres!$A$1:$I$89,3,0)*VLOOKUP('Données projet'!$B$16,Paramètres!$A$1:$I$89,5,0)</f>
        <v>-1.0936673788819462E-13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197.66963254934603</v>
      </c>
      <c r="FK179" s="59">
        <f t="shared" si="156"/>
        <v>158.08388141976138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0.14802142805971971</v>
      </c>
      <c r="FR179" s="21">
        <f>EXP(-LN(2)/25)*FR178+(1-EXP(-LN(2)/25))/(LN(2)/25)*Calculateur!FM179*Calculateur!FO179*VLOOKUP('Données projet'!$B$16,Paramètres!$A$1:$I$89,3,0)*0.475*44/12</f>
        <v>9.275795758130348E-2</v>
      </c>
      <c r="FS179" s="21">
        <f>EXP(-LN(2)/2)*FS178+(1-EXP(-LN(2)/2))/(LN(2)/2)*FM179*FP179*VLOOKUP('Données projet'!$B$16,Paramètres!$A$1:$I$89,3,0)*0.475*44/12</f>
        <v>8.7646488298862533E-22</v>
      </c>
      <c r="FT179" s="22">
        <f t="shared" si="184"/>
        <v>0.24077938564102319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5.6843418860808015E-14</v>
      </c>
      <c r="GA179" s="17">
        <f>FZ179*VLOOKUP('Données projet'!$B$17,Paramètres!$A$1:$I$89,3,0)*VLOOKUP('Données projet'!$B$17,Paramètres!$A$1:$I$89,5,0)</f>
        <v>3.3992364478763198E-14</v>
      </c>
      <c r="GB179" s="13">
        <f t="shared" si="185"/>
        <v>5.790027782444094E-13</v>
      </c>
      <c r="GC179" s="20">
        <f t="shared" si="186"/>
        <v>1.0676332069095257E-12</v>
      </c>
      <c r="GD179" s="59">
        <f t="shared" si="134"/>
        <v>293.33333333333439</v>
      </c>
      <c r="GE179" s="59">
        <f ca="1">AVERAGE(OFFSET($GD$3,0,0,'Données projet'!$E$17+1,1))-AVERAGE(OFFSET($H$3,0,0,'Données projet'!$E$17+1,1))</f>
        <v>165.39579887388538</v>
      </c>
      <c r="GF179" s="59">
        <f t="shared" si="158"/>
        <v>155.89639262545802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0.12725281035699609</v>
      </c>
      <c r="GN179" s="21">
        <f>EXP(-LN(2)/2)*GN178+(1-EXP(-LN(2)/2))/(LN(2)/2)*GH179*GK179*VLOOKUP('Données projet'!$B$17,Paramètres!$A$1:$I$89,3,0)*0.475*44/12</f>
        <v>1.4696059471164187E-21</v>
      </c>
      <c r="GO179" s="21">
        <f t="shared" si="187"/>
        <v>0.12725281035699609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2.8421709430404007E-14</v>
      </c>
      <c r="GV179" s="17">
        <f>GU179*VLOOKUP('Données projet'!$B$18,Paramètres!$A$1:$I$89,3,0)*VLOOKUP('Données projet'!$B$18,Paramètres!$A$1:$I$89,5,0)</f>
        <v>3.0593128030886874E-14</v>
      </c>
      <c r="GW179" s="13">
        <f t="shared" si="188"/>
        <v>5.2753263159251616E-13</v>
      </c>
      <c r="GX179" s="20">
        <f t="shared" si="189"/>
        <v>9.7206903134409357E-13</v>
      </c>
      <c r="GY179" s="59">
        <f t="shared" si="137"/>
        <v>293.33333333333428</v>
      </c>
      <c r="GZ179" s="59">
        <f ca="1">AVERAGE(OFFSET($GY$3,0,0,'Données projet'!$E$18+1,1))-AVERAGE(OFFSET($H$3,0,0,'Données projet'!$E$18+1,1))</f>
        <v>186.60545265015247</v>
      </c>
      <c r="HA179" s="59">
        <f t="shared" si="160"/>
        <v>69.239647548491234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0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0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1.9065282685915009E-13</v>
      </c>
      <c r="P180" s="13">
        <f t="shared" si="141"/>
        <v>2.6568987209435707E-12</v>
      </c>
      <c r="Q180" s="20">
        <f t="shared" si="162"/>
        <v>4.959485612423072E-12</v>
      </c>
      <c r="R180" s="59">
        <f t="shared" si="109"/>
        <v>293.33333333333826</v>
      </c>
      <c r="S180" s="59">
        <f ca="1">AVERAGE(OFFSET($R$3,0,0,'Données projet'!$E$9+1,1))-AVERAGE(OFFSET($H$3,0,0,'Données projet'!$E$9+1,1))</f>
        <v>235.10258076192054</v>
      </c>
      <c r="T180" s="59">
        <f t="shared" si="142"/>
        <v>233.47316052603765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0.18640439940267614</v>
      </c>
      <c r="AA180" s="21">
        <f>EXP(-LN(2)/25)*AA179+(1-EXP(-LN(2)/25))/(LN(2)/25)*Calculateur!V180*Calculateur!X180*VLOOKUP('Données projet'!$B$9,Paramètres!$A$1:$I$89,3,0)*0.475*44/12</f>
        <v>0.31302862241406743</v>
      </c>
      <c r="AB180" s="21">
        <f>EXP(-LN(2)/2)*AB179+(1-EXP(-LN(2)/2))/(LN(2)/2)*V180*Y180*VLOOKUP('Données projet'!$B$9,Paramètres!$A$1:$I$89,3,0)*0.475*44/12</f>
        <v>1.8059682178742687E-21</v>
      </c>
      <c r="AC180" s="22">
        <f t="shared" si="163"/>
        <v>0.49943302181674354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2.2737367544323206E-13</v>
      </c>
      <c r="AJ180" s="13">
        <f>AI180*VLOOKUP('Données projet'!$B$10,Paramètres!$A$1:$I$89,3,0)*VLOOKUP('Données projet'!$B$10,Paramètres!$A$1:$I$89,5,0)</f>
        <v>1.2414602679200471E-13</v>
      </c>
      <c r="AK180" s="13">
        <f t="shared" si="164"/>
        <v>1.8186582995804361E-12</v>
      </c>
      <c r="AL180" s="20">
        <f t="shared" si="165"/>
        <v>3.3837175350986671E-12</v>
      </c>
      <c r="AM180" s="59">
        <f t="shared" si="113"/>
        <v>293.33333333333672</v>
      </c>
      <c r="AN180" s="59">
        <f ca="1">AVERAGE(OFFSET($AM$3,0,0,'Données projet'!$E$10+1,1))-AVERAGE(OFFSET($H$3,0,0,'Données projet'!$E$10+1,1))</f>
        <v>168.72306536277267</v>
      </c>
      <c r="AO180" s="59">
        <f t="shared" si="144"/>
        <v>203.35476578922339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0.16551764851823234</v>
      </c>
      <c r="AV180" s="21">
        <f>EXP(-LN(2)/25)*AV179+(1-EXP(-LN(2)/25))/(LN(2)/25)*Calculateur!AQ180*Calculateur!AS180*VLOOKUP('Données projet'!$B$10,Paramètres!$A$1:$I$89,3,0)*0.475*44/12</f>
        <v>0.39029100359956986</v>
      </c>
      <c r="AW180" s="21">
        <f>EXP(-LN(2)/2)*AW179+(1-EXP(-LN(2)/2))/(LN(2)/2)*AQ180*AT180*VLOOKUP('Données projet'!$B$10,Paramètres!$A$1:$I$89,3,0)*0.475*44/12</f>
        <v>1.4991421973792525E-21</v>
      </c>
      <c r="AX180" s="21">
        <f t="shared" si="166"/>
        <v>0.55580865211780217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3.3992364478763198E-14</v>
      </c>
      <c r="BF180" s="13">
        <f t="shared" si="167"/>
        <v>5.790027782444094E-13</v>
      </c>
      <c r="BG180" s="20">
        <f t="shared" si="168"/>
        <v>1.0676332069095257E-12</v>
      </c>
      <c r="BH180" s="59">
        <f t="shared" si="116"/>
        <v>293.33333333333439</v>
      </c>
      <c r="BI180" s="59">
        <f ca="1">AVERAGE(OFFSET($BH$3,0,0,'Données projet'!$E$11+1,1))-AVERAGE(OFFSET($H$3,0,0,'Données projet'!$E$11+1,1))</f>
        <v>165.39579887388538</v>
      </c>
      <c r="BJ180" s="59">
        <f t="shared" si="146"/>
        <v>155.89639262545802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0.12377307556584957</v>
      </c>
      <c r="BR180" s="21">
        <f>EXP(-LN(2)/2)*BR179+(1-EXP(-LN(2)/2))/(LN(2)/2)*BL180*BO180*VLOOKUP('Données projet'!$B$11,Paramètres!$A$1:$I$89,3,0)*0.475*44/12</f>
        <v>1.0391683308780984E-21</v>
      </c>
      <c r="BS180" s="22">
        <f t="shared" si="169"/>
        <v>0.12377307556584957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2.8421709430404007E-14</v>
      </c>
      <c r="BZ180" s="13">
        <f>BY180*VLOOKUP('Données projet'!$B$12,Paramètres!$A$1:$I$89,3,0)*VLOOKUP('Données projet'!$B$12,Paramètres!$A$1:$I$89,5,0)</f>
        <v>2.7489477361086758E-14</v>
      </c>
      <c r="CA180" s="13">
        <f t="shared" si="170"/>
        <v>4.7995394886724981E-13</v>
      </c>
      <c r="CB180" s="20">
        <f t="shared" si="171"/>
        <v>8.8379730068101964E-13</v>
      </c>
      <c r="CC180" s="59">
        <f t="shared" si="119"/>
        <v>293.33333333333422</v>
      </c>
      <c r="CD180" s="59">
        <f ca="1">AVERAGE(OFFSET($CC$3,0,0,'Données projet'!$E$12+1,1))-AVERAGE(OFFSET($H$3,0,0,'Données projet'!$E$12+1,1))</f>
        <v>156.26368818265388</v>
      </c>
      <c r="CE180" s="59">
        <f t="shared" si="148"/>
        <v>56.347130462109817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2.8421709430404007E-14</v>
      </c>
      <c r="CU180" s="17">
        <f>CT180*VLOOKUP('Données projet'!$B$13,Paramètres!$A$1:$I$89,3,0)*VLOOKUP('Données projet'!$B$13,Paramètres!$A$1:$I$89,5,0)</f>
        <v>2.3055690689943732E-14</v>
      </c>
      <c r="CV180" s="13">
        <f t="shared" si="173"/>
        <v>4.10868481342271E-13</v>
      </c>
      <c r="CW180" s="20">
        <f t="shared" si="174"/>
        <v>7.5575126628944061E-13</v>
      </c>
      <c r="CX180" s="59">
        <f t="shared" si="122"/>
        <v>293.33333333333405</v>
      </c>
      <c r="CY180" s="59">
        <f ca="1">AVERAGE(OFFSET($CX$3,0,0,'Données projet'!$E$13+1,1))-AVERAGE(OFFSET($H$3,0,0,'Données projet'!$E$13+1,1))</f>
        <v>112.78807760743126</v>
      </c>
      <c r="CZ180" s="59">
        <f t="shared" si="150"/>
        <v>37.867745922003564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-8.5265128291212022E-14</v>
      </c>
      <c r="DP180" s="17">
        <f>DO180*VLOOKUP('Données projet'!$B$14,Paramètres!$A$1:$I$89,3,0)*VLOOKUP('Données projet'!$B$14,Paramètres!$A$1:$I$89,5,0)</f>
        <v>-5.7195848057745024E-14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107.15837202366862</v>
      </c>
      <c r="DU180" s="59">
        <f t="shared" si="152"/>
        <v>139.67031833740026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9.6244861131361215E-2</v>
      </c>
      <c r="EC180" s="21">
        <f>EXP(-LN(2)/2)*EC179+(1-EXP(-LN(2)/2))/(LN(2)/2)*DW180*DZ180*VLOOKUP('Données projet'!$B$14,Paramètres!$A$1:$I$89,3,0)*0.475*44/12</f>
        <v>5.0531867362216647E-22</v>
      </c>
      <c r="ED180" s="22">
        <f t="shared" si="178"/>
        <v>9.6244861131361215E-2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-1.1368683772161603E-13</v>
      </c>
      <c r="EK180" s="17">
        <f>EJ180*VLOOKUP('Données projet'!$B$15,Paramètres!$A$1:$I$89,3,0)*VLOOKUP('Données projet'!$B$15,Paramètres!$A$1:$I$89,5,0)</f>
        <v>-5.3205440053716299E-14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123.60520571614535</v>
      </c>
      <c r="EP180" s="59">
        <f t="shared" si="154"/>
        <v>119.00926870519527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4.7189419383667511E-2</v>
      </c>
      <c r="EW180" s="21">
        <f>EXP(-LN(2)/25)*EW179+(1-EXP(-LN(2)/25))/(LN(2)/25)*Calculateur!ER180*Calculateur!ET180*VLOOKUP('Données projet'!$B$15,Paramètres!$A$1:$I$89,3,0)*0.475*44/12</f>
        <v>8.1110463583054668E-2</v>
      </c>
      <c r="EX180" s="21">
        <f>EXP(-LN(2)/2)*EX179+(1-EXP(-LN(2)/2))/(LN(2)/2)*ER180*EU180*VLOOKUP('Données projet'!$B$15,Paramètres!$A$1:$I$89,3,0)*0.475*44/12</f>
        <v>4.5772031481860082E-22</v>
      </c>
      <c r="EY180" s="22">
        <f t="shared" si="181"/>
        <v>0.12829988296672218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-2.2737367544323206E-13</v>
      </c>
      <c r="FF180" s="17">
        <f>FE180*VLOOKUP('Données projet'!$B$16,Paramètres!$A$1:$I$89,3,0)*VLOOKUP('Données projet'!$B$16,Paramètres!$A$1:$I$89,5,0)</f>
        <v>-1.0936673788819462E-13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197.66963254934603</v>
      </c>
      <c r="FK180" s="59">
        <f t="shared" si="156"/>
        <v>158.08388141976138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0.14511881813962491</v>
      </c>
      <c r="FR180" s="21">
        <f>EXP(-LN(2)/25)*FR179+(1-EXP(-LN(2)/25))/(LN(2)/25)*Calculateur!FM180*Calculateur!FO180*VLOOKUP('Données projet'!$B$16,Paramètres!$A$1:$I$89,3,0)*0.475*44/12</f>
        <v>9.0221486353313743E-2</v>
      </c>
      <c r="FS180" s="21">
        <f>EXP(-LN(2)/2)*FS179+(1-EXP(-LN(2)/2))/(LN(2)/2)*FM180*FP180*VLOOKUP('Données projet'!$B$16,Paramètres!$A$1:$I$89,3,0)*0.475*44/12</f>
        <v>6.1975426223313089E-22</v>
      </c>
      <c r="FT180" s="22">
        <f t="shared" si="184"/>
        <v>0.23534030449293863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5.6843418860808015E-14</v>
      </c>
      <c r="GA180" s="17">
        <f>FZ180*VLOOKUP('Données projet'!$B$17,Paramètres!$A$1:$I$89,3,0)*VLOOKUP('Données projet'!$B$17,Paramètres!$A$1:$I$89,5,0)</f>
        <v>3.3992364478763198E-14</v>
      </c>
      <c r="GB180" s="13">
        <f t="shared" si="185"/>
        <v>5.790027782444094E-13</v>
      </c>
      <c r="GC180" s="20">
        <f t="shared" si="186"/>
        <v>1.0676332069095257E-12</v>
      </c>
      <c r="GD180" s="59">
        <f t="shared" si="134"/>
        <v>293.33333333333439</v>
      </c>
      <c r="GE180" s="59">
        <f ca="1">AVERAGE(OFFSET($GD$3,0,0,'Données projet'!$E$17+1,1))-AVERAGE(OFFSET($H$3,0,0,'Données projet'!$E$17+1,1))</f>
        <v>165.39579887388538</v>
      </c>
      <c r="GF180" s="59">
        <f t="shared" si="158"/>
        <v>155.89639262545802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0.12377307556584957</v>
      </c>
      <c r="GN180" s="21">
        <f>EXP(-LN(2)/2)*GN179+(1-EXP(-LN(2)/2))/(LN(2)/2)*GH180*GK180*VLOOKUP('Données projet'!$B$17,Paramètres!$A$1:$I$89,3,0)*0.475*44/12</f>
        <v>1.0391683308780984E-21</v>
      </c>
      <c r="GO180" s="21">
        <f t="shared" si="187"/>
        <v>0.12377307556584957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2.8421709430404007E-14</v>
      </c>
      <c r="GV180" s="17">
        <f>GU180*VLOOKUP('Données projet'!$B$18,Paramètres!$A$1:$I$89,3,0)*VLOOKUP('Données projet'!$B$18,Paramètres!$A$1:$I$89,5,0)</f>
        <v>3.0593128030886874E-14</v>
      </c>
      <c r="GW180" s="13">
        <f t="shared" si="188"/>
        <v>5.2753263159251616E-13</v>
      </c>
      <c r="GX180" s="20">
        <f t="shared" si="189"/>
        <v>9.7206903134409357E-13</v>
      </c>
      <c r="GY180" s="59">
        <f t="shared" si="137"/>
        <v>293.33333333333428</v>
      </c>
      <c r="GZ180" s="59">
        <f ca="1">AVERAGE(OFFSET($GY$3,0,0,'Données projet'!$E$18+1,1))-AVERAGE(OFFSET($H$3,0,0,'Données projet'!$E$18+1,1))</f>
        <v>186.60545265015247</v>
      </c>
      <c r="HA180" s="59">
        <f t="shared" si="160"/>
        <v>69.239647548491234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0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0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1.9065282685915009E-13</v>
      </c>
      <c r="P181" s="13">
        <f t="shared" si="141"/>
        <v>2.6568987209435707E-12</v>
      </c>
      <c r="Q181" s="20">
        <f t="shared" si="162"/>
        <v>4.959485612423072E-12</v>
      </c>
      <c r="R181" s="59">
        <f t="shared" si="109"/>
        <v>293.33333333333826</v>
      </c>
      <c r="S181" s="59">
        <f ca="1">AVERAGE(OFFSET($R$3,0,0,'Données projet'!$E$9+1,1))-AVERAGE(OFFSET($H$3,0,0,'Données projet'!$E$9+1,1))</f>
        <v>235.10258076192054</v>
      </c>
      <c r="T181" s="59">
        <f t="shared" si="142"/>
        <v>233.47316052603765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0.18274912282584679</v>
      </c>
      <c r="AA181" s="21">
        <f>EXP(-LN(2)/25)*AA180+(1-EXP(-LN(2)/25))/(LN(2)/25)*Calculateur!V181*Calculateur!X181*VLOOKUP('Données projet'!$B$9,Paramètres!$A$1:$I$89,3,0)*0.475*44/12</f>
        <v>0.30446883827269494</v>
      </c>
      <c r="AB181" s="21">
        <f>EXP(-LN(2)/2)*AB180+(1-EXP(-LN(2)/2))/(LN(2)/2)*V181*Y181*VLOOKUP('Données projet'!$B$9,Paramètres!$A$1:$I$89,3,0)*0.475*44/12</f>
        <v>1.2770123734662797E-21</v>
      </c>
      <c r="AC181" s="22">
        <f t="shared" si="163"/>
        <v>0.48721796109854176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2.2737367544323206E-13</v>
      </c>
      <c r="AJ181" s="13">
        <f>AI181*VLOOKUP('Données projet'!$B$10,Paramètres!$A$1:$I$89,3,0)*VLOOKUP('Données projet'!$B$10,Paramètres!$A$1:$I$89,5,0)</f>
        <v>1.2414602679200471E-13</v>
      </c>
      <c r="AK181" s="13">
        <f t="shared" si="164"/>
        <v>1.8186582995804361E-12</v>
      </c>
      <c r="AL181" s="20">
        <f t="shared" si="165"/>
        <v>3.3837175350986671E-12</v>
      </c>
      <c r="AM181" s="59">
        <f t="shared" si="113"/>
        <v>293.33333333333672</v>
      </c>
      <c r="AN181" s="59">
        <f ca="1">AVERAGE(OFFSET($AM$3,0,0,'Données projet'!$E$10+1,1))-AVERAGE(OFFSET($H$3,0,0,'Données projet'!$E$10+1,1))</f>
        <v>168.72306536277267</v>
      </c>
      <c r="AO181" s="59">
        <f t="shared" si="144"/>
        <v>203.35476578922339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0.16227194838658685</v>
      </c>
      <c r="AV181" s="21">
        <f>EXP(-LN(2)/25)*AV180+(1-EXP(-LN(2)/25))/(LN(2)/25)*Calculateur!AQ181*Calculateur!AS181*VLOOKUP('Données projet'!$B$10,Paramètres!$A$1:$I$89,3,0)*0.475*44/12</f>
        <v>0.37961847558162776</v>
      </c>
      <c r="AW181" s="21">
        <f>EXP(-LN(2)/2)*AW180+(1-EXP(-LN(2)/2))/(LN(2)/2)*AQ181*AT181*VLOOKUP('Données projet'!$B$10,Paramètres!$A$1:$I$89,3,0)*0.475*44/12</f>
        <v>1.0600536137297711E-21</v>
      </c>
      <c r="AX181" s="21">
        <f t="shared" si="166"/>
        <v>0.54189042396821463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3.3992364478763198E-14</v>
      </c>
      <c r="BF181" s="13">
        <f t="shared" si="167"/>
        <v>5.790027782444094E-13</v>
      </c>
      <c r="BG181" s="20">
        <f t="shared" si="168"/>
        <v>1.0676332069095257E-12</v>
      </c>
      <c r="BH181" s="59">
        <f t="shared" si="116"/>
        <v>293.33333333333439</v>
      </c>
      <c r="BI181" s="59">
        <f ca="1">AVERAGE(OFFSET($BH$3,0,0,'Données projet'!$E$11+1,1))-AVERAGE(OFFSET($H$3,0,0,'Données projet'!$E$11+1,1))</f>
        <v>165.39579887388538</v>
      </c>
      <c r="BJ181" s="59">
        <f t="shared" si="146"/>
        <v>155.89639262545802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0.12038849430555826</v>
      </c>
      <c r="BR181" s="21">
        <f>EXP(-LN(2)/2)*BR180+(1-EXP(-LN(2)/2))/(LN(2)/2)*BL181*BO181*VLOOKUP('Données projet'!$B$11,Paramètres!$A$1:$I$89,3,0)*0.475*44/12</f>
        <v>7.3480297355820933E-22</v>
      </c>
      <c r="BS181" s="22">
        <f t="shared" si="169"/>
        <v>0.12038849430555826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2.8421709430404007E-14</v>
      </c>
      <c r="BZ181" s="13">
        <f>BY181*VLOOKUP('Données projet'!$B$12,Paramètres!$A$1:$I$89,3,0)*VLOOKUP('Données projet'!$B$12,Paramètres!$A$1:$I$89,5,0)</f>
        <v>2.7489477361086758E-14</v>
      </c>
      <c r="CA181" s="13">
        <f t="shared" si="170"/>
        <v>4.7995394886724981E-13</v>
      </c>
      <c r="CB181" s="20">
        <f t="shared" si="171"/>
        <v>8.8379730068101964E-13</v>
      </c>
      <c r="CC181" s="59">
        <f t="shared" si="119"/>
        <v>293.33333333333422</v>
      </c>
      <c r="CD181" s="59">
        <f ca="1">AVERAGE(OFFSET($CC$3,0,0,'Données projet'!$E$12+1,1))-AVERAGE(OFFSET($H$3,0,0,'Données projet'!$E$12+1,1))</f>
        <v>156.26368818265388</v>
      </c>
      <c r="CE181" s="59">
        <f t="shared" si="148"/>
        <v>56.347130462109817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2.8421709430404007E-14</v>
      </c>
      <c r="CU181" s="17">
        <f>CT181*VLOOKUP('Données projet'!$B$13,Paramètres!$A$1:$I$89,3,0)*VLOOKUP('Données projet'!$B$13,Paramètres!$A$1:$I$89,5,0)</f>
        <v>2.3055690689943732E-14</v>
      </c>
      <c r="CV181" s="13">
        <f t="shared" si="173"/>
        <v>4.10868481342271E-13</v>
      </c>
      <c r="CW181" s="20">
        <f t="shared" si="174"/>
        <v>7.5575126628944061E-13</v>
      </c>
      <c r="CX181" s="59">
        <f t="shared" si="122"/>
        <v>293.33333333333405</v>
      </c>
      <c r="CY181" s="59">
        <f ca="1">AVERAGE(OFFSET($CX$3,0,0,'Données projet'!$E$13+1,1))-AVERAGE(OFFSET($H$3,0,0,'Données projet'!$E$13+1,1))</f>
        <v>112.78807760743126</v>
      </c>
      <c r="CZ181" s="59">
        <f t="shared" si="150"/>
        <v>37.867745922003564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-8.5265128291212022E-14</v>
      </c>
      <c r="DP181" s="17">
        <f>DO181*VLOOKUP('Données projet'!$B$14,Paramètres!$A$1:$I$89,3,0)*VLOOKUP('Données projet'!$B$14,Paramètres!$A$1:$I$89,5,0)</f>
        <v>-5.7195848057745024E-14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107.15837202366862</v>
      </c>
      <c r="DU181" s="59">
        <f t="shared" si="152"/>
        <v>139.67031833740026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9.3613040342426859E-2</v>
      </c>
      <c r="EC181" s="21">
        <f>EXP(-LN(2)/2)*EC180+(1-EXP(-LN(2)/2))/(LN(2)/2)*DW181*DZ181*VLOOKUP('Données projet'!$B$14,Paramètres!$A$1:$I$89,3,0)*0.475*44/12</f>
        <v>3.573142607784257E-22</v>
      </c>
      <c r="ED181" s="22">
        <f t="shared" si="178"/>
        <v>9.3613040342426859E-2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-1.1368683772161603E-13</v>
      </c>
      <c r="EK181" s="17">
        <f>EJ181*VLOOKUP('Données projet'!$B$15,Paramètres!$A$1:$I$89,3,0)*VLOOKUP('Données projet'!$B$15,Paramètres!$A$1:$I$89,5,0)</f>
        <v>-5.3205440053716299E-14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123.60520571614535</v>
      </c>
      <c r="EP181" s="59">
        <f t="shared" si="154"/>
        <v>119.00926870519527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4.6264063652257562E-2</v>
      </c>
      <c r="EW181" s="21">
        <f>EXP(-LN(2)/25)*EW180+(1-EXP(-LN(2)/25))/(LN(2)/25)*Calculateur!ER181*Calculateur!ET181*VLOOKUP('Données projet'!$B$15,Paramètres!$A$1:$I$89,3,0)*0.475*44/12</f>
        <v>7.8892493690962143E-2</v>
      </c>
      <c r="EX181" s="21">
        <f>EXP(-LN(2)/2)*EX180+(1-EXP(-LN(2)/2))/(LN(2)/2)*ER181*EU181*VLOOKUP('Données projet'!$B$15,Paramètres!$A$1:$I$89,3,0)*0.475*44/12</f>
        <v>3.2365713849507402E-22</v>
      </c>
      <c r="EY181" s="22">
        <f t="shared" si="181"/>
        <v>0.1251565573432197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-2.2737367544323206E-13</v>
      </c>
      <c r="FF181" s="17">
        <f>FE181*VLOOKUP('Données projet'!$B$16,Paramètres!$A$1:$I$89,3,0)*VLOOKUP('Données projet'!$B$16,Paramètres!$A$1:$I$89,5,0)</f>
        <v>-1.0936673788819462E-13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197.66963254934603</v>
      </c>
      <c r="FK181" s="59">
        <f t="shared" si="156"/>
        <v>158.08388141976138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0.14227312662964592</v>
      </c>
      <c r="FR181" s="21">
        <f>EXP(-LN(2)/25)*FR180+(1-EXP(-LN(2)/25))/(LN(2)/25)*Calculateur!FM181*Calculateur!FO181*VLOOKUP('Données projet'!$B$16,Paramètres!$A$1:$I$89,3,0)*0.475*44/12</f>
        <v>8.7754375064440615E-2</v>
      </c>
      <c r="FS181" s="21">
        <f>EXP(-LN(2)/2)*FS180+(1-EXP(-LN(2)/2))/(LN(2)/2)*FM181*FP181*VLOOKUP('Données projet'!$B$16,Paramètres!$A$1:$I$89,3,0)*0.475*44/12</f>
        <v>4.3823244149431266E-22</v>
      </c>
      <c r="FT181" s="22">
        <f t="shared" si="184"/>
        <v>0.23002750169408653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5.6843418860808015E-14</v>
      </c>
      <c r="GA181" s="17">
        <f>FZ181*VLOOKUP('Données projet'!$B$17,Paramètres!$A$1:$I$89,3,0)*VLOOKUP('Données projet'!$B$17,Paramètres!$A$1:$I$89,5,0)</f>
        <v>3.3992364478763198E-14</v>
      </c>
      <c r="GB181" s="13">
        <f t="shared" si="185"/>
        <v>5.790027782444094E-13</v>
      </c>
      <c r="GC181" s="20">
        <f t="shared" si="186"/>
        <v>1.0676332069095257E-12</v>
      </c>
      <c r="GD181" s="59">
        <f t="shared" si="134"/>
        <v>293.33333333333439</v>
      </c>
      <c r="GE181" s="59">
        <f ca="1">AVERAGE(OFFSET($GD$3,0,0,'Données projet'!$E$17+1,1))-AVERAGE(OFFSET($H$3,0,0,'Données projet'!$E$17+1,1))</f>
        <v>165.39579887388538</v>
      </c>
      <c r="GF181" s="59">
        <f t="shared" si="158"/>
        <v>155.89639262545802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0.12038849430555826</v>
      </c>
      <c r="GN181" s="21">
        <f>EXP(-LN(2)/2)*GN180+(1-EXP(-LN(2)/2))/(LN(2)/2)*GH181*GK181*VLOOKUP('Données projet'!$B$17,Paramètres!$A$1:$I$89,3,0)*0.475*44/12</f>
        <v>7.3480297355820933E-22</v>
      </c>
      <c r="GO181" s="21">
        <f t="shared" si="187"/>
        <v>0.12038849430555826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2.8421709430404007E-14</v>
      </c>
      <c r="GV181" s="17">
        <f>GU181*VLOOKUP('Données projet'!$B$18,Paramètres!$A$1:$I$89,3,0)*VLOOKUP('Données projet'!$B$18,Paramètres!$A$1:$I$89,5,0)</f>
        <v>3.0593128030886874E-14</v>
      </c>
      <c r="GW181" s="13">
        <f t="shared" si="188"/>
        <v>5.2753263159251616E-13</v>
      </c>
      <c r="GX181" s="20">
        <f t="shared" si="189"/>
        <v>9.7206903134409357E-13</v>
      </c>
      <c r="GY181" s="59">
        <f t="shared" si="137"/>
        <v>293.33333333333428</v>
      </c>
      <c r="GZ181" s="59">
        <f ca="1">AVERAGE(OFFSET($GY$3,0,0,'Données projet'!$E$18+1,1))-AVERAGE(OFFSET($H$3,0,0,'Données projet'!$E$18+1,1))</f>
        <v>186.60545265015247</v>
      </c>
      <c r="HA181" s="59">
        <f t="shared" si="160"/>
        <v>69.239647548491234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0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0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1.9065282685915009E-13</v>
      </c>
      <c r="P182" s="13">
        <f t="shared" si="141"/>
        <v>2.6568987209435707E-12</v>
      </c>
      <c r="Q182" s="20">
        <f t="shared" si="162"/>
        <v>4.959485612423072E-12</v>
      </c>
      <c r="R182" s="59">
        <f t="shared" si="109"/>
        <v>293.33333333333826</v>
      </c>
      <c r="S182" s="59">
        <f ca="1">AVERAGE(OFFSET($R$3,0,0,'Données projet'!$E$9+1,1))-AVERAGE(OFFSET($H$3,0,0,'Données projet'!$E$9+1,1))</f>
        <v>235.10258076192054</v>
      </c>
      <c r="T182" s="59">
        <f t="shared" si="142"/>
        <v>233.47316052603765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0.17916552399319052</v>
      </c>
      <c r="AA182" s="21">
        <f>EXP(-LN(2)/25)*AA181+(1-EXP(-LN(2)/25))/(LN(2)/25)*Calculateur!V182*Calculateur!X182*VLOOKUP('Données projet'!$B$9,Paramètres!$A$1:$I$89,3,0)*0.475*44/12</f>
        <v>0.29614312187880776</v>
      </c>
      <c r="AB182" s="21">
        <f>EXP(-LN(2)/2)*AB181+(1-EXP(-LN(2)/2))/(LN(2)/2)*V182*Y182*VLOOKUP('Données projet'!$B$9,Paramètres!$A$1:$I$89,3,0)*0.475*44/12</f>
        <v>9.0298410893713436E-22</v>
      </c>
      <c r="AC182" s="22">
        <f t="shared" si="163"/>
        <v>0.47530864587199828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2.2737367544323206E-13</v>
      </c>
      <c r="AJ182" s="13">
        <f>AI182*VLOOKUP('Données projet'!$B$10,Paramètres!$A$1:$I$89,3,0)*VLOOKUP('Données projet'!$B$10,Paramètres!$A$1:$I$89,5,0)</f>
        <v>1.2414602679200471E-13</v>
      </c>
      <c r="AK182" s="13">
        <f t="shared" si="164"/>
        <v>1.8186582995804361E-12</v>
      </c>
      <c r="AL182" s="20">
        <f t="shared" si="165"/>
        <v>3.3837175350986671E-12</v>
      </c>
      <c r="AM182" s="59">
        <f t="shared" si="113"/>
        <v>293.33333333333672</v>
      </c>
      <c r="AN182" s="59">
        <f ca="1">AVERAGE(OFFSET($AM$3,0,0,'Données projet'!$E$10+1,1))-AVERAGE(OFFSET($H$3,0,0,'Données projet'!$E$10+1,1))</f>
        <v>168.72306536277267</v>
      </c>
      <c r="AO182" s="59">
        <f t="shared" si="144"/>
        <v>203.35476578922339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0.15908989445484131</v>
      </c>
      <c r="AV182" s="21">
        <f>EXP(-LN(2)/25)*AV181+(1-EXP(-LN(2)/25))/(LN(2)/25)*Calculateur!AQ182*Calculateur!AS182*VLOOKUP('Données projet'!$B$10,Paramètres!$A$1:$I$89,3,0)*0.475*44/12</f>
        <v>0.36923778840358012</v>
      </c>
      <c r="AW182" s="21">
        <f>EXP(-LN(2)/2)*AW181+(1-EXP(-LN(2)/2))/(LN(2)/2)*AQ182*AT182*VLOOKUP('Données projet'!$B$10,Paramètres!$A$1:$I$89,3,0)*0.475*44/12</f>
        <v>7.4957109868962623E-22</v>
      </c>
      <c r="AX182" s="21">
        <f t="shared" si="166"/>
        <v>0.52832768285842147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3.3992364478763198E-14</v>
      </c>
      <c r="BF182" s="13">
        <f t="shared" si="167"/>
        <v>5.790027782444094E-13</v>
      </c>
      <c r="BG182" s="20">
        <f t="shared" si="168"/>
        <v>1.0676332069095257E-12</v>
      </c>
      <c r="BH182" s="59">
        <f t="shared" si="116"/>
        <v>293.33333333333439</v>
      </c>
      <c r="BI182" s="59">
        <f ca="1">AVERAGE(OFFSET($BH$3,0,0,'Données projet'!$E$11+1,1))-AVERAGE(OFFSET($H$3,0,0,'Données projet'!$E$11+1,1))</f>
        <v>165.39579887388538</v>
      </c>
      <c r="BJ182" s="59">
        <f t="shared" si="146"/>
        <v>155.89639262545802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0.117096464597817</v>
      </c>
      <c r="BR182" s="21">
        <f>EXP(-LN(2)/2)*BR181+(1-EXP(-LN(2)/2))/(LN(2)/2)*BL182*BO182*VLOOKUP('Données projet'!$B$11,Paramètres!$A$1:$I$89,3,0)*0.475*44/12</f>
        <v>5.1958416543904918E-22</v>
      </c>
      <c r="BS182" s="22">
        <f t="shared" si="169"/>
        <v>0.117096464597817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2.8421709430404007E-14</v>
      </c>
      <c r="BZ182" s="13">
        <f>BY182*VLOOKUP('Données projet'!$B$12,Paramètres!$A$1:$I$89,3,0)*VLOOKUP('Données projet'!$B$12,Paramètres!$A$1:$I$89,5,0)</f>
        <v>2.7489477361086758E-14</v>
      </c>
      <c r="CA182" s="13">
        <f t="shared" si="170"/>
        <v>4.7995394886724981E-13</v>
      </c>
      <c r="CB182" s="20">
        <f t="shared" si="171"/>
        <v>8.8379730068101964E-13</v>
      </c>
      <c r="CC182" s="59">
        <f t="shared" si="119"/>
        <v>293.33333333333422</v>
      </c>
      <c r="CD182" s="59">
        <f ca="1">AVERAGE(OFFSET($CC$3,0,0,'Données projet'!$E$12+1,1))-AVERAGE(OFFSET($H$3,0,0,'Données projet'!$E$12+1,1))</f>
        <v>156.26368818265388</v>
      </c>
      <c r="CE182" s="59">
        <f t="shared" si="148"/>
        <v>56.347130462109817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2.8421709430404007E-14</v>
      </c>
      <c r="CU182" s="17">
        <f>CT182*VLOOKUP('Données projet'!$B$13,Paramètres!$A$1:$I$89,3,0)*VLOOKUP('Données projet'!$B$13,Paramètres!$A$1:$I$89,5,0)</f>
        <v>2.3055690689943732E-14</v>
      </c>
      <c r="CV182" s="13">
        <f t="shared" si="173"/>
        <v>4.10868481342271E-13</v>
      </c>
      <c r="CW182" s="20">
        <f t="shared" si="174"/>
        <v>7.5575126628944061E-13</v>
      </c>
      <c r="CX182" s="59">
        <f t="shared" si="122"/>
        <v>293.33333333333405</v>
      </c>
      <c r="CY182" s="59">
        <f ca="1">AVERAGE(OFFSET($CX$3,0,0,'Données projet'!$E$13+1,1))-AVERAGE(OFFSET($H$3,0,0,'Données projet'!$E$13+1,1))</f>
        <v>112.78807760743126</v>
      </c>
      <c r="CZ182" s="59">
        <f t="shared" si="150"/>
        <v>37.867745922003564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-8.5265128291212022E-14</v>
      </c>
      <c r="DP182" s="17">
        <f>DO182*VLOOKUP('Données projet'!$B$14,Paramètres!$A$1:$I$89,3,0)*VLOOKUP('Données projet'!$B$14,Paramètres!$A$1:$I$89,5,0)</f>
        <v>-5.7195848057745024E-14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107.15837202366862</v>
      </c>
      <c r="DU182" s="59">
        <f t="shared" si="152"/>
        <v>139.67031833740026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9.1053186831367358E-2</v>
      </c>
      <c r="EC182" s="21">
        <f>EXP(-LN(2)/2)*EC181+(1-EXP(-LN(2)/2))/(LN(2)/2)*DW182*DZ182*VLOOKUP('Données projet'!$B$14,Paramètres!$A$1:$I$89,3,0)*0.475*44/12</f>
        <v>2.5265933681108324E-22</v>
      </c>
      <c r="ED182" s="22">
        <f t="shared" si="178"/>
        <v>9.1053186831367358E-2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-1.1368683772161603E-13</v>
      </c>
      <c r="EK182" s="17">
        <f>EJ182*VLOOKUP('Données projet'!$B$15,Paramètres!$A$1:$I$89,3,0)*VLOOKUP('Données projet'!$B$15,Paramètres!$A$1:$I$89,5,0)</f>
        <v>-5.3205440053716299E-14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123.60520571614535</v>
      </c>
      <c r="EP182" s="59">
        <f t="shared" si="154"/>
        <v>119.00926870519527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4.5356853582329291E-2</v>
      </c>
      <c r="EW182" s="21">
        <f>EXP(-LN(2)/25)*EW181+(1-EXP(-LN(2)/25))/(LN(2)/25)*Calculateur!ER182*Calculateur!ET182*VLOOKUP('Données projet'!$B$15,Paramètres!$A$1:$I$89,3,0)*0.475*44/12</f>
        <v>7.6735174302206846E-2</v>
      </c>
      <c r="EX182" s="21">
        <f>EXP(-LN(2)/2)*EX181+(1-EXP(-LN(2)/2))/(LN(2)/2)*ER182*EU182*VLOOKUP('Données projet'!$B$15,Paramètres!$A$1:$I$89,3,0)*0.475*44/12</f>
        <v>2.2886015740930041E-22</v>
      </c>
      <c r="EY182" s="22">
        <f t="shared" si="181"/>
        <v>0.12209202788453613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-2.2737367544323206E-13</v>
      </c>
      <c r="FF182" s="17">
        <f>FE182*VLOOKUP('Données projet'!$B$16,Paramètres!$A$1:$I$89,3,0)*VLOOKUP('Données projet'!$B$16,Paramètres!$A$1:$I$89,5,0)</f>
        <v>-1.0936673788819462E-13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197.66963254934603</v>
      </c>
      <c r="FK182" s="59">
        <f t="shared" si="156"/>
        <v>158.08388141976138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0.13948323739447718</v>
      </c>
      <c r="FR182" s="21">
        <f>EXP(-LN(2)/25)*FR181+(1-EXP(-LN(2)/25))/(LN(2)/25)*Calculateur!FM182*Calculateur!FO182*VLOOKUP('Données projet'!$B$16,Paramètres!$A$1:$I$89,3,0)*0.475*44/12</f>
        <v>8.5354727063501473E-2</v>
      </c>
      <c r="FS182" s="21">
        <f>EXP(-LN(2)/2)*FS181+(1-EXP(-LN(2)/2))/(LN(2)/2)*FM182*FP182*VLOOKUP('Données projet'!$B$16,Paramètres!$A$1:$I$89,3,0)*0.475*44/12</f>
        <v>3.0987713111656544E-22</v>
      </c>
      <c r="FT182" s="22">
        <f t="shared" si="184"/>
        <v>0.22483796445797866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5.6843418860808015E-14</v>
      </c>
      <c r="GA182" s="17">
        <f>FZ182*VLOOKUP('Données projet'!$B$17,Paramètres!$A$1:$I$89,3,0)*VLOOKUP('Données projet'!$B$17,Paramètres!$A$1:$I$89,5,0)</f>
        <v>3.3992364478763198E-14</v>
      </c>
      <c r="GB182" s="13">
        <f t="shared" si="185"/>
        <v>5.790027782444094E-13</v>
      </c>
      <c r="GC182" s="20">
        <f t="shared" si="186"/>
        <v>1.0676332069095257E-12</v>
      </c>
      <c r="GD182" s="59">
        <f t="shared" si="134"/>
        <v>293.33333333333439</v>
      </c>
      <c r="GE182" s="59">
        <f ca="1">AVERAGE(OFFSET($GD$3,0,0,'Données projet'!$E$17+1,1))-AVERAGE(OFFSET($H$3,0,0,'Données projet'!$E$17+1,1))</f>
        <v>165.39579887388538</v>
      </c>
      <c r="GF182" s="59">
        <f t="shared" si="158"/>
        <v>155.89639262545802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0.117096464597817</v>
      </c>
      <c r="GN182" s="21">
        <f>EXP(-LN(2)/2)*GN181+(1-EXP(-LN(2)/2))/(LN(2)/2)*GH182*GK182*VLOOKUP('Données projet'!$B$17,Paramètres!$A$1:$I$89,3,0)*0.475*44/12</f>
        <v>5.1958416543904918E-22</v>
      </c>
      <c r="GO182" s="21">
        <f t="shared" si="187"/>
        <v>0.117096464597817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2.8421709430404007E-14</v>
      </c>
      <c r="GV182" s="17">
        <f>GU182*VLOOKUP('Données projet'!$B$18,Paramètres!$A$1:$I$89,3,0)*VLOOKUP('Données projet'!$B$18,Paramètres!$A$1:$I$89,5,0)</f>
        <v>3.0593128030886874E-14</v>
      </c>
      <c r="GW182" s="13">
        <f t="shared" si="188"/>
        <v>5.2753263159251616E-13</v>
      </c>
      <c r="GX182" s="20">
        <f t="shared" si="189"/>
        <v>9.7206903134409357E-13</v>
      </c>
      <c r="GY182" s="59">
        <f t="shared" si="137"/>
        <v>293.33333333333428</v>
      </c>
      <c r="GZ182" s="59">
        <f ca="1">AVERAGE(OFFSET($GY$3,0,0,'Données projet'!$E$18+1,1))-AVERAGE(OFFSET($H$3,0,0,'Données projet'!$E$18+1,1))</f>
        <v>186.60545265015247</v>
      </c>
      <c r="HA182" s="59">
        <f t="shared" si="160"/>
        <v>69.239647548491234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0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0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1.9065282685915009E-13</v>
      </c>
      <c r="P183" s="13">
        <f t="shared" si="141"/>
        <v>2.6568987209435707E-12</v>
      </c>
      <c r="Q183" s="20">
        <f t="shared" si="162"/>
        <v>4.959485612423072E-12</v>
      </c>
      <c r="R183" s="59">
        <f t="shared" si="109"/>
        <v>293.33333333333826</v>
      </c>
      <c r="S183" s="59">
        <f ca="1">AVERAGE(OFFSET($R$3,0,0,'Données projet'!$E$9+1,1))-AVERAGE(OFFSET($H$3,0,0,'Données projet'!$E$9+1,1))</f>
        <v>235.10258076192054</v>
      </c>
      <c r="T183" s="59">
        <f t="shared" si="142"/>
        <v>233.47316052603765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0.17565219734786316</v>
      </c>
      <c r="AA183" s="21">
        <f>EXP(-LN(2)/25)*AA182+(1-EXP(-LN(2)/25))/(LN(2)/25)*Calculateur!V183*Calculateur!X183*VLOOKUP('Données projet'!$B$9,Paramètres!$A$1:$I$89,3,0)*0.475*44/12</f>
        <v>0.28804507263754181</v>
      </c>
      <c r="AB183" s="21">
        <f>EXP(-LN(2)/2)*AB182+(1-EXP(-LN(2)/2))/(LN(2)/2)*V183*Y183*VLOOKUP('Données projet'!$B$9,Paramètres!$A$1:$I$89,3,0)*0.475*44/12</f>
        <v>6.3850618673313987E-22</v>
      </c>
      <c r="AC183" s="22">
        <f t="shared" si="163"/>
        <v>0.46369726998540495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2.2737367544323206E-13</v>
      </c>
      <c r="AJ183" s="13">
        <f>AI183*VLOOKUP('Données projet'!$B$10,Paramètres!$A$1:$I$89,3,0)*VLOOKUP('Données projet'!$B$10,Paramètres!$A$1:$I$89,5,0)</f>
        <v>1.2414602679200471E-13</v>
      </c>
      <c r="AK183" s="13">
        <f t="shared" si="164"/>
        <v>1.8186582995804361E-12</v>
      </c>
      <c r="AL183" s="20">
        <f t="shared" si="165"/>
        <v>3.3837175350986671E-12</v>
      </c>
      <c r="AM183" s="59">
        <f t="shared" si="113"/>
        <v>293.33333333333672</v>
      </c>
      <c r="AN183" s="59">
        <f ca="1">AVERAGE(OFFSET($AM$3,0,0,'Données projet'!$E$10+1,1))-AVERAGE(OFFSET($H$3,0,0,'Données projet'!$E$10+1,1))</f>
        <v>168.72306536277267</v>
      </c>
      <c r="AO183" s="59">
        <f t="shared" si="144"/>
        <v>203.35476578922339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0.15597023865983606</v>
      </c>
      <c r="AV183" s="21">
        <f>EXP(-LN(2)/25)*AV182+(1-EXP(-LN(2)/25))/(LN(2)/25)*Calculateur!AQ183*Calculateur!AS183*VLOOKUP('Données projet'!$B$10,Paramètres!$A$1:$I$89,3,0)*0.475*44/12</f>
        <v>0.35914096166231285</v>
      </c>
      <c r="AW183" s="21">
        <f>EXP(-LN(2)/2)*AW182+(1-EXP(-LN(2)/2))/(LN(2)/2)*AQ183*AT183*VLOOKUP('Données projet'!$B$10,Paramètres!$A$1:$I$89,3,0)*0.475*44/12</f>
        <v>5.3002680686488554E-22</v>
      </c>
      <c r="AX183" s="21">
        <f t="shared" si="166"/>
        <v>0.51511120032214897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3.3992364478763198E-14</v>
      </c>
      <c r="BF183" s="13">
        <f t="shared" si="167"/>
        <v>5.790027782444094E-13</v>
      </c>
      <c r="BG183" s="20">
        <f t="shared" si="168"/>
        <v>1.0676332069095257E-12</v>
      </c>
      <c r="BH183" s="59">
        <f t="shared" si="116"/>
        <v>293.33333333333439</v>
      </c>
      <c r="BI183" s="59">
        <f ca="1">AVERAGE(OFFSET($BH$3,0,0,'Données projet'!$E$11+1,1))-AVERAGE(OFFSET($H$3,0,0,'Données projet'!$E$11+1,1))</f>
        <v>165.39579887388538</v>
      </c>
      <c r="BJ183" s="59">
        <f t="shared" si="146"/>
        <v>155.89639262545802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0.11389445561555425</v>
      </c>
      <c r="BR183" s="21">
        <f>EXP(-LN(2)/2)*BR182+(1-EXP(-LN(2)/2))/(LN(2)/2)*BL183*BO183*VLOOKUP('Données projet'!$B$11,Paramètres!$A$1:$I$89,3,0)*0.475*44/12</f>
        <v>3.6740148677910467E-22</v>
      </c>
      <c r="BS183" s="22">
        <f t="shared" si="169"/>
        <v>0.11389445561555425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2.8421709430404007E-14</v>
      </c>
      <c r="BZ183" s="13">
        <f>BY183*VLOOKUP('Données projet'!$B$12,Paramètres!$A$1:$I$89,3,0)*VLOOKUP('Données projet'!$B$12,Paramètres!$A$1:$I$89,5,0)</f>
        <v>2.7489477361086758E-14</v>
      </c>
      <c r="CA183" s="13">
        <f t="shared" si="170"/>
        <v>4.7995394886724981E-13</v>
      </c>
      <c r="CB183" s="20">
        <f t="shared" si="171"/>
        <v>8.8379730068101964E-13</v>
      </c>
      <c r="CC183" s="59">
        <f t="shared" si="119"/>
        <v>293.33333333333422</v>
      </c>
      <c r="CD183" s="59">
        <f ca="1">AVERAGE(OFFSET($CC$3,0,0,'Données projet'!$E$12+1,1))-AVERAGE(OFFSET($H$3,0,0,'Données projet'!$E$12+1,1))</f>
        <v>156.26368818265388</v>
      </c>
      <c r="CE183" s="59">
        <f t="shared" si="148"/>
        <v>56.347130462109817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2.8421709430404007E-14</v>
      </c>
      <c r="CU183" s="17">
        <f>CT183*VLOOKUP('Données projet'!$B$13,Paramètres!$A$1:$I$89,3,0)*VLOOKUP('Données projet'!$B$13,Paramètres!$A$1:$I$89,5,0)</f>
        <v>2.3055690689943732E-14</v>
      </c>
      <c r="CV183" s="13">
        <f t="shared" si="173"/>
        <v>4.10868481342271E-13</v>
      </c>
      <c r="CW183" s="20">
        <f t="shared" si="174"/>
        <v>7.5575126628944061E-13</v>
      </c>
      <c r="CX183" s="59">
        <f t="shared" si="122"/>
        <v>293.33333333333405</v>
      </c>
      <c r="CY183" s="59">
        <f ca="1">AVERAGE(OFFSET($CX$3,0,0,'Données projet'!$E$13+1,1))-AVERAGE(OFFSET($H$3,0,0,'Données projet'!$E$13+1,1))</f>
        <v>112.78807760743126</v>
      </c>
      <c r="CZ183" s="59">
        <f t="shared" si="150"/>
        <v>37.867745922003564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-8.5265128291212022E-14</v>
      </c>
      <c r="DP183" s="17">
        <f>DO183*VLOOKUP('Données projet'!$B$14,Paramètres!$A$1:$I$89,3,0)*VLOOKUP('Données projet'!$B$14,Paramètres!$A$1:$I$89,5,0)</f>
        <v>-5.7195848057745024E-14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107.15837202366862</v>
      </c>
      <c r="DU183" s="59">
        <f t="shared" si="152"/>
        <v>139.67031833740026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8.8563332649184631E-2</v>
      </c>
      <c r="EC183" s="21">
        <f>EXP(-LN(2)/2)*EC182+(1-EXP(-LN(2)/2))/(LN(2)/2)*DW183*DZ183*VLOOKUP('Données projet'!$B$14,Paramètres!$A$1:$I$89,3,0)*0.475*44/12</f>
        <v>1.7865713038921285E-22</v>
      </c>
      <c r="ED183" s="22">
        <f t="shared" si="178"/>
        <v>8.8563332649184631E-2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-1.1368683772161603E-13</v>
      </c>
      <c r="EK183" s="17">
        <f>EJ183*VLOOKUP('Données projet'!$B$15,Paramètres!$A$1:$I$89,3,0)*VLOOKUP('Données projet'!$B$15,Paramètres!$A$1:$I$89,5,0)</f>
        <v>-5.3205440053716299E-14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123.60520571614535</v>
      </c>
      <c r="EP183" s="59">
        <f t="shared" si="154"/>
        <v>119.00926870519527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4.4467433348528811E-2</v>
      </c>
      <c r="EW183" s="21">
        <f>EXP(-LN(2)/25)*EW182+(1-EXP(-LN(2)/25))/(LN(2)/25)*Calculateur!ER183*Calculateur!ET183*VLOOKUP('Données projet'!$B$15,Paramètres!$A$1:$I$89,3,0)*0.475*44/12</f>
        <v>7.4636846925585559E-2</v>
      </c>
      <c r="EX183" s="21">
        <f>EXP(-LN(2)/2)*EX182+(1-EXP(-LN(2)/2))/(LN(2)/2)*ER183*EU183*VLOOKUP('Données projet'!$B$15,Paramètres!$A$1:$I$89,3,0)*0.475*44/12</f>
        <v>1.6182856924753701E-22</v>
      </c>
      <c r="EY183" s="22">
        <f t="shared" si="181"/>
        <v>0.11910428027411438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-2.2737367544323206E-13</v>
      </c>
      <c r="FF183" s="17">
        <f>FE183*VLOOKUP('Données projet'!$B$16,Paramètres!$A$1:$I$89,3,0)*VLOOKUP('Données projet'!$B$16,Paramètres!$A$1:$I$89,5,0)</f>
        <v>-1.0936673788819462E-13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197.66963254934603</v>
      </c>
      <c r="FK183" s="59">
        <f t="shared" si="156"/>
        <v>158.08388141976138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0.1367480561855457</v>
      </c>
      <c r="FR183" s="21">
        <f>EXP(-LN(2)/25)*FR182+(1-EXP(-LN(2)/25))/(LN(2)/25)*Calculateur!FM183*Calculateur!FO183*VLOOKUP('Données projet'!$B$16,Paramètres!$A$1:$I$89,3,0)*0.475*44/12</f>
        <v>8.3020697563340004E-2</v>
      </c>
      <c r="FS183" s="21">
        <f>EXP(-LN(2)/2)*FS182+(1-EXP(-LN(2)/2))/(LN(2)/2)*FM183*FP183*VLOOKUP('Données projet'!$B$16,Paramètres!$A$1:$I$89,3,0)*0.475*44/12</f>
        <v>2.1911622074715633E-22</v>
      </c>
      <c r="FT183" s="22">
        <f t="shared" si="184"/>
        <v>0.21976875374888571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5.6843418860808015E-14</v>
      </c>
      <c r="GA183" s="17">
        <f>FZ183*VLOOKUP('Données projet'!$B$17,Paramètres!$A$1:$I$89,3,0)*VLOOKUP('Données projet'!$B$17,Paramètres!$A$1:$I$89,5,0)</f>
        <v>3.3992364478763198E-14</v>
      </c>
      <c r="GB183" s="13">
        <f t="shared" si="185"/>
        <v>5.790027782444094E-13</v>
      </c>
      <c r="GC183" s="20">
        <f t="shared" si="186"/>
        <v>1.0676332069095257E-12</v>
      </c>
      <c r="GD183" s="59">
        <f t="shared" si="134"/>
        <v>293.33333333333439</v>
      </c>
      <c r="GE183" s="59">
        <f ca="1">AVERAGE(OFFSET($GD$3,0,0,'Données projet'!$E$17+1,1))-AVERAGE(OFFSET($H$3,0,0,'Données projet'!$E$17+1,1))</f>
        <v>165.39579887388538</v>
      </c>
      <c r="GF183" s="59">
        <f t="shared" si="158"/>
        <v>155.89639262545802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0.11389445561555425</v>
      </c>
      <c r="GN183" s="21">
        <f>EXP(-LN(2)/2)*GN182+(1-EXP(-LN(2)/2))/(LN(2)/2)*GH183*GK183*VLOOKUP('Données projet'!$B$17,Paramètres!$A$1:$I$89,3,0)*0.475*44/12</f>
        <v>3.6740148677910467E-22</v>
      </c>
      <c r="GO183" s="21">
        <f t="shared" si="187"/>
        <v>0.11389445561555425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2.8421709430404007E-14</v>
      </c>
      <c r="GV183" s="17">
        <f>GU183*VLOOKUP('Données projet'!$B$18,Paramètres!$A$1:$I$89,3,0)*VLOOKUP('Données projet'!$B$18,Paramètres!$A$1:$I$89,5,0)</f>
        <v>3.0593128030886874E-14</v>
      </c>
      <c r="GW183" s="13">
        <f t="shared" si="188"/>
        <v>5.2753263159251616E-13</v>
      </c>
      <c r="GX183" s="20">
        <f t="shared" si="189"/>
        <v>9.7206903134409357E-13</v>
      </c>
      <c r="GY183" s="59">
        <f t="shared" si="137"/>
        <v>293.33333333333428</v>
      </c>
      <c r="GZ183" s="59">
        <f ca="1">AVERAGE(OFFSET($GY$3,0,0,'Données projet'!$E$18+1,1))-AVERAGE(OFFSET($H$3,0,0,'Données projet'!$E$18+1,1))</f>
        <v>186.60545265015247</v>
      </c>
      <c r="HA183" s="59">
        <f t="shared" si="160"/>
        <v>69.239647548491234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0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0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1.9065282685915009E-13</v>
      </c>
      <c r="P184" s="13">
        <f t="shared" si="141"/>
        <v>2.6568987209435707E-12</v>
      </c>
      <c r="Q184" s="20">
        <f t="shared" si="162"/>
        <v>4.959485612423072E-12</v>
      </c>
      <c r="R184" s="59">
        <f t="shared" si="109"/>
        <v>293.33333333333826</v>
      </c>
      <c r="S184" s="59">
        <f ca="1">AVERAGE(OFFSET($R$3,0,0,'Données projet'!$E$9+1,1))-AVERAGE(OFFSET($H$3,0,0,'Données projet'!$E$9+1,1))</f>
        <v>235.10258076192054</v>
      </c>
      <c r="T184" s="59">
        <f t="shared" si="142"/>
        <v>233.47316052603765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0.17220776489513304</v>
      </c>
      <c r="AA184" s="21">
        <f>EXP(-LN(2)/25)*AA183+(1-EXP(-LN(2)/25))/(LN(2)/25)*Calculateur!V184*Calculateur!X184*VLOOKUP('Données projet'!$B$9,Paramètres!$A$1:$I$89,3,0)*0.475*44/12</f>
        <v>0.28016846497863618</v>
      </c>
      <c r="AB184" s="21">
        <f>EXP(-LN(2)/2)*AB183+(1-EXP(-LN(2)/2))/(LN(2)/2)*V184*Y184*VLOOKUP('Données projet'!$B$9,Paramètres!$A$1:$I$89,3,0)*0.475*44/12</f>
        <v>4.5149205446856718E-22</v>
      </c>
      <c r="AC184" s="22">
        <f t="shared" si="163"/>
        <v>0.45237622987376924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2.2737367544323206E-13</v>
      </c>
      <c r="AJ184" s="13">
        <f>AI184*VLOOKUP('Données projet'!$B$10,Paramètres!$A$1:$I$89,3,0)*VLOOKUP('Données projet'!$B$10,Paramètres!$A$1:$I$89,5,0)</f>
        <v>1.2414602679200471E-13</v>
      </c>
      <c r="AK184" s="13">
        <f t="shared" si="164"/>
        <v>1.8186582995804361E-12</v>
      </c>
      <c r="AL184" s="20">
        <f t="shared" si="165"/>
        <v>3.3837175350986671E-12</v>
      </c>
      <c r="AM184" s="59">
        <f t="shared" si="113"/>
        <v>293.33333333333672</v>
      </c>
      <c r="AN184" s="59">
        <f ca="1">AVERAGE(OFFSET($AM$3,0,0,'Données projet'!$E$10+1,1))-AVERAGE(OFFSET($H$3,0,0,'Données projet'!$E$10+1,1))</f>
        <v>168.72306536277267</v>
      </c>
      <c r="AO184" s="59">
        <f t="shared" si="144"/>
        <v>203.35476578922339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0.1529117574121687</v>
      </c>
      <c r="AV184" s="21">
        <f>EXP(-LN(2)/25)*AV183+(1-EXP(-LN(2)/25))/(LN(2)/25)*Calculateur!AQ184*Calculateur!AS184*VLOOKUP('Données projet'!$B$10,Paramètres!$A$1:$I$89,3,0)*0.475*44/12</f>
        <v>0.34932023317925454</v>
      </c>
      <c r="AW184" s="21">
        <f>EXP(-LN(2)/2)*AW183+(1-EXP(-LN(2)/2))/(LN(2)/2)*AQ184*AT184*VLOOKUP('Données projet'!$B$10,Paramètres!$A$1:$I$89,3,0)*0.475*44/12</f>
        <v>3.7478554934481311E-22</v>
      </c>
      <c r="AX184" s="21">
        <f t="shared" si="166"/>
        <v>0.50223199059142321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3.3992364478763198E-14</v>
      </c>
      <c r="BF184" s="13">
        <f t="shared" si="167"/>
        <v>5.790027782444094E-13</v>
      </c>
      <c r="BG184" s="20">
        <f t="shared" si="168"/>
        <v>1.0676332069095257E-12</v>
      </c>
      <c r="BH184" s="59">
        <f t="shared" si="116"/>
        <v>293.33333333333439</v>
      </c>
      <c r="BI184" s="59">
        <f ca="1">AVERAGE(OFFSET($BH$3,0,0,'Données projet'!$E$11+1,1))-AVERAGE(OFFSET($H$3,0,0,'Données projet'!$E$11+1,1))</f>
        <v>165.39579887388538</v>
      </c>
      <c r="BJ184" s="59">
        <f t="shared" si="146"/>
        <v>155.89639262545802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0.11078000573729781</v>
      </c>
      <c r="BR184" s="21">
        <f>EXP(-LN(2)/2)*BR183+(1-EXP(-LN(2)/2))/(LN(2)/2)*BL184*BO184*VLOOKUP('Données projet'!$B$11,Paramètres!$A$1:$I$89,3,0)*0.475*44/12</f>
        <v>2.5979208271952459E-22</v>
      </c>
      <c r="BS184" s="22">
        <f t="shared" si="169"/>
        <v>0.11078000573729781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2.8421709430404007E-14</v>
      </c>
      <c r="BZ184" s="13">
        <f>BY184*VLOOKUP('Données projet'!$B$12,Paramètres!$A$1:$I$89,3,0)*VLOOKUP('Données projet'!$B$12,Paramètres!$A$1:$I$89,5,0)</f>
        <v>2.7489477361086758E-14</v>
      </c>
      <c r="CA184" s="13">
        <f t="shared" si="170"/>
        <v>4.7995394886724981E-13</v>
      </c>
      <c r="CB184" s="20">
        <f t="shared" si="171"/>
        <v>8.8379730068101964E-13</v>
      </c>
      <c r="CC184" s="59">
        <f t="shared" si="119"/>
        <v>293.33333333333422</v>
      </c>
      <c r="CD184" s="59">
        <f ca="1">AVERAGE(OFFSET($CC$3,0,0,'Données projet'!$E$12+1,1))-AVERAGE(OFFSET($H$3,0,0,'Données projet'!$E$12+1,1))</f>
        <v>156.26368818265388</v>
      </c>
      <c r="CE184" s="59">
        <f t="shared" si="148"/>
        <v>56.347130462109817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2.8421709430404007E-14</v>
      </c>
      <c r="CU184" s="17">
        <f>CT184*VLOOKUP('Données projet'!$B$13,Paramètres!$A$1:$I$89,3,0)*VLOOKUP('Données projet'!$B$13,Paramètres!$A$1:$I$89,5,0)</f>
        <v>2.3055690689943732E-14</v>
      </c>
      <c r="CV184" s="13">
        <f t="shared" si="173"/>
        <v>4.10868481342271E-13</v>
      </c>
      <c r="CW184" s="20">
        <f t="shared" si="174"/>
        <v>7.5575126628944061E-13</v>
      </c>
      <c r="CX184" s="59">
        <f t="shared" si="122"/>
        <v>293.33333333333405</v>
      </c>
      <c r="CY184" s="59">
        <f ca="1">AVERAGE(OFFSET($CX$3,0,0,'Données projet'!$E$13+1,1))-AVERAGE(OFFSET($H$3,0,0,'Données projet'!$E$13+1,1))</f>
        <v>112.78807760743126</v>
      </c>
      <c r="CZ184" s="59">
        <f t="shared" si="150"/>
        <v>37.867745922003564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-8.5265128291212022E-14</v>
      </c>
      <c r="DP184" s="17">
        <f>DO184*VLOOKUP('Données projet'!$B$14,Paramètres!$A$1:$I$89,3,0)*VLOOKUP('Données projet'!$B$14,Paramètres!$A$1:$I$89,5,0)</f>
        <v>-5.7195848057745024E-14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107.15837202366862</v>
      </c>
      <c r="DU184" s="59">
        <f t="shared" si="152"/>
        <v>139.67031833740026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8.6141563660549425E-2</v>
      </c>
      <c r="EC184" s="21">
        <f>EXP(-LN(2)/2)*EC183+(1-EXP(-LN(2)/2))/(LN(2)/2)*DW184*DZ184*VLOOKUP('Données projet'!$B$14,Paramètres!$A$1:$I$89,3,0)*0.475*44/12</f>
        <v>1.2632966840554162E-22</v>
      </c>
      <c r="ED184" s="22">
        <f t="shared" si="178"/>
        <v>8.6141563660549425E-2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-1.1368683772161603E-13</v>
      </c>
      <c r="EK184" s="17">
        <f>EJ184*VLOOKUP('Données projet'!$B$15,Paramètres!$A$1:$I$89,3,0)*VLOOKUP('Données projet'!$B$15,Paramètres!$A$1:$I$89,5,0)</f>
        <v>-5.3205440053716299E-14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123.60520571614535</v>
      </c>
      <c r="EP184" s="59">
        <f t="shared" si="154"/>
        <v>119.00926870519527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4.3595454103020383E-2</v>
      </c>
      <c r="EW184" s="21">
        <f>EXP(-LN(2)/25)*EW183+(1-EXP(-LN(2)/25))/(LN(2)/25)*Calculateur!ER184*Calculateur!ET184*VLOOKUP('Données projet'!$B$15,Paramètres!$A$1:$I$89,3,0)*0.475*44/12</f>
        <v>7.2595898421424221E-2</v>
      </c>
      <c r="EX184" s="21">
        <f>EXP(-LN(2)/2)*EX183+(1-EXP(-LN(2)/2))/(LN(2)/2)*ER184*EU184*VLOOKUP('Données projet'!$B$15,Paramètres!$A$1:$I$89,3,0)*0.475*44/12</f>
        <v>1.1443007870465021E-22</v>
      </c>
      <c r="EY184" s="22">
        <f t="shared" si="181"/>
        <v>0.1161913525244446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-2.2737367544323206E-13</v>
      </c>
      <c r="FF184" s="17">
        <f>FE184*VLOOKUP('Données projet'!$B$16,Paramètres!$A$1:$I$89,3,0)*VLOOKUP('Données projet'!$B$16,Paramètres!$A$1:$I$89,5,0)</f>
        <v>-1.0936673788819462E-13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197.66963254934603</v>
      </c>
      <c r="FK184" s="59">
        <f t="shared" si="156"/>
        <v>158.08388141976138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0.13406651021182556</v>
      </c>
      <c r="FR184" s="21">
        <f>EXP(-LN(2)/25)*FR183+(1-EXP(-LN(2)/25))/(LN(2)/25)*Calculateur!FM184*Calculateur!FO184*VLOOKUP('Données projet'!$B$16,Paramètres!$A$1:$I$89,3,0)*0.475*44/12</f>
        <v>8.0750492222601736E-2</v>
      </c>
      <c r="FS184" s="21">
        <f>EXP(-LN(2)/2)*FS183+(1-EXP(-LN(2)/2))/(LN(2)/2)*FM184*FP184*VLOOKUP('Données projet'!$B$16,Paramètres!$A$1:$I$89,3,0)*0.475*44/12</f>
        <v>1.5493856555828272E-22</v>
      </c>
      <c r="FT184" s="22">
        <f t="shared" si="184"/>
        <v>0.21481700243442731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5.6843418860808015E-14</v>
      </c>
      <c r="GA184" s="17">
        <f>FZ184*VLOOKUP('Données projet'!$B$17,Paramètres!$A$1:$I$89,3,0)*VLOOKUP('Données projet'!$B$17,Paramètres!$A$1:$I$89,5,0)</f>
        <v>3.3992364478763198E-14</v>
      </c>
      <c r="GB184" s="13">
        <f t="shared" si="185"/>
        <v>5.790027782444094E-13</v>
      </c>
      <c r="GC184" s="20">
        <f t="shared" si="186"/>
        <v>1.0676332069095257E-12</v>
      </c>
      <c r="GD184" s="59">
        <f t="shared" si="134"/>
        <v>293.33333333333439</v>
      </c>
      <c r="GE184" s="59">
        <f ca="1">AVERAGE(OFFSET($GD$3,0,0,'Données projet'!$E$17+1,1))-AVERAGE(OFFSET($H$3,0,0,'Données projet'!$E$17+1,1))</f>
        <v>165.39579887388538</v>
      </c>
      <c r="GF184" s="59">
        <f t="shared" si="158"/>
        <v>155.89639262545802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0.11078000573729781</v>
      </c>
      <c r="GN184" s="21">
        <f>EXP(-LN(2)/2)*GN183+(1-EXP(-LN(2)/2))/(LN(2)/2)*GH184*GK184*VLOOKUP('Données projet'!$B$17,Paramètres!$A$1:$I$89,3,0)*0.475*44/12</f>
        <v>2.5979208271952459E-22</v>
      </c>
      <c r="GO184" s="21">
        <f t="shared" si="187"/>
        <v>0.11078000573729781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2.8421709430404007E-14</v>
      </c>
      <c r="GV184" s="17">
        <f>GU184*VLOOKUP('Données projet'!$B$18,Paramètres!$A$1:$I$89,3,0)*VLOOKUP('Données projet'!$B$18,Paramètres!$A$1:$I$89,5,0)</f>
        <v>3.0593128030886874E-14</v>
      </c>
      <c r="GW184" s="13">
        <f t="shared" si="188"/>
        <v>5.2753263159251616E-13</v>
      </c>
      <c r="GX184" s="20">
        <f t="shared" si="189"/>
        <v>9.7206903134409357E-13</v>
      </c>
      <c r="GY184" s="59">
        <f t="shared" si="137"/>
        <v>293.33333333333428</v>
      </c>
      <c r="GZ184" s="59">
        <f ca="1">AVERAGE(OFFSET($GY$3,0,0,'Données projet'!$E$18+1,1))-AVERAGE(OFFSET($H$3,0,0,'Données projet'!$E$18+1,1))</f>
        <v>186.60545265015247</v>
      </c>
      <c r="HA184" s="59">
        <f t="shared" si="160"/>
        <v>69.239647548491234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0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0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1.9065282685915009E-13</v>
      </c>
      <c r="P185" s="13">
        <f t="shared" si="141"/>
        <v>2.6568987209435707E-12</v>
      </c>
      <c r="Q185" s="20">
        <f t="shared" si="162"/>
        <v>4.959485612423072E-12</v>
      </c>
      <c r="R185" s="59">
        <f t="shared" si="109"/>
        <v>293.33333333333826</v>
      </c>
      <c r="S185" s="59">
        <f ca="1">AVERAGE(OFFSET($R$3,0,0,'Données projet'!$E$9+1,1))-AVERAGE(OFFSET($H$3,0,0,'Données projet'!$E$9+1,1))</f>
        <v>235.10258076192054</v>
      </c>
      <c r="T185" s="59">
        <f t="shared" si="142"/>
        <v>233.47316052603765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0.16883087566190458</v>
      </c>
      <c r="AA185" s="21">
        <f>EXP(-LN(2)/25)*AA184+(1-EXP(-LN(2)/25))/(LN(2)/25)*Calculateur!V185*Calculateur!X185*VLOOKUP('Données projet'!$B$9,Paramètres!$A$1:$I$89,3,0)*0.475*44/12</f>
        <v>0.27250724357037615</v>
      </c>
      <c r="AB185" s="21">
        <f>EXP(-LN(2)/2)*AB184+(1-EXP(-LN(2)/2))/(LN(2)/2)*V185*Y185*VLOOKUP('Données projet'!$B$9,Paramètres!$A$1:$I$89,3,0)*0.475*44/12</f>
        <v>3.1925309336656993E-22</v>
      </c>
      <c r="AC185" s="22">
        <f t="shared" si="163"/>
        <v>0.44133811923228072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2.2737367544323206E-13</v>
      </c>
      <c r="AJ185" s="13">
        <f>AI185*VLOOKUP('Données projet'!$B$10,Paramètres!$A$1:$I$89,3,0)*VLOOKUP('Données projet'!$B$10,Paramètres!$A$1:$I$89,5,0)</f>
        <v>1.2414602679200471E-13</v>
      </c>
      <c r="AK185" s="13">
        <f t="shared" si="164"/>
        <v>1.8186582995804361E-12</v>
      </c>
      <c r="AL185" s="20">
        <f t="shared" si="165"/>
        <v>3.3837175350986671E-12</v>
      </c>
      <c r="AM185" s="59">
        <f t="shared" si="113"/>
        <v>293.33333333333672</v>
      </c>
      <c r="AN185" s="59">
        <f ca="1">AVERAGE(OFFSET($AM$3,0,0,'Données projet'!$E$10+1,1))-AVERAGE(OFFSET($H$3,0,0,'Données projet'!$E$10+1,1))</f>
        <v>168.72306536277267</v>
      </c>
      <c r="AO185" s="59">
        <f t="shared" si="144"/>
        <v>203.35476578922339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0.14991325111627873</v>
      </c>
      <c r="AV185" s="21">
        <f>EXP(-LN(2)/25)*AV184+(1-EXP(-LN(2)/25))/(LN(2)/25)*Calculateur!AQ185*Calculateur!AS185*VLOOKUP('Données projet'!$B$10,Paramètres!$A$1:$I$89,3,0)*0.475*44/12</f>
        <v>0.33976805303301516</v>
      </c>
      <c r="AW185" s="21">
        <f>EXP(-LN(2)/2)*AW184+(1-EXP(-LN(2)/2))/(LN(2)/2)*AQ185*AT185*VLOOKUP('Données projet'!$B$10,Paramètres!$A$1:$I$89,3,0)*0.475*44/12</f>
        <v>2.6501340343244277E-22</v>
      </c>
      <c r="AX185" s="21">
        <f t="shared" si="166"/>
        <v>0.48968130414929389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3.3992364478763198E-14</v>
      </c>
      <c r="BF185" s="13">
        <f t="shared" si="167"/>
        <v>5.790027782444094E-13</v>
      </c>
      <c r="BG185" s="20">
        <f t="shared" si="168"/>
        <v>1.0676332069095257E-12</v>
      </c>
      <c r="BH185" s="59">
        <f t="shared" si="116"/>
        <v>293.33333333333439</v>
      </c>
      <c r="BI185" s="59">
        <f ca="1">AVERAGE(OFFSET($BH$3,0,0,'Données projet'!$E$11+1,1))-AVERAGE(OFFSET($H$3,0,0,'Données projet'!$E$11+1,1))</f>
        <v>165.39579887388538</v>
      </c>
      <c r="BJ185" s="59">
        <f t="shared" si="146"/>
        <v>155.89639262545802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0.10775072065474409</v>
      </c>
      <c r="BR185" s="21">
        <f>EXP(-LN(2)/2)*BR184+(1-EXP(-LN(2)/2))/(LN(2)/2)*BL185*BO185*VLOOKUP('Données projet'!$B$11,Paramètres!$A$1:$I$89,3,0)*0.475*44/12</f>
        <v>1.8370074338955233E-22</v>
      </c>
      <c r="BS185" s="22">
        <f t="shared" si="169"/>
        <v>0.10775072065474409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2.8421709430404007E-14</v>
      </c>
      <c r="BZ185" s="13">
        <f>BY185*VLOOKUP('Données projet'!$B$12,Paramètres!$A$1:$I$89,3,0)*VLOOKUP('Données projet'!$B$12,Paramètres!$A$1:$I$89,5,0)</f>
        <v>2.7489477361086758E-14</v>
      </c>
      <c r="CA185" s="13">
        <f t="shared" si="170"/>
        <v>4.7995394886724981E-13</v>
      </c>
      <c r="CB185" s="20">
        <f t="shared" si="171"/>
        <v>8.8379730068101964E-13</v>
      </c>
      <c r="CC185" s="59">
        <f t="shared" si="119"/>
        <v>293.33333333333422</v>
      </c>
      <c r="CD185" s="59">
        <f ca="1">AVERAGE(OFFSET($CC$3,0,0,'Données projet'!$E$12+1,1))-AVERAGE(OFFSET($H$3,0,0,'Données projet'!$E$12+1,1))</f>
        <v>156.26368818265388</v>
      </c>
      <c r="CE185" s="59">
        <f t="shared" si="148"/>
        <v>56.347130462109817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2.8421709430404007E-14</v>
      </c>
      <c r="CU185" s="17">
        <f>CT185*VLOOKUP('Données projet'!$B$13,Paramètres!$A$1:$I$89,3,0)*VLOOKUP('Données projet'!$B$13,Paramètres!$A$1:$I$89,5,0)</f>
        <v>2.3055690689943732E-14</v>
      </c>
      <c r="CV185" s="13">
        <f t="shared" si="173"/>
        <v>4.10868481342271E-13</v>
      </c>
      <c r="CW185" s="20">
        <f t="shared" si="174"/>
        <v>7.5575126628944061E-13</v>
      </c>
      <c r="CX185" s="59">
        <f t="shared" si="122"/>
        <v>293.33333333333405</v>
      </c>
      <c r="CY185" s="59">
        <f ca="1">AVERAGE(OFFSET($CX$3,0,0,'Données projet'!$E$13+1,1))-AVERAGE(OFFSET($H$3,0,0,'Données projet'!$E$13+1,1))</f>
        <v>112.78807760743126</v>
      </c>
      <c r="CZ185" s="59">
        <f t="shared" si="150"/>
        <v>37.867745922003564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-8.5265128291212022E-14</v>
      </c>
      <c r="DP185" s="17">
        <f>DO185*VLOOKUP('Données projet'!$B$14,Paramètres!$A$1:$I$89,3,0)*VLOOKUP('Données projet'!$B$14,Paramètres!$A$1:$I$89,5,0)</f>
        <v>-5.7195848057745024E-14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107.15837202366862</v>
      </c>
      <c r="DU185" s="59">
        <f t="shared" si="152"/>
        <v>139.67031833740026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8.378601807226374E-2</v>
      </c>
      <c r="EC185" s="21">
        <f>EXP(-LN(2)/2)*EC184+(1-EXP(-LN(2)/2))/(LN(2)/2)*DW185*DZ185*VLOOKUP('Données projet'!$B$14,Paramètres!$A$1:$I$89,3,0)*0.475*44/12</f>
        <v>8.9328565194606424E-23</v>
      </c>
      <c r="ED185" s="22">
        <f t="shared" si="178"/>
        <v>8.378601807226374E-2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-1.1368683772161603E-13</v>
      </c>
      <c r="EK185" s="17">
        <f>EJ185*VLOOKUP('Données projet'!$B$15,Paramètres!$A$1:$I$89,3,0)*VLOOKUP('Données projet'!$B$15,Paramètres!$A$1:$I$89,5,0)</f>
        <v>-5.3205440053716299E-14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123.60520571614535</v>
      </c>
      <c r="EP185" s="59">
        <f t="shared" si="154"/>
        <v>119.00926870519527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4.2740573838661554E-2</v>
      </c>
      <c r="EW185" s="21">
        <f>EXP(-LN(2)/25)*EW184+(1-EXP(-LN(2)/25))/(LN(2)/25)*Calculateur!ER185*Calculateur!ET185*VLOOKUP('Données projet'!$B$15,Paramètres!$A$1:$I$89,3,0)*0.475*44/12</f>
        <v>7.0610759761437991E-2</v>
      </c>
      <c r="EX185" s="21">
        <f>EXP(-LN(2)/2)*EX184+(1-EXP(-LN(2)/2))/(LN(2)/2)*ER185*EU185*VLOOKUP('Données projet'!$B$15,Paramètres!$A$1:$I$89,3,0)*0.475*44/12</f>
        <v>8.0914284623768506E-23</v>
      </c>
      <c r="EY185" s="22">
        <f t="shared" si="181"/>
        <v>0.11335133360009955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-2.2737367544323206E-13</v>
      </c>
      <c r="FF185" s="17">
        <f>FE185*VLOOKUP('Données projet'!$B$16,Paramètres!$A$1:$I$89,3,0)*VLOOKUP('Données projet'!$B$16,Paramètres!$A$1:$I$89,5,0)</f>
        <v>-1.0936673788819462E-13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197.66963254934603</v>
      </c>
      <c r="FK185" s="59">
        <f t="shared" si="156"/>
        <v>158.08388141976138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0.13143754771906851</v>
      </c>
      <c r="FR185" s="21">
        <f>EXP(-LN(2)/25)*FR184+(1-EXP(-LN(2)/25))/(LN(2)/25)*Calculateur!FM185*Calculateur!FO185*VLOOKUP('Données projet'!$B$16,Paramètres!$A$1:$I$89,3,0)*0.475*44/12</f>
        <v>7.8542365766290867E-2</v>
      </c>
      <c r="FS185" s="21">
        <f>EXP(-LN(2)/2)*FS184+(1-EXP(-LN(2)/2))/(LN(2)/2)*FM185*FP185*VLOOKUP('Données projet'!$B$16,Paramètres!$A$1:$I$89,3,0)*0.475*44/12</f>
        <v>1.0955811037357817E-22</v>
      </c>
      <c r="FT185" s="22">
        <f t="shared" si="184"/>
        <v>0.20997991348535938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5.6843418860808015E-14</v>
      </c>
      <c r="GA185" s="17">
        <f>FZ185*VLOOKUP('Données projet'!$B$17,Paramètres!$A$1:$I$89,3,0)*VLOOKUP('Données projet'!$B$17,Paramètres!$A$1:$I$89,5,0)</f>
        <v>3.3992364478763198E-14</v>
      </c>
      <c r="GB185" s="13">
        <f t="shared" si="185"/>
        <v>5.790027782444094E-13</v>
      </c>
      <c r="GC185" s="20">
        <f t="shared" si="186"/>
        <v>1.0676332069095257E-12</v>
      </c>
      <c r="GD185" s="59">
        <f t="shared" si="134"/>
        <v>293.33333333333439</v>
      </c>
      <c r="GE185" s="59">
        <f ca="1">AVERAGE(OFFSET($GD$3,0,0,'Données projet'!$E$17+1,1))-AVERAGE(OFFSET($H$3,0,0,'Données projet'!$E$17+1,1))</f>
        <v>165.39579887388538</v>
      </c>
      <c r="GF185" s="59">
        <f t="shared" si="158"/>
        <v>155.89639262545802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0.10775072065474409</v>
      </c>
      <c r="GN185" s="21">
        <f>EXP(-LN(2)/2)*GN184+(1-EXP(-LN(2)/2))/(LN(2)/2)*GH185*GK185*VLOOKUP('Données projet'!$B$17,Paramètres!$A$1:$I$89,3,0)*0.475*44/12</f>
        <v>1.8370074338955233E-22</v>
      </c>
      <c r="GO185" s="21">
        <f t="shared" si="187"/>
        <v>0.10775072065474409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2.8421709430404007E-14</v>
      </c>
      <c r="GV185" s="17">
        <f>GU185*VLOOKUP('Données projet'!$B$18,Paramètres!$A$1:$I$89,3,0)*VLOOKUP('Données projet'!$B$18,Paramètres!$A$1:$I$89,5,0)</f>
        <v>3.0593128030886874E-14</v>
      </c>
      <c r="GW185" s="13">
        <f t="shared" si="188"/>
        <v>5.2753263159251616E-13</v>
      </c>
      <c r="GX185" s="20">
        <f t="shared" si="189"/>
        <v>9.7206903134409357E-13</v>
      </c>
      <c r="GY185" s="59">
        <f t="shared" si="137"/>
        <v>293.33333333333428</v>
      </c>
      <c r="GZ185" s="59">
        <f ca="1">AVERAGE(OFFSET($GY$3,0,0,'Données projet'!$E$18+1,1))-AVERAGE(OFFSET($H$3,0,0,'Données projet'!$E$18+1,1))</f>
        <v>186.60545265015247</v>
      </c>
      <c r="HA185" s="59">
        <f t="shared" si="160"/>
        <v>69.239647548491234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0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0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1.9065282685915009E-13</v>
      </c>
      <c r="P186" s="13">
        <f t="shared" si="141"/>
        <v>2.6568987209435707E-12</v>
      </c>
      <c r="Q186" s="20">
        <f t="shared" si="162"/>
        <v>4.959485612423072E-12</v>
      </c>
      <c r="R186" s="59">
        <f t="shared" si="109"/>
        <v>293.33333333333826</v>
      </c>
      <c r="S186" s="59">
        <f ca="1">AVERAGE(OFFSET($R$3,0,0,'Données projet'!$E$9+1,1))-AVERAGE(OFFSET($H$3,0,0,'Données projet'!$E$9+1,1))</f>
        <v>235.10258076192054</v>
      </c>
      <c r="T186" s="59">
        <f t="shared" si="142"/>
        <v>233.47316052603765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0.16552020516684068</v>
      </c>
      <c r="AA186" s="21">
        <f>EXP(-LN(2)/25)*AA185+(1-EXP(-LN(2)/25))/(LN(2)/25)*Calculateur!V186*Calculateur!X186*VLOOKUP('Données projet'!$B$9,Paramètres!$A$1:$I$89,3,0)*0.475*44/12</f>
        <v>0.26505551866441107</v>
      </c>
      <c r="AB186" s="21">
        <f>EXP(-LN(2)/2)*AB185+(1-EXP(-LN(2)/2))/(LN(2)/2)*V186*Y186*VLOOKUP('Données projet'!$B$9,Paramètres!$A$1:$I$89,3,0)*0.475*44/12</f>
        <v>2.2574602723428359E-22</v>
      </c>
      <c r="AC186" s="22">
        <f t="shared" si="163"/>
        <v>0.43057572383125176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2.2737367544323206E-13</v>
      </c>
      <c r="AJ186" s="13">
        <f>AI186*VLOOKUP('Données projet'!$B$10,Paramètres!$A$1:$I$89,3,0)*VLOOKUP('Données projet'!$B$10,Paramètres!$A$1:$I$89,5,0)</f>
        <v>1.2414602679200471E-13</v>
      </c>
      <c r="AK186" s="13">
        <f t="shared" si="164"/>
        <v>1.8186582995804361E-12</v>
      </c>
      <c r="AL186" s="20">
        <f t="shared" si="165"/>
        <v>3.3837175350986671E-12</v>
      </c>
      <c r="AM186" s="59">
        <f t="shared" si="113"/>
        <v>293.33333333333672</v>
      </c>
      <c r="AN186" s="59">
        <f ca="1">AVERAGE(OFFSET($AM$3,0,0,'Données projet'!$E$10+1,1))-AVERAGE(OFFSET($H$3,0,0,'Données projet'!$E$10+1,1))</f>
        <v>168.72306536277267</v>
      </c>
      <c r="AO186" s="59">
        <f t="shared" si="144"/>
        <v>203.35476578922339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0.14697354369994292</v>
      </c>
      <c r="AV186" s="21">
        <f>EXP(-LN(2)/25)*AV185+(1-EXP(-LN(2)/25))/(LN(2)/25)*Calculateur!AQ186*Calculateur!AS186*VLOOKUP('Données projet'!$B$10,Paramètres!$A$1:$I$89,3,0)*0.475*44/12</f>
        <v>0.33047707775520202</v>
      </c>
      <c r="AW186" s="21">
        <f>EXP(-LN(2)/2)*AW185+(1-EXP(-LN(2)/2))/(LN(2)/2)*AQ186*AT186*VLOOKUP('Données projet'!$B$10,Paramètres!$A$1:$I$89,3,0)*0.475*44/12</f>
        <v>1.8739277467240656E-22</v>
      </c>
      <c r="AX186" s="21">
        <f t="shared" si="166"/>
        <v>0.47745062145514494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3.3992364478763198E-14</v>
      </c>
      <c r="BF186" s="13">
        <f t="shared" si="167"/>
        <v>5.790027782444094E-13</v>
      </c>
      <c r="BG186" s="20">
        <f t="shared" si="168"/>
        <v>1.0676332069095257E-12</v>
      </c>
      <c r="BH186" s="59">
        <f t="shared" si="116"/>
        <v>293.33333333333439</v>
      </c>
      <c r="BI186" s="59">
        <f ca="1">AVERAGE(OFFSET($BH$3,0,0,'Données projet'!$E$11+1,1))-AVERAGE(OFFSET($H$3,0,0,'Données projet'!$E$11+1,1))</f>
        <v>165.39579887388538</v>
      </c>
      <c r="BJ186" s="59">
        <f t="shared" si="146"/>
        <v>155.89639262545802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0.10480427153207597</v>
      </c>
      <c r="BR186" s="21">
        <f>EXP(-LN(2)/2)*BR185+(1-EXP(-LN(2)/2))/(LN(2)/2)*BL186*BO186*VLOOKUP('Données projet'!$B$11,Paramètres!$A$1:$I$89,3,0)*0.475*44/12</f>
        <v>1.298960413597623E-22</v>
      </c>
      <c r="BS186" s="22">
        <f t="shared" si="169"/>
        <v>0.10480427153207597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2.8421709430404007E-14</v>
      </c>
      <c r="BZ186" s="13">
        <f>BY186*VLOOKUP('Données projet'!$B$12,Paramètres!$A$1:$I$89,3,0)*VLOOKUP('Données projet'!$B$12,Paramètres!$A$1:$I$89,5,0)</f>
        <v>2.7489477361086758E-14</v>
      </c>
      <c r="CA186" s="13">
        <f t="shared" si="170"/>
        <v>4.7995394886724981E-13</v>
      </c>
      <c r="CB186" s="20">
        <f t="shared" si="171"/>
        <v>8.8379730068101964E-13</v>
      </c>
      <c r="CC186" s="59">
        <f t="shared" si="119"/>
        <v>293.33333333333422</v>
      </c>
      <c r="CD186" s="59">
        <f ca="1">AVERAGE(OFFSET($CC$3,0,0,'Données projet'!$E$12+1,1))-AVERAGE(OFFSET($H$3,0,0,'Données projet'!$E$12+1,1))</f>
        <v>156.26368818265388</v>
      </c>
      <c r="CE186" s="59">
        <f t="shared" si="148"/>
        <v>56.347130462109817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2.8421709430404007E-14</v>
      </c>
      <c r="CU186" s="17">
        <f>CT186*VLOOKUP('Données projet'!$B$13,Paramètres!$A$1:$I$89,3,0)*VLOOKUP('Données projet'!$B$13,Paramètres!$A$1:$I$89,5,0)</f>
        <v>2.3055690689943732E-14</v>
      </c>
      <c r="CV186" s="13">
        <f t="shared" si="173"/>
        <v>4.10868481342271E-13</v>
      </c>
      <c r="CW186" s="20">
        <f t="shared" si="174"/>
        <v>7.5575126628944061E-13</v>
      </c>
      <c r="CX186" s="59">
        <f t="shared" si="122"/>
        <v>293.33333333333405</v>
      </c>
      <c r="CY186" s="59">
        <f ca="1">AVERAGE(OFFSET($CX$3,0,0,'Données projet'!$E$13+1,1))-AVERAGE(OFFSET($H$3,0,0,'Données projet'!$E$13+1,1))</f>
        <v>112.78807760743126</v>
      </c>
      <c r="CZ186" s="59">
        <f t="shared" si="150"/>
        <v>37.867745922003564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-8.5265128291212022E-14</v>
      </c>
      <c r="DP186" s="17">
        <f>DO186*VLOOKUP('Données projet'!$B$14,Paramètres!$A$1:$I$89,3,0)*VLOOKUP('Données projet'!$B$14,Paramètres!$A$1:$I$89,5,0)</f>
        <v>-5.7195848057745024E-14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107.15837202366862</v>
      </c>
      <c r="DU186" s="59">
        <f t="shared" si="152"/>
        <v>139.67031833740026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8.1494885001962489E-2</v>
      </c>
      <c r="EC186" s="21">
        <f>EXP(-LN(2)/2)*EC185+(1-EXP(-LN(2)/2))/(LN(2)/2)*DW186*DZ186*VLOOKUP('Données projet'!$B$14,Paramètres!$A$1:$I$89,3,0)*0.475*44/12</f>
        <v>6.3164834202770809E-23</v>
      </c>
      <c r="ED186" s="22">
        <f t="shared" si="178"/>
        <v>8.1494885001962489E-2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-1.1368683772161603E-13</v>
      </c>
      <c r="EK186" s="17">
        <f>EJ186*VLOOKUP('Données projet'!$B$15,Paramètres!$A$1:$I$89,3,0)*VLOOKUP('Données projet'!$B$15,Paramètres!$A$1:$I$89,5,0)</f>
        <v>-5.3205440053716299E-14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123.60520571614535</v>
      </c>
      <c r="EP186" s="59">
        <f t="shared" si="154"/>
        <v>119.00926870519527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4.1902457254861324E-2</v>
      </c>
      <c r="EW186" s="21">
        <f>EXP(-LN(2)/25)*EW185+(1-EXP(-LN(2)/25))/(LN(2)/25)*Calculateur!ER186*Calculateur!ET186*VLOOKUP('Données projet'!$B$15,Paramètres!$A$1:$I$89,3,0)*0.475*44/12</f>
        <v>6.8679904822502996E-2</v>
      </c>
      <c r="EX186" s="21">
        <f>EXP(-LN(2)/2)*EX185+(1-EXP(-LN(2)/2))/(LN(2)/2)*ER186*EU186*VLOOKUP('Données projet'!$B$15,Paramètres!$A$1:$I$89,3,0)*0.475*44/12</f>
        <v>5.7215039352325103E-23</v>
      </c>
      <c r="EY186" s="22">
        <f t="shared" si="181"/>
        <v>0.11058236207736433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-2.2737367544323206E-13</v>
      </c>
      <c r="FF186" s="17">
        <f>FE186*VLOOKUP('Données projet'!$B$16,Paramètres!$A$1:$I$89,3,0)*VLOOKUP('Données projet'!$B$16,Paramètres!$A$1:$I$89,5,0)</f>
        <v>-1.0936673788819462E-13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197.66963254934603</v>
      </c>
      <c r="FK186" s="59">
        <f t="shared" si="156"/>
        <v>158.08388141976138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0.12886013757728565</v>
      </c>
      <c r="FR186" s="21">
        <f>EXP(-LN(2)/25)*FR185+(1-EXP(-LN(2)/25))/(LN(2)/25)*Calculateur!FM186*Calculateur!FO186*VLOOKUP('Données projet'!$B$16,Paramètres!$A$1:$I$89,3,0)*0.475*44/12</f>
        <v>7.6394620644048145E-2</v>
      </c>
      <c r="FS186" s="21">
        <f>EXP(-LN(2)/2)*FS185+(1-EXP(-LN(2)/2))/(LN(2)/2)*FM186*FP186*VLOOKUP('Données projet'!$B$16,Paramètres!$A$1:$I$89,3,0)*0.475*44/12</f>
        <v>7.7469282779141361E-23</v>
      </c>
      <c r="FT186" s="22">
        <f t="shared" si="184"/>
        <v>0.20525475822133379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5.6843418860808015E-14</v>
      </c>
      <c r="GA186" s="17">
        <f>FZ186*VLOOKUP('Données projet'!$B$17,Paramètres!$A$1:$I$89,3,0)*VLOOKUP('Données projet'!$B$17,Paramètres!$A$1:$I$89,5,0)</f>
        <v>3.3992364478763198E-14</v>
      </c>
      <c r="GB186" s="13">
        <f t="shared" si="185"/>
        <v>5.790027782444094E-13</v>
      </c>
      <c r="GC186" s="20">
        <f t="shared" si="186"/>
        <v>1.0676332069095257E-12</v>
      </c>
      <c r="GD186" s="59">
        <f t="shared" si="134"/>
        <v>293.33333333333439</v>
      </c>
      <c r="GE186" s="59">
        <f ca="1">AVERAGE(OFFSET($GD$3,0,0,'Données projet'!$E$17+1,1))-AVERAGE(OFFSET($H$3,0,0,'Données projet'!$E$17+1,1))</f>
        <v>165.39579887388538</v>
      </c>
      <c r="GF186" s="59">
        <f t="shared" si="158"/>
        <v>155.89639262545802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0.10480427153207597</v>
      </c>
      <c r="GN186" s="21">
        <f>EXP(-LN(2)/2)*GN185+(1-EXP(-LN(2)/2))/(LN(2)/2)*GH186*GK186*VLOOKUP('Données projet'!$B$17,Paramètres!$A$1:$I$89,3,0)*0.475*44/12</f>
        <v>1.298960413597623E-22</v>
      </c>
      <c r="GO186" s="21">
        <f t="shared" si="187"/>
        <v>0.10480427153207597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2.8421709430404007E-14</v>
      </c>
      <c r="GV186" s="17">
        <f>GU186*VLOOKUP('Données projet'!$B$18,Paramètres!$A$1:$I$89,3,0)*VLOOKUP('Données projet'!$B$18,Paramètres!$A$1:$I$89,5,0)</f>
        <v>3.0593128030886874E-14</v>
      </c>
      <c r="GW186" s="13">
        <f t="shared" si="188"/>
        <v>5.2753263159251616E-13</v>
      </c>
      <c r="GX186" s="20">
        <f t="shared" si="189"/>
        <v>9.7206903134409357E-13</v>
      </c>
      <c r="GY186" s="59">
        <f t="shared" si="137"/>
        <v>293.33333333333428</v>
      </c>
      <c r="GZ186" s="59">
        <f ca="1">AVERAGE(OFFSET($GY$3,0,0,'Données projet'!$E$18+1,1))-AVERAGE(OFFSET($H$3,0,0,'Données projet'!$E$18+1,1))</f>
        <v>186.60545265015247</v>
      </c>
      <c r="HA186" s="59">
        <f t="shared" si="160"/>
        <v>69.239647548491234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0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0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1.9065282685915009E-13</v>
      </c>
      <c r="P187" s="13">
        <f t="shared" si="141"/>
        <v>2.6568987209435707E-12</v>
      </c>
      <c r="Q187" s="20">
        <f t="shared" si="162"/>
        <v>4.959485612423072E-12</v>
      </c>
      <c r="R187" s="59">
        <f t="shared" si="109"/>
        <v>293.33333333333826</v>
      </c>
      <c r="S187" s="59">
        <f ca="1">AVERAGE(OFFSET($R$3,0,0,'Données projet'!$E$9+1,1))-AVERAGE(OFFSET($H$3,0,0,'Données projet'!$E$9+1,1))</f>
        <v>235.10258076192054</v>
      </c>
      <c r="T187" s="59">
        <f t="shared" si="142"/>
        <v>233.47316052603765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0.16227445490087539</v>
      </c>
      <c r="AA187" s="21">
        <f>EXP(-LN(2)/25)*AA186+(1-EXP(-LN(2)/25))/(LN(2)/25)*Calculateur!V187*Calculateur!X187*VLOOKUP('Données projet'!$B$9,Paramètres!$A$1:$I$89,3,0)*0.475*44/12</f>
        <v>0.25780756156786883</v>
      </c>
      <c r="AB187" s="21">
        <f>EXP(-LN(2)/2)*AB186+(1-EXP(-LN(2)/2))/(LN(2)/2)*V187*Y187*VLOOKUP('Données projet'!$B$9,Paramètres!$A$1:$I$89,3,0)*0.475*44/12</f>
        <v>1.5962654668328497E-22</v>
      </c>
      <c r="AC187" s="22">
        <f t="shared" si="163"/>
        <v>0.42008201646874421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2.2737367544323206E-13</v>
      </c>
      <c r="AJ187" s="13">
        <f>AI187*VLOOKUP('Données projet'!$B$10,Paramètres!$A$1:$I$89,3,0)*VLOOKUP('Données projet'!$B$10,Paramètres!$A$1:$I$89,5,0)</f>
        <v>1.2414602679200471E-13</v>
      </c>
      <c r="AK187" s="13">
        <f t="shared" si="164"/>
        <v>1.8186582995804361E-12</v>
      </c>
      <c r="AL187" s="20">
        <f t="shared" si="165"/>
        <v>3.3837175350986671E-12</v>
      </c>
      <c r="AM187" s="59">
        <f t="shared" si="113"/>
        <v>293.33333333333672</v>
      </c>
      <c r="AN187" s="59">
        <f ca="1">AVERAGE(OFFSET($AM$3,0,0,'Données projet'!$E$10+1,1))-AVERAGE(OFFSET($H$3,0,0,'Données projet'!$E$10+1,1))</f>
        <v>168.72306536277267</v>
      </c>
      <c r="AO187" s="59">
        <f t="shared" si="144"/>
        <v>203.35476578922339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0.144091482152997</v>
      </c>
      <c r="AV187" s="21">
        <f>EXP(-LN(2)/25)*AV186+(1-EXP(-LN(2)/25))/(LN(2)/25)*Calculateur!AQ187*Calculateur!AS187*VLOOKUP('Données projet'!$B$10,Paramètres!$A$1:$I$89,3,0)*0.475*44/12</f>
        <v>0.32144016468495179</v>
      </c>
      <c r="AW187" s="21">
        <f>EXP(-LN(2)/2)*AW186+(1-EXP(-LN(2)/2))/(LN(2)/2)*AQ187*AT187*VLOOKUP('Données projet'!$B$10,Paramètres!$A$1:$I$89,3,0)*0.475*44/12</f>
        <v>1.3250670171622139E-22</v>
      </c>
      <c r="AX187" s="21">
        <f t="shared" si="166"/>
        <v>0.46553164683794879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3.3992364478763198E-14</v>
      </c>
      <c r="BF187" s="13">
        <f t="shared" si="167"/>
        <v>5.790027782444094E-13</v>
      </c>
      <c r="BG187" s="20">
        <f t="shared" si="168"/>
        <v>1.0676332069095257E-12</v>
      </c>
      <c r="BH187" s="59">
        <f t="shared" si="116"/>
        <v>293.33333333333439</v>
      </c>
      <c r="BI187" s="59">
        <f ca="1">AVERAGE(OFFSET($BH$3,0,0,'Données projet'!$E$11+1,1))-AVERAGE(OFFSET($H$3,0,0,'Données projet'!$E$11+1,1))</f>
        <v>165.39579887388538</v>
      </c>
      <c r="BJ187" s="59">
        <f t="shared" si="146"/>
        <v>155.89639262545802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0.10193839321561425</v>
      </c>
      <c r="BR187" s="21">
        <f>EXP(-LN(2)/2)*BR186+(1-EXP(-LN(2)/2))/(LN(2)/2)*BL187*BO187*VLOOKUP('Données projet'!$B$11,Paramètres!$A$1:$I$89,3,0)*0.475*44/12</f>
        <v>9.1850371694776167E-23</v>
      </c>
      <c r="BS187" s="22">
        <f t="shared" si="169"/>
        <v>0.10193839321561425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2.8421709430404007E-14</v>
      </c>
      <c r="BZ187" s="13">
        <f>BY187*VLOOKUP('Données projet'!$B$12,Paramètres!$A$1:$I$89,3,0)*VLOOKUP('Données projet'!$B$12,Paramètres!$A$1:$I$89,5,0)</f>
        <v>2.7489477361086758E-14</v>
      </c>
      <c r="CA187" s="13">
        <f t="shared" si="170"/>
        <v>4.7995394886724981E-13</v>
      </c>
      <c r="CB187" s="20">
        <f t="shared" si="171"/>
        <v>8.8379730068101964E-13</v>
      </c>
      <c r="CC187" s="59">
        <f t="shared" si="119"/>
        <v>293.33333333333422</v>
      </c>
      <c r="CD187" s="59">
        <f ca="1">AVERAGE(OFFSET($CC$3,0,0,'Données projet'!$E$12+1,1))-AVERAGE(OFFSET($H$3,0,0,'Données projet'!$E$12+1,1))</f>
        <v>156.26368818265388</v>
      </c>
      <c r="CE187" s="59">
        <f t="shared" si="148"/>
        <v>56.347130462109817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2.8421709430404007E-14</v>
      </c>
      <c r="CU187" s="17">
        <f>CT187*VLOOKUP('Données projet'!$B$13,Paramètres!$A$1:$I$89,3,0)*VLOOKUP('Données projet'!$B$13,Paramètres!$A$1:$I$89,5,0)</f>
        <v>2.3055690689943732E-14</v>
      </c>
      <c r="CV187" s="13">
        <f t="shared" si="173"/>
        <v>4.10868481342271E-13</v>
      </c>
      <c r="CW187" s="20">
        <f t="shared" si="174"/>
        <v>7.5575126628944061E-13</v>
      </c>
      <c r="CX187" s="59">
        <f t="shared" si="122"/>
        <v>293.33333333333405</v>
      </c>
      <c r="CY187" s="59">
        <f ca="1">AVERAGE(OFFSET($CX$3,0,0,'Données projet'!$E$13+1,1))-AVERAGE(OFFSET($H$3,0,0,'Données projet'!$E$13+1,1))</f>
        <v>112.78807760743126</v>
      </c>
      <c r="CZ187" s="59">
        <f t="shared" si="150"/>
        <v>37.867745922003564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-8.5265128291212022E-14</v>
      </c>
      <c r="DP187" s="17">
        <f>DO187*VLOOKUP('Données projet'!$B$14,Paramètres!$A$1:$I$89,3,0)*VLOOKUP('Données projet'!$B$14,Paramètres!$A$1:$I$89,5,0)</f>
        <v>-5.7195848057745024E-14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107.15837202366862</v>
      </c>
      <c r="DU187" s="59">
        <f t="shared" si="152"/>
        <v>139.67031833740026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7.9266403085954076E-2</v>
      </c>
      <c r="EC187" s="21">
        <f>EXP(-LN(2)/2)*EC186+(1-EXP(-LN(2)/2))/(LN(2)/2)*DW187*DZ187*VLOOKUP('Données projet'!$B$14,Paramètres!$A$1:$I$89,3,0)*0.475*44/12</f>
        <v>4.4664282597303212E-23</v>
      </c>
      <c r="ED187" s="22">
        <f t="shared" si="178"/>
        <v>7.9266403085954076E-2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-1.1368683772161603E-13</v>
      </c>
      <c r="EK187" s="17">
        <f>EJ187*VLOOKUP('Données projet'!$B$15,Paramètres!$A$1:$I$89,3,0)*VLOOKUP('Données projet'!$B$15,Paramètres!$A$1:$I$89,5,0)</f>
        <v>-5.3205440053716299E-14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123.60520571614535</v>
      </c>
      <c r="EP187" s="59">
        <f t="shared" si="154"/>
        <v>119.00926870519527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4.108077562606878E-2</v>
      </c>
      <c r="EW187" s="21">
        <f>EXP(-LN(2)/25)*EW186+(1-EXP(-LN(2)/25))/(LN(2)/25)*Calculateur!ER187*Calculateur!ET187*VLOOKUP('Données projet'!$B$15,Paramètres!$A$1:$I$89,3,0)*0.475*44/12</f>
        <v>6.6801849213412423E-2</v>
      </c>
      <c r="EX187" s="21">
        <f>EXP(-LN(2)/2)*EX186+(1-EXP(-LN(2)/2))/(LN(2)/2)*ER187*EU187*VLOOKUP('Données projet'!$B$15,Paramètres!$A$1:$I$89,3,0)*0.475*44/12</f>
        <v>4.0457142311884253E-23</v>
      </c>
      <c r="EY187" s="22">
        <f t="shared" si="181"/>
        <v>0.1078826248394812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-2.2737367544323206E-13</v>
      </c>
      <c r="FF187" s="17">
        <f>FE187*VLOOKUP('Données projet'!$B$16,Paramètres!$A$1:$I$89,3,0)*VLOOKUP('Données projet'!$B$16,Paramètres!$A$1:$I$89,5,0)</f>
        <v>-1.0936673788819462E-13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197.66963254934603</v>
      </c>
      <c r="FK187" s="59">
        <f t="shared" si="156"/>
        <v>158.08388141976138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0.12633326887631821</v>
      </c>
      <c r="FR187" s="21">
        <f>EXP(-LN(2)/25)*FR186+(1-EXP(-LN(2)/25))/(LN(2)/25)*Calculateur!FM187*Calculateur!FO187*VLOOKUP('Données projet'!$B$16,Paramètres!$A$1:$I$89,3,0)*0.475*44/12</f>
        <v>7.4305605725118157E-2</v>
      </c>
      <c r="FS187" s="21">
        <f>EXP(-LN(2)/2)*FS186+(1-EXP(-LN(2)/2))/(LN(2)/2)*FM187*FP187*VLOOKUP('Données projet'!$B$16,Paramètres!$A$1:$I$89,3,0)*0.475*44/12</f>
        <v>5.4779055186789083E-23</v>
      </c>
      <c r="FT187" s="22">
        <f t="shared" si="184"/>
        <v>0.20063887460143637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5.6843418860808015E-14</v>
      </c>
      <c r="GA187" s="17">
        <f>FZ187*VLOOKUP('Données projet'!$B$17,Paramètres!$A$1:$I$89,3,0)*VLOOKUP('Données projet'!$B$17,Paramètres!$A$1:$I$89,5,0)</f>
        <v>3.3992364478763198E-14</v>
      </c>
      <c r="GB187" s="13">
        <f t="shared" si="185"/>
        <v>5.790027782444094E-13</v>
      </c>
      <c r="GC187" s="20">
        <f t="shared" si="186"/>
        <v>1.0676332069095257E-12</v>
      </c>
      <c r="GD187" s="59">
        <f t="shared" si="134"/>
        <v>293.33333333333439</v>
      </c>
      <c r="GE187" s="59">
        <f ca="1">AVERAGE(OFFSET($GD$3,0,0,'Données projet'!$E$17+1,1))-AVERAGE(OFFSET($H$3,0,0,'Données projet'!$E$17+1,1))</f>
        <v>165.39579887388538</v>
      </c>
      <c r="GF187" s="59">
        <f t="shared" si="158"/>
        <v>155.89639262545802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0.10193839321561425</v>
      </c>
      <c r="GN187" s="21">
        <f>EXP(-LN(2)/2)*GN186+(1-EXP(-LN(2)/2))/(LN(2)/2)*GH187*GK187*VLOOKUP('Données projet'!$B$17,Paramètres!$A$1:$I$89,3,0)*0.475*44/12</f>
        <v>9.1850371694776167E-23</v>
      </c>
      <c r="GO187" s="21">
        <f t="shared" si="187"/>
        <v>0.10193839321561425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2.8421709430404007E-14</v>
      </c>
      <c r="GV187" s="17">
        <f>GU187*VLOOKUP('Données projet'!$B$18,Paramètres!$A$1:$I$89,3,0)*VLOOKUP('Données projet'!$B$18,Paramètres!$A$1:$I$89,5,0)</f>
        <v>3.0593128030886874E-14</v>
      </c>
      <c r="GW187" s="13">
        <f t="shared" si="188"/>
        <v>5.2753263159251616E-13</v>
      </c>
      <c r="GX187" s="20">
        <f t="shared" si="189"/>
        <v>9.7206903134409357E-13</v>
      </c>
      <c r="GY187" s="59">
        <f t="shared" si="137"/>
        <v>293.33333333333428</v>
      </c>
      <c r="GZ187" s="59">
        <f ca="1">AVERAGE(OFFSET($GY$3,0,0,'Données projet'!$E$18+1,1))-AVERAGE(OFFSET($H$3,0,0,'Données projet'!$E$18+1,1))</f>
        <v>186.60545265015247</v>
      </c>
      <c r="HA187" s="59">
        <f t="shared" si="160"/>
        <v>69.239647548491234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0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0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1.9065282685915009E-13</v>
      </c>
      <c r="P188" s="13">
        <f t="shared" si="141"/>
        <v>2.6568987209435707E-12</v>
      </c>
      <c r="Q188" s="20">
        <f t="shared" si="162"/>
        <v>4.959485612423072E-12</v>
      </c>
      <c r="R188" s="59">
        <f t="shared" si="109"/>
        <v>293.33333333333826</v>
      </c>
      <c r="S188" s="59">
        <f ca="1">AVERAGE(OFFSET($R$3,0,0,'Données projet'!$E$9+1,1))-AVERAGE(OFFSET($H$3,0,0,'Données projet'!$E$9+1,1))</f>
        <v>235.10258076192054</v>
      </c>
      <c r="T188" s="59">
        <f t="shared" si="142"/>
        <v>233.47316052603765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0.15909235181791348</v>
      </c>
      <c r="AA188" s="21">
        <f>EXP(-LN(2)/25)*AA187+(1-EXP(-LN(2)/25))/(LN(2)/25)*Calculateur!V188*Calculateur!X188*VLOOKUP('Données projet'!$B$9,Paramètres!$A$1:$I$89,3,0)*0.475*44/12</f>
        <v>0.25075780023928501</v>
      </c>
      <c r="AB188" s="21">
        <f>EXP(-LN(2)/2)*AB187+(1-EXP(-LN(2)/2))/(LN(2)/2)*V188*Y188*VLOOKUP('Données projet'!$B$9,Paramètres!$A$1:$I$89,3,0)*0.475*44/12</f>
        <v>1.128730136171418E-22</v>
      </c>
      <c r="AC188" s="22">
        <f t="shared" si="163"/>
        <v>0.40985015205719849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2.2737367544323206E-13</v>
      </c>
      <c r="AJ188" s="13">
        <f>AI188*VLOOKUP('Données projet'!$B$10,Paramètres!$A$1:$I$89,3,0)*VLOOKUP('Données projet'!$B$10,Paramètres!$A$1:$I$89,5,0)</f>
        <v>1.2414602679200471E-13</v>
      </c>
      <c r="AK188" s="13">
        <f t="shared" si="164"/>
        <v>1.8186582995804361E-12</v>
      </c>
      <c r="AL188" s="20">
        <f t="shared" si="165"/>
        <v>3.3837175350986671E-12</v>
      </c>
      <c r="AM188" s="59">
        <f t="shared" si="113"/>
        <v>293.33333333333672</v>
      </c>
      <c r="AN188" s="59">
        <f ca="1">AVERAGE(OFFSET($AM$3,0,0,'Données projet'!$E$10+1,1))-AVERAGE(OFFSET($H$3,0,0,'Données projet'!$E$10+1,1))</f>
        <v>168.72306536277267</v>
      </c>
      <c r="AO188" s="59">
        <f t="shared" si="144"/>
        <v>203.35476578922339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0.14126593607510271</v>
      </c>
      <c r="AV188" s="21">
        <f>EXP(-LN(2)/25)*AV187+(1-EXP(-LN(2)/25))/(LN(2)/25)*Calculateur!AQ188*Calculateur!AS188*VLOOKUP('Données projet'!$B$10,Paramètres!$A$1:$I$89,3,0)*0.475*44/12</f>
        <v>0.31265036647783817</v>
      </c>
      <c r="AW188" s="21">
        <f>EXP(-LN(2)/2)*AW187+(1-EXP(-LN(2)/2))/(LN(2)/2)*AQ188*AT188*VLOOKUP('Données projet'!$B$10,Paramètres!$A$1:$I$89,3,0)*0.475*44/12</f>
        <v>9.3696387336203278E-23</v>
      </c>
      <c r="AX188" s="21">
        <f t="shared" si="166"/>
        <v>0.45391630255294091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3.3992364478763198E-14</v>
      </c>
      <c r="BF188" s="13">
        <f t="shared" si="167"/>
        <v>5.790027782444094E-13</v>
      </c>
      <c r="BG188" s="20">
        <f t="shared" si="168"/>
        <v>1.0676332069095257E-12</v>
      </c>
      <c r="BH188" s="59">
        <f t="shared" si="116"/>
        <v>293.33333333333439</v>
      </c>
      <c r="BI188" s="59">
        <f ca="1">AVERAGE(OFFSET($BH$3,0,0,'Données projet'!$E$11+1,1))-AVERAGE(OFFSET($H$3,0,0,'Données projet'!$E$11+1,1))</f>
        <v>165.39579887388538</v>
      </c>
      <c r="BJ188" s="59">
        <f t="shared" si="146"/>
        <v>155.89639262545802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9.9150882492426165E-2</v>
      </c>
      <c r="BR188" s="21">
        <f>EXP(-LN(2)/2)*BR187+(1-EXP(-LN(2)/2))/(LN(2)/2)*BL188*BO188*VLOOKUP('Données projet'!$B$11,Paramètres!$A$1:$I$89,3,0)*0.475*44/12</f>
        <v>6.4948020679881148E-23</v>
      </c>
      <c r="BS188" s="22">
        <f t="shared" si="169"/>
        <v>9.9150882492426165E-2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2.8421709430404007E-14</v>
      </c>
      <c r="BZ188" s="13">
        <f>BY188*VLOOKUP('Données projet'!$B$12,Paramètres!$A$1:$I$89,3,0)*VLOOKUP('Données projet'!$B$12,Paramètres!$A$1:$I$89,5,0)</f>
        <v>2.7489477361086758E-14</v>
      </c>
      <c r="CA188" s="13">
        <f t="shared" si="170"/>
        <v>4.7995394886724981E-13</v>
      </c>
      <c r="CB188" s="20">
        <f t="shared" si="171"/>
        <v>8.8379730068101964E-13</v>
      </c>
      <c r="CC188" s="59">
        <f t="shared" si="119"/>
        <v>293.33333333333422</v>
      </c>
      <c r="CD188" s="59">
        <f ca="1">AVERAGE(OFFSET($CC$3,0,0,'Données projet'!$E$12+1,1))-AVERAGE(OFFSET($H$3,0,0,'Données projet'!$E$12+1,1))</f>
        <v>156.26368818265388</v>
      </c>
      <c r="CE188" s="59">
        <f t="shared" si="148"/>
        <v>56.347130462109817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2.8421709430404007E-14</v>
      </c>
      <c r="CU188" s="17">
        <f>CT188*VLOOKUP('Données projet'!$B$13,Paramètres!$A$1:$I$89,3,0)*VLOOKUP('Données projet'!$B$13,Paramètres!$A$1:$I$89,5,0)</f>
        <v>2.3055690689943732E-14</v>
      </c>
      <c r="CV188" s="13">
        <f t="shared" si="173"/>
        <v>4.10868481342271E-13</v>
      </c>
      <c r="CW188" s="20">
        <f t="shared" si="174"/>
        <v>7.5575126628944061E-13</v>
      </c>
      <c r="CX188" s="59">
        <f t="shared" si="122"/>
        <v>293.33333333333405</v>
      </c>
      <c r="CY188" s="59">
        <f ca="1">AVERAGE(OFFSET($CX$3,0,0,'Données projet'!$E$13+1,1))-AVERAGE(OFFSET($H$3,0,0,'Données projet'!$E$13+1,1))</f>
        <v>112.78807760743126</v>
      </c>
      <c r="CZ188" s="59">
        <f t="shared" si="150"/>
        <v>37.867745922003564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-8.5265128291212022E-14</v>
      </c>
      <c r="DP188" s="17">
        <f>DO188*VLOOKUP('Données projet'!$B$14,Paramètres!$A$1:$I$89,3,0)*VLOOKUP('Données projet'!$B$14,Paramètres!$A$1:$I$89,5,0)</f>
        <v>-5.7195848057745024E-14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107.15837202366862</v>
      </c>
      <c r="DU188" s="59">
        <f t="shared" si="152"/>
        <v>139.67031833740026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7.709885912512969E-2</v>
      </c>
      <c r="EC188" s="21">
        <f>EXP(-LN(2)/2)*EC187+(1-EXP(-LN(2)/2))/(LN(2)/2)*DW188*DZ188*VLOOKUP('Données projet'!$B$14,Paramètres!$A$1:$I$89,3,0)*0.475*44/12</f>
        <v>3.1582417101385405E-23</v>
      </c>
      <c r="ED188" s="22">
        <f t="shared" si="178"/>
        <v>7.709885912512969E-2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-1.1368683772161603E-13</v>
      </c>
      <c r="EK188" s="17">
        <f>EJ188*VLOOKUP('Données projet'!$B$15,Paramètres!$A$1:$I$89,3,0)*VLOOKUP('Données projet'!$B$15,Paramètres!$A$1:$I$89,5,0)</f>
        <v>-5.3205440053716299E-14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123.60520571614535</v>
      </c>
      <c r="EP188" s="59">
        <f t="shared" si="154"/>
        <v>119.00926870519527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4.0275206672840548E-2</v>
      </c>
      <c r="EW188" s="21">
        <f>EXP(-LN(2)/25)*EW187+(1-EXP(-LN(2)/25))/(LN(2)/25)*Calculateur!ER188*Calculateur!ET188*VLOOKUP('Données projet'!$B$15,Paramètres!$A$1:$I$89,3,0)*0.475*44/12</f>
        <v>6.497514913371509E-2</v>
      </c>
      <c r="EX188" s="21">
        <f>EXP(-LN(2)/2)*EX187+(1-EXP(-LN(2)/2))/(LN(2)/2)*ER188*EU188*VLOOKUP('Données projet'!$B$15,Paramètres!$A$1:$I$89,3,0)*0.475*44/12</f>
        <v>2.8607519676162551E-23</v>
      </c>
      <c r="EY188" s="22">
        <f t="shared" si="181"/>
        <v>0.10525035580655565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-2.2737367544323206E-13</v>
      </c>
      <c r="FF188" s="17">
        <f>FE188*VLOOKUP('Données projet'!$B$16,Paramètres!$A$1:$I$89,3,0)*VLOOKUP('Données projet'!$B$16,Paramètres!$A$1:$I$89,5,0)</f>
        <v>-1.0936673788819462E-13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197.66963254934603</v>
      </c>
      <c r="FK188" s="59">
        <f t="shared" si="156"/>
        <v>158.08388141976138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0.12385595052933901</v>
      </c>
      <c r="FR188" s="21">
        <f>EXP(-LN(2)/25)*FR187+(1-EXP(-LN(2)/25))/(LN(2)/25)*Calculateur!FM188*Calculateur!FO188*VLOOKUP('Données projet'!$B$16,Paramètres!$A$1:$I$89,3,0)*0.475*44/12</f>
        <v>7.227371502900283E-2</v>
      </c>
      <c r="FS188" s="21">
        <f>EXP(-LN(2)/2)*FS187+(1-EXP(-LN(2)/2))/(LN(2)/2)*FM188*FP188*VLOOKUP('Données projet'!$B$16,Paramètres!$A$1:$I$89,3,0)*0.475*44/12</f>
        <v>3.873464138957068E-23</v>
      </c>
      <c r="FT188" s="22">
        <f t="shared" si="184"/>
        <v>0.19612966555834183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5.6843418860808015E-14</v>
      </c>
      <c r="GA188" s="17">
        <f>FZ188*VLOOKUP('Données projet'!$B$17,Paramètres!$A$1:$I$89,3,0)*VLOOKUP('Données projet'!$B$17,Paramètres!$A$1:$I$89,5,0)</f>
        <v>3.3992364478763198E-14</v>
      </c>
      <c r="GB188" s="13">
        <f t="shared" si="185"/>
        <v>5.790027782444094E-13</v>
      </c>
      <c r="GC188" s="20">
        <f t="shared" si="186"/>
        <v>1.0676332069095257E-12</v>
      </c>
      <c r="GD188" s="59">
        <f t="shared" si="134"/>
        <v>293.33333333333439</v>
      </c>
      <c r="GE188" s="59">
        <f ca="1">AVERAGE(OFFSET($GD$3,0,0,'Données projet'!$E$17+1,1))-AVERAGE(OFFSET($H$3,0,0,'Données projet'!$E$17+1,1))</f>
        <v>165.39579887388538</v>
      </c>
      <c r="GF188" s="59">
        <f t="shared" si="158"/>
        <v>155.89639262545802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9.9150882492426165E-2</v>
      </c>
      <c r="GN188" s="21">
        <f>EXP(-LN(2)/2)*GN187+(1-EXP(-LN(2)/2))/(LN(2)/2)*GH188*GK188*VLOOKUP('Données projet'!$B$17,Paramètres!$A$1:$I$89,3,0)*0.475*44/12</f>
        <v>6.4948020679881148E-23</v>
      </c>
      <c r="GO188" s="21">
        <f t="shared" si="187"/>
        <v>9.9150882492426165E-2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2.8421709430404007E-14</v>
      </c>
      <c r="GV188" s="17">
        <f>GU188*VLOOKUP('Données projet'!$B$18,Paramètres!$A$1:$I$89,3,0)*VLOOKUP('Données projet'!$B$18,Paramètres!$A$1:$I$89,5,0)</f>
        <v>3.0593128030886874E-14</v>
      </c>
      <c r="GW188" s="13">
        <f t="shared" si="188"/>
        <v>5.2753263159251616E-13</v>
      </c>
      <c r="GX188" s="20">
        <f t="shared" si="189"/>
        <v>9.7206903134409357E-13</v>
      </c>
      <c r="GY188" s="59">
        <f t="shared" si="137"/>
        <v>293.33333333333428</v>
      </c>
      <c r="GZ188" s="59">
        <f ca="1">AVERAGE(OFFSET($GY$3,0,0,'Données projet'!$E$18+1,1))-AVERAGE(OFFSET($H$3,0,0,'Données projet'!$E$18+1,1))</f>
        <v>186.60545265015247</v>
      </c>
      <c r="HA188" s="59">
        <f t="shared" si="160"/>
        <v>69.239647548491234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0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0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1.9065282685915009E-13</v>
      </c>
      <c r="P189" s="13">
        <f t="shared" si="141"/>
        <v>2.6568987209435707E-12</v>
      </c>
      <c r="Q189" s="20">
        <f t="shared" si="162"/>
        <v>4.959485612423072E-12</v>
      </c>
      <c r="R189" s="59">
        <f t="shared" si="109"/>
        <v>293.33333333333826</v>
      </c>
      <c r="S189" s="59">
        <f ca="1">AVERAGE(OFFSET($R$3,0,0,'Données projet'!$E$9+1,1))-AVERAGE(OFFSET($H$3,0,0,'Données projet'!$E$9+1,1))</f>
        <v>235.10258076192054</v>
      </c>
      <c r="T189" s="59">
        <f t="shared" si="142"/>
        <v>233.47316052603765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0.15597264783551723</v>
      </c>
      <c r="AA189" s="21">
        <f>EXP(-LN(2)/25)*AA188+(1-EXP(-LN(2)/25))/(LN(2)/25)*Calculateur!V189*Calculateur!X189*VLOOKUP('Données projet'!$B$9,Paramètres!$A$1:$I$89,3,0)*0.475*44/12</f>
        <v>0.24390081500496216</v>
      </c>
      <c r="AB189" s="21">
        <f>EXP(-LN(2)/2)*AB188+(1-EXP(-LN(2)/2))/(LN(2)/2)*V189*Y189*VLOOKUP('Données projet'!$B$9,Paramètres!$A$1:$I$89,3,0)*0.475*44/12</f>
        <v>7.9813273341642484E-23</v>
      </c>
      <c r="AC189" s="22">
        <f t="shared" si="163"/>
        <v>0.39987346284047942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2.2737367544323206E-13</v>
      </c>
      <c r="AJ189" s="13">
        <f>AI189*VLOOKUP('Données projet'!$B$10,Paramètres!$A$1:$I$89,3,0)*VLOOKUP('Données projet'!$B$10,Paramètres!$A$1:$I$89,5,0)</f>
        <v>1.2414602679200471E-13</v>
      </c>
      <c r="AK189" s="13">
        <f t="shared" si="164"/>
        <v>1.8186582995804361E-12</v>
      </c>
      <c r="AL189" s="20">
        <f t="shared" si="165"/>
        <v>3.3837175350986671E-12</v>
      </c>
      <c r="AM189" s="59">
        <f t="shared" si="113"/>
        <v>293.33333333333672</v>
      </c>
      <c r="AN189" s="59">
        <f ca="1">AVERAGE(OFFSET($AM$3,0,0,'Données projet'!$E$10+1,1))-AVERAGE(OFFSET($H$3,0,0,'Données projet'!$E$10+1,1))</f>
        <v>168.72306536277267</v>
      </c>
      <c r="AO189" s="59">
        <f t="shared" si="144"/>
        <v>203.35476578922339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0.13849579723238301</v>
      </c>
      <c r="AV189" s="21">
        <f>EXP(-LN(2)/25)*AV188+(1-EXP(-LN(2)/25))/(LN(2)/25)*Calculateur!AQ189*Calculateur!AS189*VLOOKUP('Données projet'!$B$10,Paramètres!$A$1:$I$89,3,0)*0.475*44/12</f>
        <v>0.30410092576493347</v>
      </c>
      <c r="AW189" s="21">
        <f>EXP(-LN(2)/2)*AW188+(1-EXP(-LN(2)/2))/(LN(2)/2)*AQ189*AT189*VLOOKUP('Données projet'!$B$10,Paramètres!$A$1:$I$89,3,0)*0.475*44/12</f>
        <v>6.6253350858110693E-23</v>
      </c>
      <c r="AX189" s="21">
        <f t="shared" si="166"/>
        <v>0.44259672299731645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3.3992364478763198E-14</v>
      </c>
      <c r="BF189" s="13">
        <f t="shared" si="167"/>
        <v>5.790027782444094E-13</v>
      </c>
      <c r="BG189" s="20">
        <f t="shared" si="168"/>
        <v>1.0676332069095257E-12</v>
      </c>
      <c r="BH189" s="59">
        <f t="shared" si="116"/>
        <v>293.33333333333439</v>
      </c>
      <c r="BI189" s="59">
        <f ca="1">AVERAGE(OFFSET($BH$3,0,0,'Données projet'!$E$11+1,1))-AVERAGE(OFFSET($H$3,0,0,'Données projet'!$E$11+1,1))</f>
        <v>165.39579887388538</v>
      </c>
      <c r="BJ189" s="59">
        <f t="shared" si="146"/>
        <v>155.89639262545802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9.6439596396552474E-2</v>
      </c>
      <c r="BR189" s="21">
        <f>EXP(-LN(2)/2)*BR188+(1-EXP(-LN(2)/2))/(LN(2)/2)*BL189*BO189*VLOOKUP('Données projet'!$B$11,Paramètres!$A$1:$I$89,3,0)*0.475*44/12</f>
        <v>4.5925185847388083E-23</v>
      </c>
      <c r="BS189" s="22">
        <f t="shared" si="169"/>
        <v>9.6439596396552474E-2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2.8421709430404007E-14</v>
      </c>
      <c r="BZ189" s="13">
        <f>BY189*VLOOKUP('Données projet'!$B$12,Paramètres!$A$1:$I$89,3,0)*VLOOKUP('Données projet'!$B$12,Paramètres!$A$1:$I$89,5,0)</f>
        <v>2.7489477361086758E-14</v>
      </c>
      <c r="CA189" s="13">
        <f t="shared" si="170"/>
        <v>4.7995394886724981E-13</v>
      </c>
      <c r="CB189" s="20">
        <f t="shared" si="171"/>
        <v>8.8379730068101964E-13</v>
      </c>
      <c r="CC189" s="59">
        <f t="shared" si="119"/>
        <v>293.33333333333422</v>
      </c>
      <c r="CD189" s="59">
        <f ca="1">AVERAGE(OFFSET($CC$3,0,0,'Données projet'!$E$12+1,1))-AVERAGE(OFFSET($H$3,0,0,'Données projet'!$E$12+1,1))</f>
        <v>156.26368818265388</v>
      </c>
      <c r="CE189" s="59">
        <f t="shared" si="148"/>
        <v>56.347130462109817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2.8421709430404007E-14</v>
      </c>
      <c r="CU189" s="17">
        <f>CT189*VLOOKUP('Données projet'!$B$13,Paramètres!$A$1:$I$89,3,0)*VLOOKUP('Données projet'!$B$13,Paramètres!$A$1:$I$89,5,0)</f>
        <v>2.3055690689943732E-14</v>
      </c>
      <c r="CV189" s="13">
        <f t="shared" si="173"/>
        <v>4.10868481342271E-13</v>
      </c>
      <c r="CW189" s="20">
        <f t="shared" si="174"/>
        <v>7.5575126628944061E-13</v>
      </c>
      <c r="CX189" s="59">
        <f t="shared" si="122"/>
        <v>293.33333333333405</v>
      </c>
      <c r="CY189" s="59">
        <f ca="1">AVERAGE(OFFSET($CX$3,0,0,'Données projet'!$E$13+1,1))-AVERAGE(OFFSET($H$3,0,0,'Données projet'!$E$13+1,1))</f>
        <v>112.78807760743126</v>
      </c>
      <c r="CZ189" s="59">
        <f t="shared" si="150"/>
        <v>37.867745922003564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-8.5265128291212022E-14</v>
      </c>
      <c r="DP189" s="17">
        <f>DO189*VLOOKUP('Données projet'!$B$14,Paramètres!$A$1:$I$89,3,0)*VLOOKUP('Données projet'!$B$14,Paramètres!$A$1:$I$89,5,0)</f>
        <v>-5.7195848057745024E-14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107.15837202366862</v>
      </c>
      <c r="DU189" s="59">
        <f t="shared" si="152"/>
        <v>139.67031833740026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7.4990586767900227E-2</v>
      </c>
      <c r="EC189" s="21">
        <f>EXP(-LN(2)/2)*EC188+(1-EXP(-LN(2)/2))/(LN(2)/2)*DW189*DZ189*VLOOKUP('Données projet'!$B$14,Paramètres!$A$1:$I$89,3,0)*0.475*44/12</f>
        <v>2.2332141298651606E-23</v>
      </c>
      <c r="ED189" s="22">
        <f t="shared" si="178"/>
        <v>7.4990586767900227E-2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-1.1368683772161603E-13</v>
      </c>
      <c r="EK189" s="17">
        <f>EJ189*VLOOKUP('Données projet'!$B$15,Paramètres!$A$1:$I$89,3,0)*VLOOKUP('Données projet'!$B$15,Paramètres!$A$1:$I$89,5,0)</f>
        <v>-5.3205440053716299E-14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123.60520571614535</v>
      </c>
      <c r="EP189" s="59">
        <f t="shared" si="154"/>
        <v>119.00926870519527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3.9485434435436575E-2</v>
      </c>
      <c r="EW189" s="21">
        <f>EXP(-LN(2)/25)*EW188+(1-EXP(-LN(2)/25))/(LN(2)/25)*Calculateur!ER189*Calculateur!ET189*VLOOKUP('Données projet'!$B$15,Paramètres!$A$1:$I$89,3,0)*0.475*44/12</f>
        <v>6.3198400263759058E-2</v>
      </c>
      <c r="EX189" s="21">
        <f>EXP(-LN(2)/2)*EX188+(1-EXP(-LN(2)/2))/(LN(2)/2)*ER189*EU189*VLOOKUP('Données projet'!$B$15,Paramètres!$A$1:$I$89,3,0)*0.475*44/12</f>
        <v>2.0228571155942126E-23</v>
      </c>
      <c r="EY189" s="22">
        <f t="shared" si="181"/>
        <v>0.10268383469919563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-2.2737367544323206E-13</v>
      </c>
      <c r="FF189" s="17">
        <f>FE189*VLOOKUP('Données projet'!$B$16,Paramètres!$A$1:$I$89,3,0)*VLOOKUP('Données projet'!$B$16,Paramètres!$A$1:$I$89,5,0)</f>
        <v>-1.0936673788819462E-13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197.66963254934603</v>
      </c>
      <c r="FK189" s="59">
        <f t="shared" si="156"/>
        <v>158.08388141976138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0.12142721088412908</v>
      </c>
      <c r="FR189" s="21">
        <f>EXP(-LN(2)/25)*FR188+(1-EXP(-LN(2)/25))/(LN(2)/25)*Calculateur!FM189*Calculateur!FO189*VLOOKUP('Données projet'!$B$16,Paramètres!$A$1:$I$89,3,0)*0.475*44/12</f>
        <v>7.0297386490825259E-2</v>
      </c>
      <c r="FS189" s="21">
        <f>EXP(-LN(2)/2)*FS188+(1-EXP(-LN(2)/2))/(LN(2)/2)*FM189*FP189*VLOOKUP('Données projet'!$B$16,Paramètres!$A$1:$I$89,3,0)*0.475*44/12</f>
        <v>2.7389527593394541E-23</v>
      </c>
      <c r="FT189" s="22">
        <f t="shared" si="184"/>
        <v>0.19172459737495434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5.6843418860808015E-14</v>
      </c>
      <c r="GA189" s="17">
        <f>FZ189*VLOOKUP('Données projet'!$B$17,Paramètres!$A$1:$I$89,3,0)*VLOOKUP('Données projet'!$B$17,Paramètres!$A$1:$I$89,5,0)</f>
        <v>3.3992364478763198E-14</v>
      </c>
      <c r="GB189" s="13">
        <f t="shared" si="185"/>
        <v>5.790027782444094E-13</v>
      </c>
      <c r="GC189" s="20">
        <f t="shared" si="186"/>
        <v>1.0676332069095257E-12</v>
      </c>
      <c r="GD189" s="59">
        <f t="shared" si="134"/>
        <v>293.33333333333439</v>
      </c>
      <c r="GE189" s="59">
        <f ca="1">AVERAGE(OFFSET($GD$3,0,0,'Données projet'!$E$17+1,1))-AVERAGE(OFFSET($H$3,0,0,'Données projet'!$E$17+1,1))</f>
        <v>165.39579887388538</v>
      </c>
      <c r="GF189" s="59">
        <f t="shared" si="158"/>
        <v>155.89639262545802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9.6439596396552474E-2</v>
      </c>
      <c r="GN189" s="21">
        <f>EXP(-LN(2)/2)*GN188+(1-EXP(-LN(2)/2))/(LN(2)/2)*GH189*GK189*VLOOKUP('Données projet'!$B$17,Paramètres!$A$1:$I$89,3,0)*0.475*44/12</f>
        <v>4.5925185847388083E-23</v>
      </c>
      <c r="GO189" s="21">
        <f t="shared" si="187"/>
        <v>9.6439596396552474E-2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2.8421709430404007E-14</v>
      </c>
      <c r="GV189" s="17">
        <f>GU189*VLOOKUP('Données projet'!$B$18,Paramètres!$A$1:$I$89,3,0)*VLOOKUP('Données projet'!$B$18,Paramètres!$A$1:$I$89,5,0)</f>
        <v>3.0593128030886874E-14</v>
      </c>
      <c r="GW189" s="13">
        <f t="shared" si="188"/>
        <v>5.2753263159251616E-13</v>
      </c>
      <c r="GX189" s="20">
        <f t="shared" si="189"/>
        <v>9.7206903134409357E-13</v>
      </c>
      <c r="GY189" s="59">
        <f t="shared" si="137"/>
        <v>293.33333333333428</v>
      </c>
      <c r="GZ189" s="59">
        <f ca="1">AVERAGE(OFFSET($GY$3,0,0,'Données projet'!$E$18+1,1))-AVERAGE(OFFSET($H$3,0,0,'Données projet'!$E$18+1,1))</f>
        <v>186.60545265015247</v>
      </c>
      <c r="HA189" s="59">
        <f t="shared" si="160"/>
        <v>69.239647548491234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0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0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1.9065282685915009E-13</v>
      </c>
      <c r="P190" s="13">
        <f t="shared" si="141"/>
        <v>2.6568987209435707E-12</v>
      </c>
      <c r="Q190" s="20">
        <f t="shared" si="162"/>
        <v>4.959485612423072E-12</v>
      </c>
      <c r="R190" s="59">
        <f t="shared" si="109"/>
        <v>293.33333333333826</v>
      </c>
      <c r="S190" s="59">
        <f ca="1">AVERAGE(OFFSET($R$3,0,0,'Données projet'!$E$9+1,1))-AVERAGE(OFFSET($H$3,0,0,'Données projet'!$E$9+1,1))</f>
        <v>235.10258076192054</v>
      </c>
      <c r="T190" s="59">
        <f t="shared" si="142"/>
        <v>233.47316052603765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0.15291411934538424</v>
      </c>
      <c r="AA190" s="21">
        <f>EXP(-LN(2)/25)*AA189+(1-EXP(-LN(2)/25))/(LN(2)/25)*Calculateur!V190*Calculateur!X190*VLOOKUP('Données projet'!$B$9,Paramètres!$A$1:$I$89,3,0)*0.475*44/12</f>
        <v>0.23723133439246505</v>
      </c>
      <c r="AB190" s="21">
        <f>EXP(-LN(2)/2)*AB189+(1-EXP(-LN(2)/2))/(LN(2)/2)*V190*Y190*VLOOKUP('Données projet'!$B$9,Paramètres!$A$1:$I$89,3,0)*0.475*44/12</f>
        <v>5.6436506808570898E-23</v>
      </c>
      <c r="AC190" s="22">
        <f t="shared" si="163"/>
        <v>0.39014545373784926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2.2737367544323206E-13</v>
      </c>
      <c r="AJ190" s="13">
        <f>AI190*VLOOKUP('Données projet'!$B$10,Paramètres!$A$1:$I$89,3,0)*VLOOKUP('Données projet'!$B$10,Paramètres!$A$1:$I$89,5,0)</f>
        <v>1.2414602679200471E-13</v>
      </c>
      <c r="AK190" s="13">
        <f t="shared" si="164"/>
        <v>1.8186582995804361E-12</v>
      </c>
      <c r="AL190" s="20">
        <f t="shared" si="165"/>
        <v>3.3837175350986671E-12</v>
      </c>
      <c r="AM190" s="59">
        <f t="shared" si="113"/>
        <v>293.33333333333672</v>
      </c>
      <c r="AN190" s="59">
        <f ca="1">AVERAGE(OFFSET($AM$3,0,0,'Données projet'!$E$10+1,1))-AVERAGE(OFFSET($H$3,0,0,'Données projet'!$E$10+1,1))</f>
        <v>168.72306536277267</v>
      </c>
      <c r="AO190" s="59">
        <f t="shared" si="144"/>
        <v>203.35476578922339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0.13577997912275117</v>
      </c>
      <c r="AV190" s="21">
        <f>EXP(-LN(2)/25)*AV189+(1-EXP(-LN(2)/25))/(LN(2)/25)*Calculateur!AQ190*Calculateur!AS190*VLOOKUP('Données projet'!$B$10,Paramètres!$A$1:$I$89,3,0)*0.475*44/12</f>
        <v>0.29578526995791871</v>
      </c>
      <c r="AW190" s="21">
        <f>EXP(-LN(2)/2)*AW189+(1-EXP(-LN(2)/2))/(LN(2)/2)*AQ190*AT190*VLOOKUP('Données projet'!$B$10,Paramètres!$A$1:$I$89,3,0)*0.475*44/12</f>
        <v>4.6848193668101639E-23</v>
      </c>
      <c r="AX190" s="21">
        <f t="shared" si="166"/>
        <v>0.43156524908066984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3.3992364478763198E-14</v>
      </c>
      <c r="BF190" s="13">
        <f t="shared" si="167"/>
        <v>5.790027782444094E-13</v>
      </c>
      <c r="BG190" s="20">
        <f t="shared" si="168"/>
        <v>1.0676332069095257E-12</v>
      </c>
      <c r="BH190" s="59">
        <f t="shared" si="116"/>
        <v>293.33333333333439</v>
      </c>
      <c r="BI190" s="59">
        <f ca="1">AVERAGE(OFFSET($BH$3,0,0,'Données projet'!$E$11+1,1))-AVERAGE(OFFSET($H$3,0,0,'Données projet'!$E$11+1,1))</f>
        <v>165.39579887388538</v>
      </c>
      <c r="BJ190" s="59">
        <f t="shared" si="146"/>
        <v>155.89639262545802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9.3802450561550788E-2</v>
      </c>
      <c r="BR190" s="21">
        <f>EXP(-LN(2)/2)*BR189+(1-EXP(-LN(2)/2))/(LN(2)/2)*BL190*BO190*VLOOKUP('Données projet'!$B$11,Paramètres!$A$1:$I$89,3,0)*0.475*44/12</f>
        <v>3.2474010339940574E-23</v>
      </c>
      <c r="BS190" s="22">
        <f t="shared" si="169"/>
        <v>9.3802450561550788E-2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2.8421709430404007E-14</v>
      </c>
      <c r="BZ190" s="13">
        <f>BY190*VLOOKUP('Données projet'!$B$12,Paramètres!$A$1:$I$89,3,0)*VLOOKUP('Données projet'!$B$12,Paramètres!$A$1:$I$89,5,0)</f>
        <v>2.7489477361086758E-14</v>
      </c>
      <c r="CA190" s="13">
        <f t="shared" si="170"/>
        <v>4.7995394886724981E-13</v>
      </c>
      <c r="CB190" s="20">
        <f t="shared" si="171"/>
        <v>8.8379730068101964E-13</v>
      </c>
      <c r="CC190" s="59">
        <f t="shared" si="119"/>
        <v>293.33333333333422</v>
      </c>
      <c r="CD190" s="59">
        <f ca="1">AVERAGE(OFFSET($CC$3,0,0,'Données projet'!$E$12+1,1))-AVERAGE(OFFSET($H$3,0,0,'Données projet'!$E$12+1,1))</f>
        <v>156.26368818265388</v>
      </c>
      <c r="CE190" s="59">
        <f t="shared" si="148"/>
        <v>56.347130462109817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2.8421709430404007E-14</v>
      </c>
      <c r="CU190" s="17">
        <f>CT190*VLOOKUP('Données projet'!$B$13,Paramètres!$A$1:$I$89,3,0)*VLOOKUP('Données projet'!$B$13,Paramètres!$A$1:$I$89,5,0)</f>
        <v>2.3055690689943732E-14</v>
      </c>
      <c r="CV190" s="13">
        <f t="shared" si="173"/>
        <v>4.10868481342271E-13</v>
      </c>
      <c r="CW190" s="20">
        <f t="shared" si="174"/>
        <v>7.5575126628944061E-13</v>
      </c>
      <c r="CX190" s="59">
        <f t="shared" si="122"/>
        <v>293.33333333333405</v>
      </c>
      <c r="CY190" s="59">
        <f ca="1">AVERAGE(OFFSET($CX$3,0,0,'Données projet'!$E$13+1,1))-AVERAGE(OFFSET($H$3,0,0,'Données projet'!$E$13+1,1))</f>
        <v>112.78807760743126</v>
      </c>
      <c r="CZ190" s="59">
        <f t="shared" si="150"/>
        <v>37.867745922003564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-8.5265128291212022E-14</v>
      </c>
      <c r="DP190" s="17">
        <f>DO190*VLOOKUP('Données projet'!$B$14,Paramètres!$A$1:$I$89,3,0)*VLOOKUP('Données projet'!$B$14,Paramètres!$A$1:$I$89,5,0)</f>
        <v>-5.7195848057745024E-14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107.15837202366862</v>
      </c>
      <c r="DU190" s="59">
        <f t="shared" si="152"/>
        <v>139.67031833740026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7.2939965229148432E-2</v>
      </c>
      <c r="EC190" s="21">
        <f>EXP(-LN(2)/2)*EC189+(1-EXP(-LN(2)/2))/(LN(2)/2)*DW190*DZ190*VLOOKUP('Données projet'!$B$14,Paramètres!$A$1:$I$89,3,0)*0.475*44/12</f>
        <v>1.5791208550692702E-23</v>
      </c>
      <c r="ED190" s="22">
        <f t="shared" si="178"/>
        <v>7.2939965229148432E-2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-1.1368683772161603E-13</v>
      </c>
      <c r="EK190" s="17">
        <f>EJ190*VLOOKUP('Données projet'!$B$15,Paramètres!$A$1:$I$89,3,0)*VLOOKUP('Données projet'!$B$15,Paramètres!$A$1:$I$89,5,0)</f>
        <v>-5.3205440053716299E-14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123.60520571614535</v>
      </c>
      <c r="EP190" s="59">
        <f t="shared" si="154"/>
        <v>119.00926870519527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3.8711149149894597E-2</v>
      </c>
      <c r="EW190" s="21">
        <f>EXP(-LN(2)/25)*EW189+(1-EXP(-LN(2)/25))/(LN(2)/25)*Calculateur!ER190*Calculateur!ET190*VLOOKUP('Données projet'!$B$15,Paramètres!$A$1:$I$89,3,0)*0.475*44/12</f>
        <v>6.1470236685087137E-2</v>
      </c>
      <c r="EX190" s="21">
        <f>EXP(-LN(2)/2)*EX189+(1-EXP(-LN(2)/2))/(LN(2)/2)*ER190*EU190*VLOOKUP('Données projet'!$B$15,Paramètres!$A$1:$I$89,3,0)*0.475*44/12</f>
        <v>1.4303759838081276E-23</v>
      </c>
      <c r="EY190" s="22">
        <f t="shared" si="181"/>
        <v>0.10018138583498173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-2.2737367544323206E-13</v>
      </c>
      <c r="FF190" s="17">
        <f>FE190*VLOOKUP('Données projet'!$B$16,Paramètres!$A$1:$I$89,3,0)*VLOOKUP('Données projet'!$B$16,Paramètres!$A$1:$I$89,5,0)</f>
        <v>-1.0936673788819462E-13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197.66963254934603</v>
      </c>
      <c r="FK190" s="59">
        <f t="shared" si="156"/>
        <v>158.08388141976138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0.11904609734197681</v>
      </c>
      <c r="FR190" s="21">
        <f>EXP(-LN(2)/25)*FR189+(1-EXP(-LN(2)/25))/(LN(2)/25)*Calculateur!FM190*Calculateur!FO190*VLOOKUP('Données projet'!$B$16,Paramètres!$A$1:$I$89,3,0)*0.475*44/12</f>
        <v>6.8375100760454749E-2</v>
      </c>
      <c r="FS190" s="21">
        <f>EXP(-LN(2)/2)*FS189+(1-EXP(-LN(2)/2))/(LN(2)/2)*FM190*FP190*VLOOKUP('Données projet'!$B$16,Paramètres!$A$1:$I$89,3,0)*0.475*44/12</f>
        <v>1.936732069478534E-23</v>
      </c>
      <c r="FT190" s="22">
        <f t="shared" si="184"/>
        <v>0.18742119810243157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5.6843418860808015E-14</v>
      </c>
      <c r="GA190" s="17">
        <f>FZ190*VLOOKUP('Données projet'!$B$17,Paramètres!$A$1:$I$89,3,0)*VLOOKUP('Données projet'!$B$17,Paramètres!$A$1:$I$89,5,0)</f>
        <v>3.3992364478763198E-14</v>
      </c>
      <c r="GB190" s="13">
        <f t="shared" si="185"/>
        <v>5.790027782444094E-13</v>
      </c>
      <c r="GC190" s="20">
        <f t="shared" si="186"/>
        <v>1.0676332069095257E-12</v>
      </c>
      <c r="GD190" s="59">
        <f t="shared" si="134"/>
        <v>293.33333333333439</v>
      </c>
      <c r="GE190" s="59">
        <f ca="1">AVERAGE(OFFSET($GD$3,0,0,'Données projet'!$E$17+1,1))-AVERAGE(OFFSET($H$3,0,0,'Données projet'!$E$17+1,1))</f>
        <v>165.39579887388538</v>
      </c>
      <c r="GF190" s="59">
        <f t="shared" si="158"/>
        <v>155.89639262545802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9.3802450561550788E-2</v>
      </c>
      <c r="GN190" s="21">
        <f>EXP(-LN(2)/2)*GN189+(1-EXP(-LN(2)/2))/(LN(2)/2)*GH190*GK190*VLOOKUP('Données projet'!$B$17,Paramètres!$A$1:$I$89,3,0)*0.475*44/12</f>
        <v>3.2474010339940574E-23</v>
      </c>
      <c r="GO190" s="21">
        <f t="shared" si="187"/>
        <v>9.3802450561550788E-2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2.8421709430404007E-14</v>
      </c>
      <c r="GV190" s="17">
        <f>GU190*VLOOKUP('Données projet'!$B$18,Paramètres!$A$1:$I$89,3,0)*VLOOKUP('Données projet'!$B$18,Paramètres!$A$1:$I$89,5,0)</f>
        <v>3.0593128030886874E-14</v>
      </c>
      <c r="GW190" s="13">
        <f t="shared" si="188"/>
        <v>5.2753263159251616E-13</v>
      </c>
      <c r="GX190" s="20">
        <f t="shared" si="189"/>
        <v>9.7206903134409357E-13</v>
      </c>
      <c r="GY190" s="59">
        <f t="shared" si="137"/>
        <v>293.33333333333428</v>
      </c>
      <c r="GZ190" s="59">
        <f ca="1">AVERAGE(OFFSET($GY$3,0,0,'Données projet'!$E$18+1,1))-AVERAGE(OFFSET($H$3,0,0,'Données projet'!$E$18+1,1))</f>
        <v>186.60545265015247</v>
      </c>
      <c r="HA190" s="59">
        <f t="shared" si="160"/>
        <v>69.239647548491234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0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0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1.9065282685915009E-13</v>
      </c>
      <c r="P191" s="13">
        <f t="shared" si="141"/>
        <v>2.6568987209435707E-12</v>
      </c>
      <c r="Q191" s="20">
        <f t="shared" si="162"/>
        <v>4.959485612423072E-12</v>
      </c>
      <c r="R191" s="59">
        <f t="shared" si="109"/>
        <v>293.33333333333826</v>
      </c>
      <c r="S191" s="59">
        <f ca="1">AVERAGE(OFFSET($R$3,0,0,'Données projet'!$E$9+1,1))-AVERAGE(OFFSET($H$3,0,0,'Données projet'!$E$9+1,1))</f>
        <v>235.10258076192054</v>
      </c>
      <c r="T191" s="59">
        <f t="shared" si="142"/>
        <v>233.47316052603765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0.14991556673342457</v>
      </c>
      <c r="AA191" s="21">
        <f>EXP(-LN(2)/25)*AA190+(1-EXP(-LN(2)/25))/(LN(2)/25)*Calculateur!V191*Calculateur!X191*VLOOKUP('Données projet'!$B$9,Paramètres!$A$1:$I$89,3,0)*0.475*44/12</f>
        <v>0.23074423107804942</v>
      </c>
      <c r="AB191" s="21">
        <f>EXP(-LN(2)/2)*AB190+(1-EXP(-LN(2)/2))/(LN(2)/2)*V191*Y191*VLOOKUP('Données projet'!$B$9,Paramètres!$A$1:$I$89,3,0)*0.475*44/12</f>
        <v>3.9906636670821242E-23</v>
      </c>
      <c r="AC191" s="22">
        <f t="shared" si="163"/>
        <v>0.38065979781147397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2.2737367544323206E-13</v>
      </c>
      <c r="AJ191" s="13">
        <f>AI191*VLOOKUP('Données projet'!$B$10,Paramètres!$A$1:$I$89,3,0)*VLOOKUP('Données projet'!$B$10,Paramètres!$A$1:$I$89,5,0)</f>
        <v>1.2414602679200471E-13</v>
      </c>
      <c r="AK191" s="13">
        <f t="shared" si="164"/>
        <v>1.8186582995804361E-12</v>
      </c>
      <c r="AL191" s="20">
        <f t="shared" si="165"/>
        <v>3.3837175350986671E-12</v>
      </c>
      <c r="AM191" s="59">
        <f t="shared" si="113"/>
        <v>293.33333333333672</v>
      </c>
      <c r="AN191" s="59">
        <f ca="1">AVERAGE(OFFSET($AM$3,0,0,'Données projet'!$E$10+1,1))-AVERAGE(OFFSET($H$3,0,0,'Données projet'!$E$10+1,1))</f>
        <v>168.72306536277267</v>
      </c>
      <c r="AO191" s="59">
        <f t="shared" si="144"/>
        <v>203.35476578922339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0.13311741654976372</v>
      </c>
      <c r="AV191" s="21">
        <f>EXP(-LN(2)/25)*AV190+(1-EXP(-LN(2)/25))/(LN(2)/25)*Calculateur!AQ191*Calculateur!AS191*VLOOKUP('Données projet'!$B$10,Paramètres!$A$1:$I$89,3,0)*0.475*44/12</f>
        <v>0.28769700619624811</v>
      </c>
      <c r="AW191" s="21">
        <f>EXP(-LN(2)/2)*AW190+(1-EXP(-LN(2)/2))/(LN(2)/2)*AQ191*AT191*VLOOKUP('Données projet'!$B$10,Paramètres!$A$1:$I$89,3,0)*0.475*44/12</f>
        <v>3.3126675429055346E-23</v>
      </c>
      <c r="AX191" s="21">
        <f t="shared" si="166"/>
        <v>0.42081442274601183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3.3992364478763198E-14</v>
      </c>
      <c r="BF191" s="13">
        <f t="shared" si="167"/>
        <v>5.790027782444094E-13</v>
      </c>
      <c r="BG191" s="20">
        <f t="shared" si="168"/>
        <v>1.0676332069095257E-12</v>
      </c>
      <c r="BH191" s="59">
        <f t="shared" si="116"/>
        <v>293.33333333333439</v>
      </c>
      <c r="BI191" s="59">
        <f ca="1">AVERAGE(OFFSET($BH$3,0,0,'Données projet'!$E$11+1,1))-AVERAGE(OFFSET($H$3,0,0,'Données projet'!$E$11+1,1))</f>
        <v>165.39579887388538</v>
      </c>
      <c r="BJ191" s="59">
        <f t="shared" si="146"/>
        <v>155.89639262545802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9.1237417618088693E-2</v>
      </c>
      <c r="BR191" s="21">
        <f>EXP(-LN(2)/2)*BR190+(1-EXP(-LN(2)/2))/(LN(2)/2)*BL191*BO191*VLOOKUP('Données projet'!$B$11,Paramètres!$A$1:$I$89,3,0)*0.475*44/12</f>
        <v>2.2962592923694042E-23</v>
      </c>
      <c r="BS191" s="22">
        <f t="shared" si="169"/>
        <v>9.1237417618088693E-2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2.8421709430404007E-14</v>
      </c>
      <c r="BZ191" s="13">
        <f>BY191*VLOOKUP('Données projet'!$B$12,Paramètres!$A$1:$I$89,3,0)*VLOOKUP('Données projet'!$B$12,Paramètres!$A$1:$I$89,5,0)</f>
        <v>2.7489477361086758E-14</v>
      </c>
      <c r="CA191" s="13">
        <f t="shared" si="170"/>
        <v>4.7995394886724981E-13</v>
      </c>
      <c r="CB191" s="20">
        <f t="shared" si="171"/>
        <v>8.8379730068101964E-13</v>
      </c>
      <c r="CC191" s="59">
        <f t="shared" si="119"/>
        <v>293.33333333333422</v>
      </c>
      <c r="CD191" s="59">
        <f ca="1">AVERAGE(OFFSET($CC$3,0,0,'Données projet'!$E$12+1,1))-AVERAGE(OFFSET($H$3,0,0,'Données projet'!$E$12+1,1))</f>
        <v>156.26368818265388</v>
      </c>
      <c r="CE191" s="59">
        <f t="shared" si="148"/>
        <v>56.347130462109817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2.8421709430404007E-14</v>
      </c>
      <c r="CU191" s="17">
        <f>CT191*VLOOKUP('Données projet'!$B$13,Paramètres!$A$1:$I$89,3,0)*VLOOKUP('Données projet'!$B$13,Paramètres!$A$1:$I$89,5,0)</f>
        <v>2.3055690689943732E-14</v>
      </c>
      <c r="CV191" s="13">
        <f t="shared" si="173"/>
        <v>4.10868481342271E-13</v>
      </c>
      <c r="CW191" s="20">
        <f t="shared" si="174"/>
        <v>7.5575126628944061E-13</v>
      </c>
      <c r="CX191" s="59">
        <f t="shared" si="122"/>
        <v>293.33333333333405</v>
      </c>
      <c r="CY191" s="59">
        <f ca="1">AVERAGE(OFFSET($CX$3,0,0,'Données projet'!$E$13+1,1))-AVERAGE(OFFSET($H$3,0,0,'Données projet'!$E$13+1,1))</f>
        <v>112.78807760743126</v>
      </c>
      <c r="CZ191" s="59">
        <f t="shared" si="150"/>
        <v>37.867745922003564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-8.5265128291212022E-14</v>
      </c>
      <c r="DP191" s="17">
        <f>DO191*VLOOKUP('Données projet'!$B$14,Paramètres!$A$1:$I$89,3,0)*VLOOKUP('Données projet'!$B$14,Paramètres!$A$1:$I$89,5,0)</f>
        <v>-5.7195848057745024E-14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107.15837202366862</v>
      </c>
      <c r="DU191" s="59">
        <f t="shared" si="152"/>
        <v>139.67031833740026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7.0945418044211297E-2</v>
      </c>
      <c r="EC191" s="21">
        <f>EXP(-LN(2)/2)*EC190+(1-EXP(-LN(2)/2))/(LN(2)/2)*DW191*DZ191*VLOOKUP('Données projet'!$B$14,Paramètres!$A$1:$I$89,3,0)*0.475*44/12</f>
        <v>1.1166070649325803E-23</v>
      </c>
      <c r="ED191" s="22">
        <f t="shared" si="178"/>
        <v>7.0945418044211297E-2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-1.1368683772161603E-13</v>
      </c>
      <c r="EK191" s="17">
        <f>EJ191*VLOOKUP('Données projet'!$B$15,Paramètres!$A$1:$I$89,3,0)*VLOOKUP('Données projet'!$B$15,Paramètres!$A$1:$I$89,5,0)</f>
        <v>-5.3205440053716299E-14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123.60520571614535</v>
      </c>
      <c r="EP191" s="59">
        <f t="shared" si="154"/>
        <v>119.00926870519527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3.7952047126534709E-2</v>
      </c>
      <c r="EW191" s="21">
        <f>EXP(-LN(2)/25)*EW190+(1-EXP(-LN(2)/25))/(LN(2)/25)*Calculateur!ER191*Calculateur!ET191*VLOOKUP('Données projet'!$B$15,Paramètres!$A$1:$I$89,3,0)*0.475*44/12</f>
        <v>5.9789329830354176E-2</v>
      </c>
      <c r="EX191" s="21">
        <f>EXP(-LN(2)/2)*EX190+(1-EXP(-LN(2)/2))/(LN(2)/2)*ER191*EU191*VLOOKUP('Données projet'!$B$15,Paramètres!$A$1:$I$89,3,0)*0.475*44/12</f>
        <v>1.0114285577971063E-23</v>
      </c>
      <c r="EY191" s="22">
        <f t="shared" si="181"/>
        <v>9.7741376956888892E-2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-2.2737367544323206E-13</v>
      </c>
      <c r="FF191" s="17">
        <f>FE191*VLOOKUP('Données projet'!$B$16,Paramètres!$A$1:$I$89,3,0)*VLOOKUP('Données projet'!$B$16,Paramètres!$A$1:$I$89,5,0)</f>
        <v>-1.0936673788819462E-13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197.66963254934603</v>
      </c>
      <c r="FK191" s="59">
        <f t="shared" si="156"/>
        <v>158.08388141976138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0.11671167598405029</v>
      </c>
      <c r="FR191" s="21">
        <f>EXP(-LN(2)/25)*FR190+(1-EXP(-LN(2)/25))/(LN(2)/25)*Calculateur!FM191*Calculateur!FO191*VLOOKUP('Données projet'!$B$16,Paramètres!$A$1:$I$89,3,0)*0.475*44/12</f>
        <v>6.6505380034469833E-2</v>
      </c>
      <c r="FS191" s="21">
        <f>EXP(-LN(2)/2)*FS190+(1-EXP(-LN(2)/2))/(LN(2)/2)*FM191*FP191*VLOOKUP('Données projet'!$B$16,Paramètres!$A$1:$I$89,3,0)*0.475*44/12</f>
        <v>1.3694763796697271E-23</v>
      </c>
      <c r="FT191" s="22">
        <f t="shared" si="184"/>
        <v>0.18321705601852012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5.6843418860808015E-14</v>
      </c>
      <c r="GA191" s="17">
        <f>FZ191*VLOOKUP('Données projet'!$B$17,Paramètres!$A$1:$I$89,3,0)*VLOOKUP('Données projet'!$B$17,Paramètres!$A$1:$I$89,5,0)</f>
        <v>3.3992364478763198E-14</v>
      </c>
      <c r="GB191" s="13">
        <f t="shared" si="185"/>
        <v>5.790027782444094E-13</v>
      </c>
      <c r="GC191" s="20">
        <f t="shared" si="186"/>
        <v>1.0676332069095257E-12</v>
      </c>
      <c r="GD191" s="59">
        <f t="shared" si="134"/>
        <v>293.33333333333439</v>
      </c>
      <c r="GE191" s="59">
        <f ca="1">AVERAGE(OFFSET($GD$3,0,0,'Données projet'!$E$17+1,1))-AVERAGE(OFFSET($H$3,0,0,'Données projet'!$E$17+1,1))</f>
        <v>165.39579887388538</v>
      </c>
      <c r="GF191" s="59">
        <f t="shared" si="158"/>
        <v>155.89639262545802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9.1237417618088693E-2</v>
      </c>
      <c r="GN191" s="21">
        <f>EXP(-LN(2)/2)*GN190+(1-EXP(-LN(2)/2))/(LN(2)/2)*GH191*GK191*VLOOKUP('Données projet'!$B$17,Paramètres!$A$1:$I$89,3,0)*0.475*44/12</f>
        <v>2.2962592923694042E-23</v>
      </c>
      <c r="GO191" s="21">
        <f t="shared" si="187"/>
        <v>9.1237417618088693E-2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2.8421709430404007E-14</v>
      </c>
      <c r="GV191" s="17">
        <f>GU191*VLOOKUP('Données projet'!$B$18,Paramètres!$A$1:$I$89,3,0)*VLOOKUP('Données projet'!$B$18,Paramètres!$A$1:$I$89,5,0)</f>
        <v>3.0593128030886874E-14</v>
      </c>
      <c r="GW191" s="13">
        <f t="shared" si="188"/>
        <v>5.2753263159251616E-13</v>
      </c>
      <c r="GX191" s="20">
        <f t="shared" si="189"/>
        <v>9.7206903134409357E-13</v>
      </c>
      <c r="GY191" s="59">
        <f t="shared" si="137"/>
        <v>293.33333333333428</v>
      </c>
      <c r="GZ191" s="59">
        <f ca="1">AVERAGE(OFFSET($GY$3,0,0,'Données projet'!$E$18+1,1))-AVERAGE(OFFSET($H$3,0,0,'Données projet'!$E$18+1,1))</f>
        <v>186.60545265015247</v>
      </c>
      <c r="HA191" s="59">
        <f t="shared" si="160"/>
        <v>69.239647548491234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0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0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1.9065282685915009E-13</v>
      </c>
      <c r="P192" s="13">
        <f t="shared" si="141"/>
        <v>2.6568987209435707E-12</v>
      </c>
      <c r="Q192" s="20">
        <f t="shared" si="162"/>
        <v>4.959485612423072E-12</v>
      </c>
      <c r="R192" s="59">
        <f t="shared" si="109"/>
        <v>293.33333333333826</v>
      </c>
      <c r="S192" s="59">
        <f ca="1">AVERAGE(OFFSET($R$3,0,0,'Données projet'!$E$9+1,1))-AVERAGE(OFFSET($H$3,0,0,'Données projet'!$E$9+1,1))</f>
        <v>235.10258076192054</v>
      </c>
      <c r="T192" s="59">
        <f t="shared" si="142"/>
        <v>233.47316052603765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0.14697581390924894</v>
      </c>
      <c r="AA192" s="21">
        <f>EXP(-LN(2)/25)*AA191+(1-EXP(-LN(2)/25))/(LN(2)/25)*Calculateur!V192*Calculateur!X192*VLOOKUP('Données projet'!$B$9,Paramètres!$A$1:$I$89,3,0)*0.475*44/12</f>
        <v>0.22443451794490843</v>
      </c>
      <c r="AB192" s="21">
        <f>EXP(-LN(2)/2)*AB191+(1-EXP(-LN(2)/2))/(LN(2)/2)*V192*Y192*VLOOKUP('Données projet'!$B$9,Paramètres!$A$1:$I$89,3,0)*0.475*44/12</f>
        <v>2.8218253404285449E-23</v>
      </c>
      <c r="AC192" s="22">
        <f t="shared" si="163"/>
        <v>0.37141033185415739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2.2737367544323206E-13</v>
      </c>
      <c r="AJ192" s="13">
        <f>AI192*VLOOKUP('Données projet'!$B$10,Paramètres!$A$1:$I$89,3,0)*VLOOKUP('Données projet'!$B$10,Paramètres!$A$1:$I$89,5,0)</f>
        <v>1.2414602679200471E-13</v>
      </c>
      <c r="AK192" s="13">
        <f t="shared" si="164"/>
        <v>1.8186582995804361E-12</v>
      </c>
      <c r="AL192" s="20">
        <f t="shared" si="165"/>
        <v>3.3837175350986671E-12</v>
      </c>
      <c r="AM192" s="59">
        <f t="shared" si="113"/>
        <v>293.33333333333672</v>
      </c>
      <c r="AN192" s="59">
        <f ca="1">AVERAGE(OFFSET($AM$3,0,0,'Données projet'!$E$10+1,1))-AVERAGE(OFFSET($H$3,0,0,'Données projet'!$E$10+1,1))</f>
        <v>168.72306536277267</v>
      </c>
      <c r="AO192" s="59">
        <f t="shared" si="144"/>
        <v>203.35476578922339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0.13050706520482974</v>
      </c>
      <c r="AV192" s="21">
        <f>EXP(-LN(2)/25)*AV191+(1-EXP(-LN(2)/25))/(LN(2)/25)*Calculateur!AQ192*Calculateur!AS192*VLOOKUP('Données projet'!$B$10,Paramètres!$A$1:$I$89,3,0)*0.475*44/12</f>
        <v>0.27982991643248367</v>
      </c>
      <c r="AW192" s="21">
        <f>EXP(-LN(2)/2)*AW191+(1-EXP(-LN(2)/2))/(LN(2)/2)*AQ192*AT192*VLOOKUP('Données projet'!$B$10,Paramètres!$A$1:$I$89,3,0)*0.475*44/12</f>
        <v>2.342409683405082E-23</v>
      </c>
      <c r="AX192" s="21">
        <f t="shared" si="166"/>
        <v>0.41033698163731341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3.3992364478763198E-14</v>
      </c>
      <c r="BF192" s="13">
        <f t="shared" si="167"/>
        <v>5.790027782444094E-13</v>
      </c>
      <c r="BG192" s="20">
        <f t="shared" si="168"/>
        <v>1.0676332069095257E-12</v>
      </c>
      <c r="BH192" s="59">
        <f t="shared" si="116"/>
        <v>293.33333333333439</v>
      </c>
      <c r="BI192" s="59">
        <f ca="1">AVERAGE(OFFSET($BH$3,0,0,'Données projet'!$E$11+1,1))-AVERAGE(OFFSET($H$3,0,0,'Données projet'!$E$11+1,1))</f>
        <v>165.39579887388538</v>
      </c>
      <c r="BJ192" s="59">
        <f t="shared" si="146"/>
        <v>155.89639262545802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8.8742525635354785E-2</v>
      </c>
      <c r="BR192" s="21">
        <f>EXP(-LN(2)/2)*BR191+(1-EXP(-LN(2)/2))/(LN(2)/2)*BL192*BO192*VLOOKUP('Données projet'!$B$11,Paramètres!$A$1:$I$89,3,0)*0.475*44/12</f>
        <v>1.6237005169970287E-23</v>
      </c>
      <c r="BS192" s="22">
        <f t="shared" si="169"/>
        <v>8.8742525635354785E-2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2.8421709430404007E-14</v>
      </c>
      <c r="BZ192" s="13">
        <f>BY192*VLOOKUP('Données projet'!$B$12,Paramètres!$A$1:$I$89,3,0)*VLOOKUP('Données projet'!$B$12,Paramètres!$A$1:$I$89,5,0)</f>
        <v>2.7489477361086758E-14</v>
      </c>
      <c r="CA192" s="13">
        <f t="shared" si="170"/>
        <v>4.7995394886724981E-13</v>
      </c>
      <c r="CB192" s="20">
        <f t="shared" si="171"/>
        <v>8.8379730068101964E-13</v>
      </c>
      <c r="CC192" s="59">
        <f t="shared" si="119"/>
        <v>293.33333333333422</v>
      </c>
      <c r="CD192" s="59">
        <f ca="1">AVERAGE(OFFSET($CC$3,0,0,'Données projet'!$E$12+1,1))-AVERAGE(OFFSET($H$3,0,0,'Données projet'!$E$12+1,1))</f>
        <v>156.26368818265388</v>
      </c>
      <c r="CE192" s="59">
        <f t="shared" si="148"/>
        <v>56.347130462109817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2.8421709430404007E-14</v>
      </c>
      <c r="CU192" s="17">
        <f>CT192*VLOOKUP('Données projet'!$B$13,Paramètres!$A$1:$I$89,3,0)*VLOOKUP('Données projet'!$B$13,Paramètres!$A$1:$I$89,5,0)</f>
        <v>2.3055690689943732E-14</v>
      </c>
      <c r="CV192" s="13">
        <f t="shared" si="173"/>
        <v>4.10868481342271E-13</v>
      </c>
      <c r="CW192" s="20">
        <f t="shared" si="174"/>
        <v>7.5575126628944061E-13</v>
      </c>
      <c r="CX192" s="59">
        <f t="shared" si="122"/>
        <v>293.33333333333405</v>
      </c>
      <c r="CY192" s="59">
        <f ca="1">AVERAGE(OFFSET($CX$3,0,0,'Données projet'!$E$13+1,1))-AVERAGE(OFFSET($H$3,0,0,'Données projet'!$E$13+1,1))</f>
        <v>112.78807760743126</v>
      </c>
      <c r="CZ192" s="59">
        <f t="shared" si="150"/>
        <v>37.867745922003564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-8.5265128291212022E-14</v>
      </c>
      <c r="DP192" s="17">
        <f>DO192*VLOOKUP('Données projet'!$B$14,Paramètres!$A$1:$I$89,3,0)*VLOOKUP('Données projet'!$B$14,Paramètres!$A$1:$I$89,5,0)</f>
        <v>-5.7195848057745024E-14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107.15837202366862</v>
      </c>
      <c r="DU192" s="59">
        <f t="shared" si="152"/>
        <v>139.67031833740026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6.9005411856934956E-2</v>
      </c>
      <c r="EC192" s="21">
        <f>EXP(-LN(2)/2)*EC191+(1-EXP(-LN(2)/2))/(LN(2)/2)*DW192*DZ192*VLOOKUP('Données projet'!$B$14,Paramètres!$A$1:$I$89,3,0)*0.475*44/12</f>
        <v>7.8956042753463511E-24</v>
      </c>
      <c r="ED192" s="22">
        <f t="shared" si="178"/>
        <v>6.9005411856934956E-2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-1.1368683772161603E-13</v>
      </c>
      <c r="EK192" s="17">
        <f>EJ192*VLOOKUP('Données projet'!$B$15,Paramètres!$A$1:$I$89,3,0)*VLOOKUP('Données projet'!$B$15,Paramètres!$A$1:$I$89,5,0)</f>
        <v>-5.3205440053716299E-14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123.60520571614535</v>
      </c>
      <c r="EP192" s="59">
        <f t="shared" si="154"/>
        <v>119.00926870519527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3.7207830630846386E-2</v>
      </c>
      <c r="EW192" s="21">
        <f>EXP(-LN(2)/25)*EW191+(1-EXP(-LN(2)/25))/(LN(2)/25)*Calculateur!ER192*Calculateur!ET192*VLOOKUP('Données projet'!$B$15,Paramètres!$A$1:$I$89,3,0)*0.475*44/12</f>
        <v>5.8154387461958938E-2</v>
      </c>
      <c r="EX192" s="21">
        <f>EXP(-LN(2)/2)*EX191+(1-EXP(-LN(2)/2))/(LN(2)/2)*ER192*EU192*VLOOKUP('Données projet'!$B$15,Paramètres!$A$1:$I$89,3,0)*0.475*44/12</f>
        <v>7.1518799190406378E-24</v>
      </c>
      <c r="EY192" s="22">
        <f t="shared" si="181"/>
        <v>9.5362218092805318E-2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-2.2737367544323206E-13</v>
      </c>
      <c r="FF192" s="17">
        <f>FE192*VLOOKUP('Données projet'!$B$16,Paramètres!$A$1:$I$89,3,0)*VLOOKUP('Données projet'!$B$16,Paramètres!$A$1:$I$89,5,0)</f>
        <v>-1.0936673788819462E-13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197.66963254934603</v>
      </c>
      <c r="FK192" s="59">
        <f t="shared" si="156"/>
        <v>158.08388141976138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0.11442303120509627</v>
      </c>
      <c r="FR192" s="21">
        <f>EXP(-LN(2)/25)*FR191+(1-EXP(-LN(2)/25))/(LN(2)/25)*Calculateur!FM192*Calculateur!FO192*VLOOKUP('Données projet'!$B$16,Paramètres!$A$1:$I$89,3,0)*0.475*44/12</f>
        <v>6.4686786920061315E-2</v>
      </c>
      <c r="FS192" s="21">
        <f>EXP(-LN(2)/2)*FS191+(1-EXP(-LN(2)/2))/(LN(2)/2)*FM192*FP192*VLOOKUP('Données projet'!$B$16,Paramètres!$A$1:$I$89,3,0)*0.475*44/12</f>
        <v>9.6836603473926701E-24</v>
      </c>
      <c r="FT192" s="22">
        <f t="shared" si="184"/>
        <v>0.17910981812515758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5.6843418860808015E-14</v>
      </c>
      <c r="GA192" s="17">
        <f>FZ192*VLOOKUP('Données projet'!$B$17,Paramètres!$A$1:$I$89,3,0)*VLOOKUP('Données projet'!$B$17,Paramètres!$A$1:$I$89,5,0)</f>
        <v>3.3992364478763198E-14</v>
      </c>
      <c r="GB192" s="13">
        <f t="shared" si="185"/>
        <v>5.790027782444094E-13</v>
      </c>
      <c r="GC192" s="20">
        <f t="shared" si="186"/>
        <v>1.0676332069095257E-12</v>
      </c>
      <c r="GD192" s="59">
        <f t="shared" si="134"/>
        <v>293.33333333333439</v>
      </c>
      <c r="GE192" s="59">
        <f ca="1">AVERAGE(OFFSET($GD$3,0,0,'Données projet'!$E$17+1,1))-AVERAGE(OFFSET($H$3,0,0,'Données projet'!$E$17+1,1))</f>
        <v>165.39579887388538</v>
      </c>
      <c r="GF192" s="59">
        <f t="shared" si="158"/>
        <v>155.89639262545802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8.8742525635354785E-2</v>
      </c>
      <c r="GN192" s="21">
        <f>EXP(-LN(2)/2)*GN191+(1-EXP(-LN(2)/2))/(LN(2)/2)*GH192*GK192*VLOOKUP('Données projet'!$B$17,Paramètres!$A$1:$I$89,3,0)*0.475*44/12</f>
        <v>1.6237005169970287E-23</v>
      </c>
      <c r="GO192" s="21">
        <f t="shared" si="187"/>
        <v>8.8742525635354785E-2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2.8421709430404007E-14</v>
      </c>
      <c r="GV192" s="17">
        <f>GU192*VLOOKUP('Données projet'!$B$18,Paramètres!$A$1:$I$89,3,0)*VLOOKUP('Données projet'!$B$18,Paramètres!$A$1:$I$89,5,0)</f>
        <v>3.0593128030886874E-14</v>
      </c>
      <c r="GW192" s="13">
        <f t="shared" si="188"/>
        <v>5.2753263159251616E-13</v>
      </c>
      <c r="GX192" s="20">
        <f t="shared" si="189"/>
        <v>9.7206903134409357E-13</v>
      </c>
      <c r="GY192" s="59">
        <f t="shared" si="137"/>
        <v>293.33333333333428</v>
      </c>
      <c r="GZ192" s="59">
        <f ca="1">AVERAGE(OFFSET($GY$3,0,0,'Données projet'!$E$18+1,1))-AVERAGE(OFFSET($H$3,0,0,'Données projet'!$E$18+1,1))</f>
        <v>186.60545265015247</v>
      </c>
      <c r="HA192" s="59">
        <f t="shared" si="160"/>
        <v>69.239647548491234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0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0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1.9065282685915009E-13</v>
      </c>
      <c r="P193" s="13">
        <f t="shared" si="141"/>
        <v>2.6568987209435707E-12</v>
      </c>
      <c r="Q193" s="20">
        <f t="shared" si="162"/>
        <v>4.959485612423072E-12</v>
      </c>
      <c r="R193" s="59">
        <f t="shared" si="109"/>
        <v>293.33333333333826</v>
      </c>
      <c r="S193" s="59">
        <f ca="1">AVERAGE(OFFSET($R$3,0,0,'Données projet'!$E$9+1,1))-AVERAGE(OFFSET($H$3,0,0,'Données projet'!$E$9+1,1))</f>
        <v>235.10258076192054</v>
      </c>
      <c r="T193" s="59">
        <f t="shared" si="142"/>
        <v>233.47316052603765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0.14409370784488321</v>
      </c>
      <c r="AA193" s="21">
        <f>EXP(-LN(2)/25)*AA192+(1-EXP(-LN(2)/25))/(LN(2)/25)*Calculateur!V193*Calculateur!X193*VLOOKUP('Données projet'!$B$9,Paramètres!$A$1:$I$89,3,0)*0.475*44/12</f>
        <v>0.21829734424920655</v>
      </c>
      <c r="AB193" s="21">
        <f>EXP(-LN(2)/2)*AB192+(1-EXP(-LN(2)/2))/(LN(2)/2)*V193*Y193*VLOOKUP('Données projet'!$B$9,Paramètres!$A$1:$I$89,3,0)*0.475*44/12</f>
        <v>1.9953318335410621E-23</v>
      </c>
      <c r="AC193" s="22">
        <f t="shared" si="163"/>
        <v>0.36239105209408973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2.2737367544323206E-13</v>
      </c>
      <c r="AJ193" s="13">
        <f>AI193*VLOOKUP('Données projet'!$B$10,Paramètres!$A$1:$I$89,3,0)*VLOOKUP('Données projet'!$B$10,Paramètres!$A$1:$I$89,5,0)</f>
        <v>1.2414602679200471E-13</v>
      </c>
      <c r="AK193" s="13">
        <f t="shared" si="164"/>
        <v>1.8186582995804361E-12</v>
      </c>
      <c r="AL193" s="20">
        <f t="shared" si="165"/>
        <v>3.3837175350986671E-12</v>
      </c>
      <c r="AM193" s="59">
        <f t="shared" si="113"/>
        <v>293.33333333333672</v>
      </c>
      <c r="AN193" s="59">
        <f ca="1">AVERAGE(OFFSET($AM$3,0,0,'Données projet'!$E$10+1,1))-AVERAGE(OFFSET($H$3,0,0,'Données projet'!$E$10+1,1))</f>
        <v>168.72306536277267</v>
      </c>
      <c r="AO193" s="59">
        <f t="shared" si="144"/>
        <v>203.35476578922339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0.12794790125761282</v>
      </c>
      <c r="AV193" s="21">
        <f>EXP(-LN(2)/25)*AV192+(1-EXP(-LN(2)/25))/(LN(2)/25)*Calculateur!AQ193*Calculateur!AS193*VLOOKUP('Données projet'!$B$10,Paramètres!$A$1:$I$89,3,0)*0.475*44/12</f>
        <v>0.27217795265202166</v>
      </c>
      <c r="AW193" s="21">
        <f>EXP(-LN(2)/2)*AW192+(1-EXP(-LN(2)/2))/(LN(2)/2)*AQ193*AT193*VLOOKUP('Données projet'!$B$10,Paramètres!$A$1:$I$89,3,0)*0.475*44/12</f>
        <v>1.6563337714527673E-23</v>
      </c>
      <c r="AX193" s="21">
        <f t="shared" si="166"/>
        <v>0.40012585390963451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3.3992364478763198E-14</v>
      </c>
      <c r="BF193" s="13">
        <f t="shared" si="167"/>
        <v>5.790027782444094E-13</v>
      </c>
      <c r="BG193" s="20">
        <f t="shared" si="168"/>
        <v>1.0676332069095257E-12</v>
      </c>
      <c r="BH193" s="59">
        <f t="shared" si="116"/>
        <v>293.33333333333439</v>
      </c>
      <c r="BI193" s="59">
        <f ca="1">AVERAGE(OFFSET($BH$3,0,0,'Données projet'!$E$11+1,1))-AVERAGE(OFFSET($H$3,0,0,'Données projet'!$E$11+1,1))</f>
        <v>165.39579887388538</v>
      </c>
      <c r="BJ193" s="59">
        <f t="shared" si="146"/>
        <v>155.89639262545802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8.6315856605089405E-2</v>
      </c>
      <c r="BR193" s="21">
        <f>EXP(-LN(2)/2)*BR192+(1-EXP(-LN(2)/2))/(LN(2)/2)*BL193*BO193*VLOOKUP('Données projet'!$B$11,Paramètres!$A$1:$I$89,3,0)*0.475*44/12</f>
        <v>1.1481296461847021E-23</v>
      </c>
      <c r="BS193" s="22">
        <f t="shared" si="169"/>
        <v>8.6315856605089405E-2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2.8421709430404007E-14</v>
      </c>
      <c r="BZ193" s="13">
        <f>BY193*VLOOKUP('Données projet'!$B$12,Paramètres!$A$1:$I$89,3,0)*VLOOKUP('Données projet'!$B$12,Paramètres!$A$1:$I$89,5,0)</f>
        <v>2.7489477361086758E-14</v>
      </c>
      <c r="CA193" s="13">
        <f t="shared" si="170"/>
        <v>4.7995394886724981E-13</v>
      </c>
      <c r="CB193" s="20">
        <f t="shared" si="171"/>
        <v>8.8379730068101964E-13</v>
      </c>
      <c r="CC193" s="59">
        <f t="shared" si="119"/>
        <v>293.33333333333422</v>
      </c>
      <c r="CD193" s="59">
        <f ca="1">AVERAGE(OFFSET($CC$3,0,0,'Données projet'!$E$12+1,1))-AVERAGE(OFFSET($H$3,0,0,'Données projet'!$E$12+1,1))</f>
        <v>156.26368818265388</v>
      </c>
      <c r="CE193" s="59">
        <f t="shared" si="148"/>
        <v>56.347130462109817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2.8421709430404007E-14</v>
      </c>
      <c r="CU193" s="17">
        <f>CT193*VLOOKUP('Données projet'!$B$13,Paramètres!$A$1:$I$89,3,0)*VLOOKUP('Données projet'!$B$13,Paramètres!$A$1:$I$89,5,0)</f>
        <v>2.3055690689943732E-14</v>
      </c>
      <c r="CV193" s="13">
        <f t="shared" si="173"/>
        <v>4.10868481342271E-13</v>
      </c>
      <c r="CW193" s="20">
        <f t="shared" si="174"/>
        <v>7.5575126628944061E-13</v>
      </c>
      <c r="CX193" s="59">
        <f t="shared" si="122"/>
        <v>293.33333333333405</v>
      </c>
      <c r="CY193" s="59">
        <f ca="1">AVERAGE(OFFSET($CX$3,0,0,'Données projet'!$E$13+1,1))-AVERAGE(OFFSET($H$3,0,0,'Données projet'!$E$13+1,1))</f>
        <v>112.78807760743126</v>
      </c>
      <c r="CZ193" s="59">
        <f t="shared" si="150"/>
        <v>37.867745922003564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-8.5265128291212022E-14</v>
      </c>
      <c r="DP193" s="17">
        <f>DO193*VLOOKUP('Données projet'!$B$14,Paramètres!$A$1:$I$89,3,0)*VLOOKUP('Données projet'!$B$14,Paramètres!$A$1:$I$89,5,0)</f>
        <v>-5.7195848057745024E-14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107.15837202366862</v>
      </c>
      <c r="DU193" s="59">
        <f t="shared" si="152"/>
        <v>139.67031833740026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6.7118455240870178E-2</v>
      </c>
      <c r="EC193" s="21">
        <f>EXP(-LN(2)/2)*EC192+(1-EXP(-LN(2)/2))/(LN(2)/2)*DW193*DZ193*VLOOKUP('Données projet'!$B$14,Paramètres!$A$1:$I$89,3,0)*0.475*44/12</f>
        <v>5.5830353246629015E-24</v>
      </c>
      <c r="ED193" s="22">
        <f t="shared" si="178"/>
        <v>6.7118455240870178E-2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-1.1368683772161603E-13</v>
      </c>
      <c r="EK193" s="17">
        <f>EJ193*VLOOKUP('Données projet'!$B$15,Paramètres!$A$1:$I$89,3,0)*VLOOKUP('Données projet'!$B$15,Paramètres!$A$1:$I$89,5,0)</f>
        <v>-5.3205440053716299E-14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123.60520571614535</v>
      </c>
      <c r="EP193" s="59">
        <f t="shared" si="154"/>
        <v>119.00926870519527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3.6478207766711276E-2</v>
      </c>
      <c r="EW193" s="21">
        <f>EXP(-LN(2)/25)*EW192+(1-EXP(-LN(2)/25))/(LN(2)/25)*Calculateur!ER193*Calculateur!ET193*VLOOKUP('Données projet'!$B$15,Paramètres!$A$1:$I$89,3,0)*0.475*44/12</f>
        <v>5.6564152678605345E-2</v>
      </c>
      <c r="EX193" s="21">
        <f>EXP(-LN(2)/2)*EX192+(1-EXP(-LN(2)/2))/(LN(2)/2)*ER193*EU193*VLOOKUP('Données projet'!$B$15,Paramètres!$A$1:$I$89,3,0)*0.475*44/12</f>
        <v>5.0571427889855316E-24</v>
      </c>
      <c r="EY193" s="22">
        <f t="shared" si="181"/>
        <v>9.3042360445316621E-2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-2.2737367544323206E-13</v>
      </c>
      <c r="FF193" s="17">
        <f>FE193*VLOOKUP('Données projet'!$B$16,Paramètres!$A$1:$I$89,3,0)*VLOOKUP('Données projet'!$B$16,Paramètres!$A$1:$I$89,5,0)</f>
        <v>-1.0936673788819462E-13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197.66963254934603</v>
      </c>
      <c r="FK193" s="59">
        <f t="shared" si="156"/>
        <v>158.08388141976138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0.11217926535432206</v>
      </c>
      <c r="FR193" s="21">
        <f>EXP(-LN(2)/25)*FR192+(1-EXP(-LN(2)/25))/(LN(2)/25)*Calculateur!FM193*Calculateur!FO193*VLOOKUP('Données projet'!$B$16,Paramètres!$A$1:$I$89,3,0)*0.475*44/12</f>
        <v>6.2917923330001957E-2</v>
      </c>
      <c r="FS193" s="21">
        <f>EXP(-LN(2)/2)*FS192+(1-EXP(-LN(2)/2))/(LN(2)/2)*FM193*FP193*VLOOKUP('Données projet'!$B$16,Paramètres!$A$1:$I$89,3,0)*0.475*44/12</f>
        <v>6.8473818983486354E-24</v>
      </c>
      <c r="FT193" s="22">
        <f t="shared" si="184"/>
        <v>0.175097188684324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5.6843418860808015E-14</v>
      </c>
      <c r="GA193" s="17">
        <f>FZ193*VLOOKUP('Données projet'!$B$17,Paramètres!$A$1:$I$89,3,0)*VLOOKUP('Données projet'!$B$17,Paramètres!$A$1:$I$89,5,0)</f>
        <v>3.3992364478763198E-14</v>
      </c>
      <c r="GB193" s="13">
        <f t="shared" si="185"/>
        <v>5.790027782444094E-13</v>
      </c>
      <c r="GC193" s="20">
        <f t="shared" si="186"/>
        <v>1.0676332069095257E-12</v>
      </c>
      <c r="GD193" s="59">
        <f t="shared" si="134"/>
        <v>293.33333333333439</v>
      </c>
      <c r="GE193" s="59">
        <f ca="1">AVERAGE(OFFSET($GD$3,0,0,'Données projet'!$E$17+1,1))-AVERAGE(OFFSET($H$3,0,0,'Données projet'!$E$17+1,1))</f>
        <v>165.39579887388538</v>
      </c>
      <c r="GF193" s="59">
        <f t="shared" si="158"/>
        <v>155.89639262545802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8.6315856605089405E-2</v>
      </c>
      <c r="GN193" s="21">
        <f>EXP(-LN(2)/2)*GN192+(1-EXP(-LN(2)/2))/(LN(2)/2)*GH193*GK193*VLOOKUP('Données projet'!$B$17,Paramètres!$A$1:$I$89,3,0)*0.475*44/12</f>
        <v>1.1481296461847021E-23</v>
      </c>
      <c r="GO193" s="21">
        <f t="shared" si="187"/>
        <v>8.6315856605089405E-2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2.8421709430404007E-14</v>
      </c>
      <c r="GV193" s="17">
        <f>GU193*VLOOKUP('Données projet'!$B$18,Paramètres!$A$1:$I$89,3,0)*VLOOKUP('Données projet'!$B$18,Paramètres!$A$1:$I$89,5,0)</f>
        <v>3.0593128030886874E-14</v>
      </c>
      <c r="GW193" s="13">
        <f t="shared" si="188"/>
        <v>5.2753263159251616E-13</v>
      </c>
      <c r="GX193" s="20">
        <f t="shared" si="189"/>
        <v>9.7206903134409357E-13</v>
      </c>
      <c r="GY193" s="59">
        <f t="shared" si="137"/>
        <v>293.33333333333428</v>
      </c>
      <c r="GZ193" s="59">
        <f ca="1">AVERAGE(OFFSET($GY$3,0,0,'Données projet'!$E$18+1,1))-AVERAGE(OFFSET($H$3,0,0,'Données projet'!$E$18+1,1))</f>
        <v>186.60545265015247</v>
      </c>
      <c r="HA193" s="59">
        <f t="shared" si="160"/>
        <v>69.239647548491234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0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0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1.9065282685915009E-13</v>
      </c>
      <c r="P194" s="13">
        <f t="shared" si="141"/>
        <v>2.6568987209435707E-12</v>
      </c>
      <c r="Q194" s="20">
        <f t="shared" si="162"/>
        <v>4.959485612423072E-12</v>
      </c>
      <c r="R194" s="59">
        <f t="shared" si="109"/>
        <v>293.33333333333826</v>
      </c>
      <c r="S194" s="59">
        <f ca="1">AVERAGE(OFFSET($R$3,0,0,'Données projet'!$E$9+1,1))-AVERAGE(OFFSET($H$3,0,0,'Données projet'!$E$9+1,1))</f>
        <v>235.10258076192054</v>
      </c>
      <c r="T194" s="59">
        <f t="shared" si="142"/>
        <v>233.47316052603765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0.14126811812252857</v>
      </c>
      <c r="AA194" s="21">
        <f>EXP(-LN(2)/25)*AA193+(1-EXP(-LN(2)/25))/(LN(2)/25)*Calculateur!V194*Calculateur!X194*VLOOKUP('Données projet'!$B$9,Paramètres!$A$1:$I$89,3,0)*0.475*44/12</f>
        <v>0.21232799189095358</v>
      </c>
      <c r="AB194" s="21">
        <f>EXP(-LN(2)/2)*AB193+(1-EXP(-LN(2)/2))/(LN(2)/2)*V194*Y194*VLOOKUP('Données projet'!$B$9,Paramètres!$A$1:$I$89,3,0)*0.475*44/12</f>
        <v>1.4109126702142724E-23</v>
      </c>
      <c r="AC194" s="22">
        <f t="shared" si="163"/>
        <v>0.35359611001348212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2.2737367544323206E-13</v>
      </c>
      <c r="AJ194" s="13">
        <f>AI194*VLOOKUP('Données projet'!$B$10,Paramètres!$A$1:$I$89,3,0)*VLOOKUP('Données projet'!$B$10,Paramètres!$A$1:$I$89,5,0)</f>
        <v>1.2414602679200471E-13</v>
      </c>
      <c r="AK194" s="13">
        <f t="shared" si="164"/>
        <v>1.8186582995804361E-12</v>
      </c>
      <c r="AL194" s="20">
        <f t="shared" si="165"/>
        <v>3.3837175350986671E-12</v>
      </c>
      <c r="AM194" s="59">
        <f t="shared" si="113"/>
        <v>293.33333333333672</v>
      </c>
      <c r="AN194" s="59">
        <f ca="1">AVERAGE(OFFSET($AM$3,0,0,'Données projet'!$E$10+1,1))-AVERAGE(OFFSET($H$3,0,0,'Données projet'!$E$10+1,1))</f>
        <v>168.72306536277267</v>
      </c>
      <c r="AO194" s="59">
        <f t="shared" si="144"/>
        <v>203.35476578922339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0.12543892095446493</v>
      </c>
      <c r="AV194" s="21">
        <f>EXP(-LN(2)/25)*AV193+(1-EXP(-LN(2)/25))/(LN(2)/25)*Calculateur!AQ194*Calculateur!AS194*VLOOKUP('Données projet'!$B$10,Paramètres!$A$1:$I$89,3,0)*0.475*44/12</f>
        <v>0.26473523222353568</v>
      </c>
      <c r="AW194" s="21">
        <f>EXP(-LN(2)/2)*AW193+(1-EXP(-LN(2)/2))/(LN(2)/2)*AQ194*AT194*VLOOKUP('Données projet'!$B$10,Paramètres!$A$1:$I$89,3,0)*0.475*44/12</f>
        <v>1.171204841702541E-23</v>
      </c>
      <c r="AX194" s="21">
        <f t="shared" si="166"/>
        <v>0.39017415317800064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3.3992364478763198E-14</v>
      </c>
      <c r="BF194" s="13">
        <f t="shared" si="167"/>
        <v>5.790027782444094E-13</v>
      </c>
      <c r="BG194" s="20">
        <f t="shared" si="168"/>
        <v>1.0676332069095257E-12</v>
      </c>
      <c r="BH194" s="59">
        <f t="shared" si="116"/>
        <v>293.33333333333439</v>
      </c>
      <c r="BI194" s="59">
        <f ca="1">AVERAGE(OFFSET($BH$3,0,0,'Données projet'!$E$11+1,1))-AVERAGE(OFFSET($H$3,0,0,'Données projet'!$E$11+1,1))</f>
        <v>165.39579887388538</v>
      </c>
      <c r="BJ194" s="59">
        <f t="shared" si="146"/>
        <v>155.89639262545802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8.3955544967069612E-2</v>
      </c>
      <c r="BR194" s="21">
        <f>EXP(-LN(2)/2)*BR193+(1-EXP(-LN(2)/2))/(LN(2)/2)*BL194*BO194*VLOOKUP('Données projet'!$B$11,Paramètres!$A$1:$I$89,3,0)*0.475*44/12</f>
        <v>8.1185025849851435E-24</v>
      </c>
      <c r="BS194" s="22">
        <f t="shared" si="169"/>
        <v>8.3955544967069612E-2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2.8421709430404007E-14</v>
      </c>
      <c r="BZ194" s="13">
        <f>BY194*VLOOKUP('Données projet'!$B$12,Paramètres!$A$1:$I$89,3,0)*VLOOKUP('Données projet'!$B$12,Paramètres!$A$1:$I$89,5,0)</f>
        <v>2.7489477361086758E-14</v>
      </c>
      <c r="CA194" s="13">
        <f t="shared" si="170"/>
        <v>4.7995394886724981E-13</v>
      </c>
      <c r="CB194" s="20">
        <f t="shared" si="171"/>
        <v>8.8379730068101964E-13</v>
      </c>
      <c r="CC194" s="59">
        <f t="shared" si="119"/>
        <v>293.33333333333422</v>
      </c>
      <c r="CD194" s="59">
        <f ca="1">AVERAGE(OFFSET($CC$3,0,0,'Données projet'!$E$12+1,1))-AVERAGE(OFFSET($H$3,0,0,'Données projet'!$E$12+1,1))</f>
        <v>156.26368818265388</v>
      </c>
      <c r="CE194" s="59">
        <f t="shared" si="148"/>
        <v>56.347130462109817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2.8421709430404007E-14</v>
      </c>
      <c r="CU194" s="17">
        <f>CT194*VLOOKUP('Données projet'!$B$13,Paramètres!$A$1:$I$89,3,0)*VLOOKUP('Données projet'!$B$13,Paramètres!$A$1:$I$89,5,0)</f>
        <v>2.3055690689943732E-14</v>
      </c>
      <c r="CV194" s="13">
        <f t="shared" si="173"/>
        <v>4.10868481342271E-13</v>
      </c>
      <c r="CW194" s="20">
        <f t="shared" si="174"/>
        <v>7.5575126628944061E-13</v>
      </c>
      <c r="CX194" s="59">
        <f t="shared" si="122"/>
        <v>293.33333333333405</v>
      </c>
      <c r="CY194" s="59">
        <f ca="1">AVERAGE(OFFSET($CX$3,0,0,'Données projet'!$E$13+1,1))-AVERAGE(OFFSET($H$3,0,0,'Données projet'!$E$13+1,1))</f>
        <v>112.78807760743126</v>
      </c>
      <c r="CZ194" s="59">
        <f t="shared" si="150"/>
        <v>37.867745922003564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-8.5265128291212022E-14</v>
      </c>
      <c r="DP194" s="17">
        <f>DO194*VLOOKUP('Données projet'!$B$14,Paramètres!$A$1:$I$89,3,0)*VLOOKUP('Données projet'!$B$14,Paramètres!$A$1:$I$89,5,0)</f>
        <v>-5.7195848057745024E-14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107.15837202366862</v>
      </c>
      <c r="DU194" s="59">
        <f t="shared" si="152"/>
        <v>139.67031833740026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6.5283097552702424E-2</v>
      </c>
      <c r="EC194" s="21">
        <f>EXP(-LN(2)/2)*EC193+(1-EXP(-LN(2)/2))/(LN(2)/2)*DW194*DZ194*VLOOKUP('Données projet'!$B$14,Paramètres!$A$1:$I$89,3,0)*0.475*44/12</f>
        <v>3.9478021376731756E-24</v>
      </c>
      <c r="ED194" s="22">
        <f t="shared" si="178"/>
        <v>6.5283097552702424E-2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-1.1368683772161603E-13</v>
      </c>
      <c r="EK194" s="17">
        <f>EJ194*VLOOKUP('Données projet'!$B$15,Paramètres!$A$1:$I$89,3,0)*VLOOKUP('Données projet'!$B$15,Paramètres!$A$1:$I$89,5,0)</f>
        <v>-5.3205440053716299E-14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123.60520571614535</v>
      </c>
      <c r="EP194" s="59">
        <f t="shared" si="154"/>
        <v>119.00926870519527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3.5762892361915849E-2</v>
      </c>
      <c r="EW194" s="21">
        <f>EXP(-LN(2)/25)*EW193+(1-EXP(-LN(2)/25))/(LN(2)/25)*Calculateur!ER194*Calculateur!ET194*VLOOKUP('Données projet'!$B$15,Paramètres!$A$1:$I$89,3,0)*0.475*44/12</f>
        <v>5.5017402949029369E-2</v>
      </c>
      <c r="EX194" s="21">
        <f>EXP(-LN(2)/2)*EX193+(1-EXP(-LN(2)/2))/(LN(2)/2)*ER194*EU194*VLOOKUP('Données projet'!$B$15,Paramètres!$A$1:$I$89,3,0)*0.475*44/12</f>
        <v>3.5759399595203189E-24</v>
      </c>
      <c r="EY194" s="22">
        <f t="shared" si="181"/>
        <v>9.0780295310945225E-2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-2.2737367544323206E-13</v>
      </c>
      <c r="FF194" s="17">
        <f>FE194*VLOOKUP('Données projet'!$B$16,Paramètres!$A$1:$I$89,3,0)*VLOOKUP('Données projet'!$B$16,Paramètres!$A$1:$I$89,5,0)</f>
        <v>-1.0936673788819462E-13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197.66963254934603</v>
      </c>
      <c r="FK194" s="59">
        <f t="shared" si="156"/>
        <v>158.08388141976138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0.1099794983833195</v>
      </c>
      <c r="FR194" s="21">
        <f>EXP(-LN(2)/25)*FR193+(1-EXP(-LN(2)/25))/(LN(2)/25)*Calculateur!FM194*Calculateur!FO194*VLOOKUP('Données projet'!$B$16,Paramètres!$A$1:$I$89,3,0)*0.475*44/12</f>
        <v>6.1197429407833265E-2</v>
      </c>
      <c r="FS194" s="21">
        <f>EXP(-LN(2)/2)*FS193+(1-EXP(-LN(2)/2))/(LN(2)/2)*FM194*FP194*VLOOKUP('Données projet'!$B$16,Paramètres!$A$1:$I$89,3,0)*0.475*44/12</f>
        <v>4.8418301736963351E-24</v>
      </c>
      <c r="FT194" s="22">
        <f t="shared" si="184"/>
        <v>0.17117692779115276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5.6843418860808015E-14</v>
      </c>
      <c r="GA194" s="17">
        <f>FZ194*VLOOKUP('Données projet'!$B$17,Paramètres!$A$1:$I$89,3,0)*VLOOKUP('Données projet'!$B$17,Paramètres!$A$1:$I$89,5,0)</f>
        <v>3.3992364478763198E-14</v>
      </c>
      <c r="GB194" s="13">
        <f t="shared" si="185"/>
        <v>5.790027782444094E-13</v>
      </c>
      <c r="GC194" s="20">
        <f t="shared" si="186"/>
        <v>1.0676332069095257E-12</v>
      </c>
      <c r="GD194" s="59">
        <f t="shared" si="134"/>
        <v>293.33333333333439</v>
      </c>
      <c r="GE194" s="59">
        <f ca="1">AVERAGE(OFFSET($GD$3,0,0,'Données projet'!$E$17+1,1))-AVERAGE(OFFSET($H$3,0,0,'Données projet'!$E$17+1,1))</f>
        <v>165.39579887388538</v>
      </c>
      <c r="GF194" s="59">
        <f t="shared" si="158"/>
        <v>155.89639262545802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8.3955544967069612E-2</v>
      </c>
      <c r="GN194" s="21">
        <f>EXP(-LN(2)/2)*GN193+(1-EXP(-LN(2)/2))/(LN(2)/2)*GH194*GK194*VLOOKUP('Données projet'!$B$17,Paramètres!$A$1:$I$89,3,0)*0.475*44/12</f>
        <v>8.1185025849851435E-24</v>
      </c>
      <c r="GO194" s="21">
        <f t="shared" si="187"/>
        <v>8.3955544967069612E-2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2.8421709430404007E-14</v>
      </c>
      <c r="GV194" s="17">
        <f>GU194*VLOOKUP('Données projet'!$B$18,Paramètres!$A$1:$I$89,3,0)*VLOOKUP('Données projet'!$B$18,Paramètres!$A$1:$I$89,5,0)</f>
        <v>3.0593128030886874E-14</v>
      </c>
      <c r="GW194" s="13">
        <f t="shared" si="188"/>
        <v>5.2753263159251616E-13</v>
      </c>
      <c r="GX194" s="20">
        <f t="shared" si="189"/>
        <v>9.7206903134409357E-13</v>
      </c>
      <c r="GY194" s="59">
        <f t="shared" si="137"/>
        <v>293.33333333333428</v>
      </c>
      <c r="GZ194" s="59">
        <f ca="1">AVERAGE(OFFSET($GY$3,0,0,'Données projet'!$E$18+1,1))-AVERAGE(OFFSET($H$3,0,0,'Données projet'!$E$18+1,1))</f>
        <v>186.60545265015247</v>
      </c>
      <c r="HA194" s="59">
        <f t="shared" si="160"/>
        <v>69.239647548491234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0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0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1.9065282685915009E-13</v>
      </c>
      <c r="P195" s="13">
        <f t="shared" si="141"/>
        <v>2.6568987209435707E-12</v>
      </c>
      <c r="Q195" s="20">
        <f t="shared" si="162"/>
        <v>4.959485612423072E-12</v>
      </c>
      <c r="R195" s="59">
        <f t="shared" ref="R195:R203" si="191">Q195+(I195+J195)*44/12</f>
        <v>293.33333333333826</v>
      </c>
      <c r="S195" s="59">
        <f ca="1">AVERAGE(OFFSET($R$3,0,0,'Données projet'!$E$9+1,1))-AVERAGE(OFFSET($H$3,0,0,'Données projet'!$E$9+1,1))</f>
        <v>235.10258076192054</v>
      </c>
      <c r="T195" s="59">
        <f t="shared" si="142"/>
        <v>233.47316052603765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0.13849793649118974</v>
      </c>
      <c r="AA195" s="21">
        <f>EXP(-LN(2)/25)*AA194+(1-EXP(-LN(2)/25))/(LN(2)/25)*Calculateur!V195*Calculateur!X195*VLOOKUP('Données projet'!$B$9,Paramètres!$A$1:$I$89,3,0)*0.475*44/12</f>
        <v>0.20652187178685164</v>
      </c>
      <c r="AB195" s="21">
        <f>EXP(-LN(2)/2)*AB194+(1-EXP(-LN(2)/2))/(LN(2)/2)*V195*Y195*VLOOKUP('Données projet'!$B$9,Paramètres!$A$1:$I$89,3,0)*0.475*44/12</f>
        <v>9.9766591677053105E-24</v>
      </c>
      <c r="AC195" s="22">
        <f t="shared" si="163"/>
        <v>0.34501980827804135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2.2737367544323206E-13</v>
      </c>
      <c r="AJ195" s="13">
        <f>AI195*VLOOKUP('Données projet'!$B$10,Paramètres!$A$1:$I$89,3,0)*VLOOKUP('Données projet'!$B$10,Paramètres!$A$1:$I$89,5,0)</f>
        <v>1.2414602679200471E-13</v>
      </c>
      <c r="AK195" s="13">
        <f t="shared" si="164"/>
        <v>1.8186582995804361E-12</v>
      </c>
      <c r="AL195" s="20">
        <f t="shared" si="165"/>
        <v>3.3837175350986671E-12</v>
      </c>
      <c r="AM195" s="59">
        <f t="shared" si="113"/>
        <v>293.33333333333672</v>
      </c>
      <c r="AN195" s="59">
        <f ca="1">AVERAGE(OFFSET($AM$3,0,0,'Données projet'!$E$10+1,1))-AVERAGE(OFFSET($H$3,0,0,'Données projet'!$E$10+1,1))</f>
        <v>168.72306536277267</v>
      </c>
      <c r="AO195" s="59">
        <f t="shared" si="144"/>
        <v>203.35476578922339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0.1229791402247349</v>
      </c>
      <c r="AV195" s="21">
        <f>EXP(-LN(2)/25)*AV194+(1-EXP(-LN(2)/25))/(LN(2)/25)*Calculateur!AQ195*Calculateur!AS195*VLOOKUP('Données projet'!$B$10,Paramètres!$A$1:$I$89,3,0)*0.475*44/12</f>
        <v>0.25749603337656229</v>
      </c>
      <c r="AW195" s="21">
        <f>EXP(-LN(2)/2)*AW194+(1-EXP(-LN(2)/2))/(LN(2)/2)*AQ195*AT195*VLOOKUP('Données projet'!$B$10,Paramètres!$A$1:$I$89,3,0)*0.475*44/12</f>
        <v>8.2816688572638366E-24</v>
      </c>
      <c r="AX195" s="21">
        <f t="shared" si="166"/>
        <v>0.38047517360129718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3.3992364478763198E-14</v>
      </c>
      <c r="BF195" s="13">
        <f t="shared" si="167"/>
        <v>5.790027782444094E-13</v>
      </c>
      <c r="BG195" s="20">
        <f t="shared" si="168"/>
        <v>1.0676332069095257E-12</v>
      </c>
      <c r="BH195" s="59">
        <f t="shared" si="116"/>
        <v>293.33333333333439</v>
      </c>
      <c r="BI195" s="59">
        <f ca="1">AVERAGE(OFFSET($BH$3,0,0,'Données projet'!$E$11+1,1))-AVERAGE(OFFSET($H$3,0,0,'Données projet'!$E$11+1,1))</f>
        <v>165.39579887388538</v>
      </c>
      <c r="BJ195" s="59">
        <f t="shared" si="146"/>
        <v>155.89639262545802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8.1659776174914864E-2</v>
      </c>
      <c r="BR195" s="21">
        <f>EXP(-LN(2)/2)*BR194+(1-EXP(-LN(2)/2))/(LN(2)/2)*BL195*BO195*VLOOKUP('Données projet'!$B$11,Paramètres!$A$1:$I$89,3,0)*0.475*44/12</f>
        <v>5.7406482309235104E-24</v>
      </c>
      <c r="BS195" s="22">
        <f t="shared" si="169"/>
        <v>8.1659776174914864E-2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2.8421709430404007E-14</v>
      </c>
      <c r="BZ195" s="13">
        <f>BY195*VLOOKUP('Données projet'!$B$12,Paramètres!$A$1:$I$89,3,0)*VLOOKUP('Données projet'!$B$12,Paramètres!$A$1:$I$89,5,0)</f>
        <v>2.7489477361086758E-14</v>
      </c>
      <c r="CA195" s="13">
        <f t="shared" si="170"/>
        <v>4.7995394886724981E-13</v>
      </c>
      <c r="CB195" s="20">
        <f t="shared" si="171"/>
        <v>8.8379730068101964E-13</v>
      </c>
      <c r="CC195" s="59">
        <f t="shared" si="119"/>
        <v>293.33333333333422</v>
      </c>
      <c r="CD195" s="59">
        <f ca="1">AVERAGE(OFFSET($CC$3,0,0,'Données projet'!$E$12+1,1))-AVERAGE(OFFSET($H$3,0,0,'Données projet'!$E$12+1,1))</f>
        <v>156.26368818265388</v>
      </c>
      <c r="CE195" s="59">
        <f t="shared" si="148"/>
        <v>56.347130462109817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2.8421709430404007E-14</v>
      </c>
      <c r="CU195" s="17">
        <f>CT195*VLOOKUP('Données projet'!$B$13,Paramètres!$A$1:$I$89,3,0)*VLOOKUP('Données projet'!$B$13,Paramètres!$A$1:$I$89,5,0)</f>
        <v>2.3055690689943732E-14</v>
      </c>
      <c r="CV195" s="13">
        <f t="shared" si="173"/>
        <v>4.10868481342271E-13</v>
      </c>
      <c r="CW195" s="20">
        <f t="shared" si="174"/>
        <v>7.5575126628944061E-13</v>
      </c>
      <c r="CX195" s="59">
        <f t="shared" si="122"/>
        <v>293.33333333333405</v>
      </c>
      <c r="CY195" s="59">
        <f ca="1">AVERAGE(OFFSET($CX$3,0,0,'Données projet'!$E$13+1,1))-AVERAGE(OFFSET($H$3,0,0,'Données projet'!$E$13+1,1))</f>
        <v>112.78807760743126</v>
      </c>
      <c r="CZ195" s="59">
        <f t="shared" si="150"/>
        <v>37.867745922003564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-8.5265128291212022E-14</v>
      </c>
      <c r="DP195" s="17">
        <f>DO195*VLOOKUP('Données projet'!$B$14,Paramètres!$A$1:$I$89,3,0)*VLOOKUP('Données projet'!$B$14,Paramètres!$A$1:$I$89,5,0)</f>
        <v>-5.7195848057745024E-14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107.15837202366862</v>
      </c>
      <c r="DU195" s="59">
        <f t="shared" si="152"/>
        <v>139.67031833740026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6.349792781703488E-2</v>
      </c>
      <c r="EC195" s="21">
        <f>EXP(-LN(2)/2)*EC194+(1-EXP(-LN(2)/2))/(LN(2)/2)*DW195*DZ195*VLOOKUP('Données projet'!$B$14,Paramètres!$A$1:$I$89,3,0)*0.475*44/12</f>
        <v>2.7915176623314508E-24</v>
      </c>
      <c r="ED195" s="22">
        <f t="shared" si="178"/>
        <v>6.349792781703488E-2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-1.1368683772161603E-13</v>
      </c>
      <c r="EK195" s="17">
        <f>EJ195*VLOOKUP('Données projet'!$B$15,Paramètres!$A$1:$I$89,3,0)*VLOOKUP('Données projet'!$B$15,Paramètres!$A$1:$I$89,5,0)</f>
        <v>-5.3205440053716299E-14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123.60520571614535</v>
      </c>
      <c r="EP195" s="59">
        <f t="shared" si="154"/>
        <v>119.00926870519527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3.5061603855909146E-2</v>
      </c>
      <c r="EW195" s="21">
        <f>EXP(-LN(2)/25)*EW194+(1-EXP(-LN(2)/25))/(LN(2)/25)*Calculateur!ER195*Calculateur!ET195*VLOOKUP('Données projet'!$B$15,Paramètres!$A$1:$I$89,3,0)*0.475*44/12</f>
        <v>5.3512949172148681E-2</v>
      </c>
      <c r="EX195" s="21">
        <f>EXP(-LN(2)/2)*EX194+(1-EXP(-LN(2)/2))/(LN(2)/2)*ER195*EU195*VLOOKUP('Données projet'!$B$15,Paramètres!$A$1:$I$89,3,0)*0.475*44/12</f>
        <v>2.5285713944927658E-24</v>
      </c>
      <c r="EY195" s="22">
        <f t="shared" si="181"/>
        <v>8.8574553028057834E-2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-2.2737367544323206E-13</v>
      </c>
      <c r="FF195" s="17">
        <f>FE195*VLOOKUP('Données projet'!$B$16,Paramètres!$A$1:$I$89,3,0)*VLOOKUP('Données projet'!$B$16,Paramètres!$A$1:$I$89,5,0)</f>
        <v>-1.0936673788819462E-13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197.66963254934603</v>
      </c>
      <c r="FK195" s="59">
        <f t="shared" si="156"/>
        <v>158.08388141976138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0.10782286750089293</v>
      </c>
      <c r="FR195" s="21">
        <f>EXP(-LN(2)/25)*FR194+(1-EXP(-LN(2)/25))/(LN(2)/25)*Calculateur!FM195*Calculateur!FO195*VLOOKUP('Données projet'!$B$16,Paramètres!$A$1:$I$89,3,0)*0.475*44/12</f>
        <v>5.9523982482443123E-2</v>
      </c>
      <c r="FS195" s="21">
        <f>EXP(-LN(2)/2)*FS194+(1-EXP(-LN(2)/2))/(LN(2)/2)*FM195*FP195*VLOOKUP('Données projet'!$B$16,Paramètres!$A$1:$I$89,3,0)*0.475*44/12</f>
        <v>3.4236909491743177E-24</v>
      </c>
      <c r="FT195" s="22">
        <f t="shared" si="184"/>
        <v>0.16734684998333604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5.6843418860808015E-14</v>
      </c>
      <c r="GA195" s="17">
        <f>FZ195*VLOOKUP('Données projet'!$B$17,Paramètres!$A$1:$I$89,3,0)*VLOOKUP('Données projet'!$B$17,Paramètres!$A$1:$I$89,5,0)</f>
        <v>3.3992364478763198E-14</v>
      </c>
      <c r="GB195" s="13">
        <f t="shared" si="185"/>
        <v>5.790027782444094E-13</v>
      </c>
      <c r="GC195" s="20">
        <f t="shared" si="186"/>
        <v>1.0676332069095257E-12</v>
      </c>
      <c r="GD195" s="59">
        <f t="shared" si="134"/>
        <v>293.33333333333439</v>
      </c>
      <c r="GE195" s="59">
        <f ca="1">AVERAGE(OFFSET($GD$3,0,0,'Données projet'!$E$17+1,1))-AVERAGE(OFFSET($H$3,0,0,'Données projet'!$E$17+1,1))</f>
        <v>165.39579887388538</v>
      </c>
      <c r="GF195" s="59">
        <f t="shared" si="158"/>
        <v>155.89639262545802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8.1659776174914864E-2</v>
      </c>
      <c r="GN195" s="21">
        <f>EXP(-LN(2)/2)*GN194+(1-EXP(-LN(2)/2))/(LN(2)/2)*GH195*GK195*VLOOKUP('Données projet'!$B$17,Paramètres!$A$1:$I$89,3,0)*0.475*44/12</f>
        <v>5.7406482309235104E-24</v>
      </c>
      <c r="GO195" s="21">
        <f t="shared" si="187"/>
        <v>8.1659776174914864E-2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2.8421709430404007E-14</v>
      </c>
      <c r="GV195" s="17">
        <f>GU195*VLOOKUP('Données projet'!$B$18,Paramètres!$A$1:$I$89,3,0)*VLOOKUP('Données projet'!$B$18,Paramètres!$A$1:$I$89,5,0)</f>
        <v>3.0593128030886874E-14</v>
      </c>
      <c r="GW195" s="13">
        <f t="shared" si="188"/>
        <v>5.2753263159251616E-13</v>
      </c>
      <c r="GX195" s="20">
        <f t="shared" si="189"/>
        <v>9.7206903134409357E-13</v>
      </c>
      <c r="GY195" s="59">
        <f t="shared" si="137"/>
        <v>293.33333333333428</v>
      </c>
      <c r="GZ195" s="59">
        <f ca="1">AVERAGE(OFFSET($GY$3,0,0,'Données projet'!$E$18+1,1))-AVERAGE(OFFSET($H$3,0,0,'Données projet'!$E$18+1,1))</f>
        <v>186.60545265015247</v>
      </c>
      <c r="HA195" s="59">
        <f t="shared" si="160"/>
        <v>69.239647548491234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0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0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1.9065282685915009E-13</v>
      </c>
      <c r="P196" s="13">
        <f t="shared" si="141"/>
        <v>2.6568987209435707E-12</v>
      </c>
      <c r="Q196" s="20">
        <f t="shared" si="162"/>
        <v>4.959485612423072E-12</v>
      </c>
      <c r="R196" s="59">
        <f t="shared" si="191"/>
        <v>293.33333333333826</v>
      </c>
      <c r="S196" s="59">
        <f ca="1">AVERAGE(OFFSET($R$3,0,0,'Données projet'!$E$9+1,1))-AVERAGE(OFFSET($H$3,0,0,'Données projet'!$E$9+1,1))</f>
        <v>235.10258076192054</v>
      </c>
      <c r="T196" s="59">
        <f t="shared" si="142"/>
        <v>233.47316052603765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0.13578207643199752</v>
      </c>
      <c r="AA196" s="21">
        <f>EXP(-LN(2)/25)*AA195+(1-EXP(-LN(2)/25))/(LN(2)/25)*Calculateur!V196*Calculateur!X196*VLOOKUP('Données projet'!$B$9,Paramètres!$A$1:$I$89,3,0)*0.475*44/12</f>
        <v>0.20087452034232695</v>
      </c>
      <c r="AB196" s="21">
        <f>EXP(-LN(2)/2)*AB195+(1-EXP(-LN(2)/2))/(LN(2)/2)*V196*Y196*VLOOKUP('Données projet'!$B$9,Paramètres!$A$1:$I$89,3,0)*0.475*44/12</f>
        <v>7.0545633510713622E-24</v>
      </c>
      <c r="AC196" s="22">
        <f t="shared" si="163"/>
        <v>0.33665659677432447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2.2737367544323206E-13</v>
      </c>
      <c r="AJ196" s="13">
        <f>AI196*VLOOKUP('Données projet'!$B$10,Paramètres!$A$1:$I$89,3,0)*VLOOKUP('Données projet'!$B$10,Paramètres!$A$1:$I$89,5,0)</f>
        <v>1.2414602679200471E-13</v>
      </c>
      <c r="AK196" s="13">
        <f t="shared" si="164"/>
        <v>1.8186582995804361E-12</v>
      </c>
      <c r="AL196" s="20">
        <f t="shared" si="165"/>
        <v>3.3837175350986671E-12</v>
      </c>
      <c r="AM196" s="59">
        <f t="shared" ref="AM196:AM203" si="193">AL196+(AD196+AE196)*44/12</f>
        <v>293.33333333333672</v>
      </c>
      <c r="AN196" s="59">
        <f ca="1">AVERAGE(OFFSET($AM$3,0,0,'Données projet'!$E$10+1,1))-AVERAGE(OFFSET($H$3,0,0,'Données projet'!$E$10+1,1))</f>
        <v>168.72306536277267</v>
      </c>
      <c r="AO196" s="59">
        <f t="shared" si="144"/>
        <v>203.35476578922339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0.12056759429479677</v>
      </c>
      <c r="AV196" s="21">
        <f>EXP(-LN(2)/25)*AV195+(1-EXP(-LN(2)/25))/(LN(2)/25)*Calculateur!AQ196*Calculateur!AS196*VLOOKUP('Données projet'!$B$10,Paramètres!$A$1:$I$89,3,0)*0.475*44/12</f>
        <v>0.25045479080275229</v>
      </c>
      <c r="AW196" s="21">
        <f>EXP(-LN(2)/2)*AW195+(1-EXP(-LN(2)/2))/(LN(2)/2)*AQ196*AT196*VLOOKUP('Données projet'!$B$10,Paramètres!$A$1:$I$89,3,0)*0.475*44/12</f>
        <v>5.8560242085127049E-24</v>
      </c>
      <c r="AX196" s="21">
        <f t="shared" si="166"/>
        <v>0.37102238509754903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3.3992364478763198E-14</v>
      </c>
      <c r="BF196" s="13">
        <f t="shared" si="167"/>
        <v>5.790027782444094E-13</v>
      </c>
      <c r="BG196" s="20">
        <f t="shared" si="168"/>
        <v>1.0676332069095257E-12</v>
      </c>
      <c r="BH196" s="59">
        <f t="shared" ref="BH196:BH203" si="194">BG196+(AY196+AZ196)*44/12</f>
        <v>293.33333333333439</v>
      </c>
      <c r="BI196" s="59">
        <f ca="1">AVERAGE(OFFSET($BH$3,0,0,'Données projet'!$E$11+1,1))-AVERAGE(OFFSET($H$3,0,0,'Données projet'!$E$11+1,1))</f>
        <v>165.39579887388538</v>
      </c>
      <c r="BJ196" s="59">
        <f t="shared" si="146"/>
        <v>155.89639262545802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7.942678530111083E-2</v>
      </c>
      <c r="BR196" s="21">
        <f>EXP(-LN(2)/2)*BR195+(1-EXP(-LN(2)/2))/(LN(2)/2)*BL196*BO196*VLOOKUP('Données projet'!$B$11,Paramètres!$A$1:$I$89,3,0)*0.475*44/12</f>
        <v>4.0592512924925717E-24</v>
      </c>
      <c r="BS196" s="22">
        <f t="shared" si="169"/>
        <v>7.942678530111083E-2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2.8421709430404007E-14</v>
      </c>
      <c r="BZ196" s="13">
        <f>BY196*VLOOKUP('Données projet'!$B$12,Paramètres!$A$1:$I$89,3,0)*VLOOKUP('Données projet'!$B$12,Paramètres!$A$1:$I$89,5,0)</f>
        <v>2.7489477361086758E-14</v>
      </c>
      <c r="CA196" s="13">
        <f t="shared" si="170"/>
        <v>4.7995394886724981E-13</v>
      </c>
      <c r="CB196" s="20">
        <f t="shared" si="171"/>
        <v>8.8379730068101964E-13</v>
      </c>
      <c r="CC196" s="59">
        <f t="shared" ref="CC196:CC203" si="195">CB196+(BT196+BU196)*44/12</f>
        <v>293.33333333333422</v>
      </c>
      <c r="CD196" s="59">
        <f ca="1">AVERAGE(OFFSET($CC$3,0,0,'Données projet'!$E$12+1,1))-AVERAGE(OFFSET($H$3,0,0,'Données projet'!$E$12+1,1))</f>
        <v>156.26368818265388</v>
      </c>
      <c r="CE196" s="59">
        <f t="shared" si="148"/>
        <v>56.347130462109817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2.8421709430404007E-14</v>
      </c>
      <c r="CU196" s="17">
        <f>CT196*VLOOKUP('Données projet'!$B$13,Paramètres!$A$1:$I$89,3,0)*VLOOKUP('Données projet'!$B$13,Paramètres!$A$1:$I$89,5,0)</f>
        <v>2.3055690689943732E-14</v>
      </c>
      <c r="CV196" s="13">
        <f t="shared" si="173"/>
        <v>4.10868481342271E-13</v>
      </c>
      <c r="CW196" s="20">
        <f t="shared" si="174"/>
        <v>7.5575126628944061E-13</v>
      </c>
      <c r="CX196" s="59">
        <f t="shared" ref="CX196:CX203" si="196">CW196+(CO196+CP196)*44/12</f>
        <v>293.33333333333405</v>
      </c>
      <c r="CY196" s="59">
        <f ca="1">AVERAGE(OFFSET($CX$3,0,0,'Données projet'!$E$13+1,1))-AVERAGE(OFFSET($H$3,0,0,'Données projet'!$E$13+1,1))</f>
        <v>112.78807760743126</v>
      </c>
      <c r="CZ196" s="59">
        <f t="shared" si="150"/>
        <v>37.867745922003564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-8.5265128291212022E-14</v>
      </c>
      <c r="DP196" s="17">
        <f>DO196*VLOOKUP('Données projet'!$B$14,Paramètres!$A$1:$I$89,3,0)*VLOOKUP('Données projet'!$B$14,Paramètres!$A$1:$I$89,5,0)</f>
        <v>-5.7195848057745024E-14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107.15837202366862</v>
      </c>
      <c r="DU196" s="59">
        <f t="shared" si="152"/>
        <v>139.67031833740026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6.1761573641667164E-2</v>
      </c>
      <c r="EC196" s="21">
        <f>EXP(-LN(2)/2)*EC195+(1-EXP(-LN(2)/2))/(LN(2)/2)*DW196*DZ196*VLOOKUP('Données projet'!$B$14,Paramètres!$A$1:$I$89,3,0)*0.475*44/12</f>
        <v>1.9739010688365878E-24</v>
      </c>
      <c r="ED196" s="22">
        <f t="shared" si="178"/>
        <v>6.1761573641667164E-2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-1.1368683772161603E-13</v>
      </c>
      <c r="EK196" s="17">
        <f>EJ196*VLOOKUP('Données projet'!$B$15,Paramètres!$A$1:$I$89,3,0)*VLOOKUP('Données projet'!$B$15,Paramètres!$A$1:$I$89,5,0)</f>
        <v>-5.3205440053716299E-14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123.60520571614535</v>
      </c>
      <c r="EP196" s="59">
        <f t="shared" si="154"/>
        <v>119.00926870519527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3.4374067189761479E-2</v>
      </c>
      <c r="EW196" s="21">
        <f>EXP(-LN(2)/25)*EW195+(1-EXP(-LN(2)/25))/(LN(2)/25)*Calculateur!ER196*Calculateur!ET196*VLOOKUP('Données projet'!$B$15,Paramètres!$A$1:$I$89,3,0)*0.475*44/12</f>
        <v>5.2049634762912585E-2</v>
      </c>
      <c r="EX196" s="21">
        <f>EXP(-LN(2)/2)*EX195+(1-EXP(-LN(2)/2))/(LN(2)/2)*ER196*EU196*VLOOKUP('Données projet'!$B$15,Paramètres!$A$1:$I$89,3,0)*0.475*44/12</f>
        <v>1.7879699797601595E-24</v>
      </c>
      <c r="EY196" s="22">
        <f t="shared" si="181"/>
        <v>8.642370195267407E-2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-2.2737367544323206E-13</v>
      </c>
      <c r="FF196" s="17">
        <f>FE196*VLOOKUP('Données projet'!$B$16,Paramètres!$A$1:$I$89,3,0)*VLOOKUP('Données projet'!$B$16,Paramètres!$A$1:$I$89,5,0)</f>
        <v>-1.0936673788819462E-13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197.66963254934603</v>
      </c>
      <c r="FK196" s="59">
        <f t="shared" si="156"/>
        <v>158.08388141976138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0.1057085268346558</v>
      </c>
      <c r="FR196" s="21">
        <f>EXP(-LN(2)/25)*FR195+(1-EXP(-LN(2)/25))/(LN(2)/25)*Calculateur!FM196*Calculateur!FO196*VLOOKUP('Données projet'!$B$16,Paramètres!$A$1:$I$89,3,0)*0.475*44/12</f>
        <v>5.789629605123052E-2</v>
      </c>
      <c r="FS196" s="21">
        <f>EXP(-LN(2)/2)*FS195+(1-EXP(-LN(2)/2))/(LN(2)/2)*FM196*FP196*VLOOKUP('Données projet'!$B$16,Paramètres!$A$1:$I$89,3,0)*0.475*44/12</f>
        <v>2.4209150868481675E-24</v>
      </c>
      <c r="FT196" s="22">
        <f t="shared" si="184"/>
        <v>0.16360482288588632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5.6843418860808015E-14</v>
      </c>
      <c r="GA196" s="17">
        <f>FZ196*VLOOKUP('Données projet'!$B$17,Paramètres!$A$1:$I$89,3,0)*VLOOKUP('Données projet'!$B$17,Paramètres!$A$1:$I$89,5,0)</f>
        <v>3.3992364478763198E-14</v>
      </c>
      <c r="GB196" s="13">
        <f t="shared" si="185"/>
        <v>5.790027782444094E-13</v>
      </c>
      <c r="GC196" s="20">
        <f t="shared" si="186"/>
        <v>1.0676332069095257E-12</v>
      </c>
      <c r="GD196" s="59">
        <f t="shared" ref="GD196:GD203" si="200">GC196+(FU196+FV196)*44/12</f>
        <v>293.33333333333439</v>
      </c>
      <c r="GE196" s="59">
        <f ca="1">AVERAGE(OFFSET($GD$3,0,0,'Données projet'!$E$17+1,1))-AVERAGE(OFFSET($H$3,0,0,'Données projet'!$E$17+1,1))</f>
        <v>165.39579887388538</v>
      </c>
      <c r="GF196" s="59">
        <f t="shared" si="158"/>
        <v>155.89639262545802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7.942678530111083E-2</v>
      </c>
      <c r="GN196" s="21">
        <f>EXP(-LN(2)/2)*GN195+(1-EXP(-LN(2)/2))/(LN(2)/2)*GH196*GK196*VLOOKUP('Données projet'!$B$17,Paramètres!$A$1:$I$89,3,0)*0.475*44/12</f>
        <v>4.0592512924925717E-24</v>
      </c>
      <c r="GO196" s="21">
        <f t="shared" si="187"/>
        <v>7.942678530111083E-2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2.8421709430404007E-14</v>
      </c>
      <c r="GV196" s="17">
        <f>GU196*VLOOKUP('Données projet'!$B$18,Paramètres!$A$1:$I$89,3,0)*VLOOKUP('Données projet'!$B$18,Paramètres!$A$1:$I$89,5,0)</f>
        <v>3.0593128030886874E-14</v>
      </c>
      <c r="GW196" s="13">
        <f t="shared" si="188"/>
        <v>5.2753263159251616E-13</v>
      </c>
      <c r="GX196" s="20">
        <f t="shared" si="189"/>
        <v>9.7206903134409357E-13</v>
      </c>
      <c r="GY196" s="59">
        <f t="shared" ref="GY196:GY203" si="201">GX196+(GP196+GQ196)*44/12</f>
        <v>293.33333333333428</v>
      </c>
      <c r="GZ196" s="59">
        <f ca="1">AVERAGE(OFFSET($GY$3,0,0,'Données projet'!$E$18+1,1))-AVERAGE(OFFSET($H$3,0,0,'Données projet'!$E$18+1,1))</f>
        <v>186.60545265015247</v>
      </c>
      <c r="HA196" s="59">
        <f t="shared" si="160"/>
        <v>69.239647548491234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0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0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1.9065282685915009E-13</v>
      </c>
      <c r="P197" s="13">
        <f t="shared" ref="P197:P203" si="203">EXP(-1.0587+0.8836*LN(O197)+0.284)</f>
        <v>2.6568987209435707E-12</v>
      </c>
      <c r="Q197" s="20">
        <f t="shared" si="162"/>
        <v>4.959485612423072E-12</v>
      </c>
      <c r="R197" s="59">
        <f t="shared" si="191"/>
        <v>293.33333333333826</v>
      </c>
      <c r="S197" s="59">
        <f ca="1">AVERAGE(OFFSET($R$3,0,0,'Données projet'!$E$9+1,1))-AVERAGE(OFFSET($H$3,0,0,'Données projet'!$E$9+1,1))</f>
        <v>235.10258076192054</v>
      </c>
      <c r="T197" s="59">
        <f t="shared" ref="T197:T203" si="204">$T$3</f>
        <v>233.47316052603765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0.13311947273205499</v>
      </c>
      <c r="AA197" s="21">
        <f>EXP(-LN(2)/25)*AA196+(1-EXP(-LN(2)/25))/(LN(2)/25)*Calculateur!V197*Calculateur!X197*VLOOKUP('Données projet'!$B$9,Paramètres!$A$1:$I$89,3,0)*0.475*44/12</f>
        <v>0.1953815960200341</v>
      </c>
      <c r="AB197" s="21">
        <f>EXP(-LN(2)/2)*AB196+(1-EXP(-LN(2)/2))/(LN(2)/2)*V197*Y197*VLOOKUP('Données projet'!$B$9,Paramètres!$A$1:$I$89,3,0)*0.475*44/12</f>
        <v>4.9883295838526552E-24</v>
      </c>
      <c r="AC197" s="22">
        <f t="shared" si="163"/>
        <v>0.32850106875208906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2.2737367544323206E-13</v>
      </c>
      <c r="AJ197" s="13">
        <f>AI197*VLOOKUP('Données projet'!$B$10,Paramètres!$A$1:$I$89,3,0)*VLOOKUP('Données projet'!$B$10,Paramètres!$A$1:$I$89,5,0)</f>
        <v>1.2414602679200471E-13</v>
      </c>
      <c r="AK197" s="13">
        <f t="shared" si="164"/>
        <v>1.8186582995804361E-12</v>
      </c>
      <c r="AL197" s="20">
        <f t="shared" si="165"/>
        <v>3.3837175350986671E-12</v>
      </c>
      <c r="AM197" s="59">
        <f t="shared" si="193"/>
        <v>293.33333333333672</v>
      </c>
      <c r="AN197" s="59">
        <f ca="1">AVERAGE(OFFSET($AM$3,0,0,'Données projet'!$E$10+1,1))-AVERAGE(OFFSET($H$3,0,0,'Données projet'!$E$10+1,1))</f>
        <v>168.72306536277267</v>
      </c>
      <c r="AO197" s="59">
        <f t="shared" ref="AO197:AO203" si="205">$AO$3</f>
        <v>203.35476578922339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0.11820333730964695</v>
      </c>
      <c r="AV197" s="21">
        <f>EXP(-LN(2)/25)*AV196+(1-EXP(-LN(2)/25))/(LN(2)/25)*Calculateur!AQ197*Calculateur!AS197*VLOOKUP('Données projet'!$B$10,Paramètres!$A$1:$I$89,3,0)*0.475*44/12</f>
        <v>0.24360609137740599</v>
      </c>
      <c r="AW197" s="21">
        <f>EXP(-LN(2)/2)*AW196+(1-EXP(-LN(2)/2))/(LN(2)/2)*AQ197*AT197*VLOOKUP('Données projet'!$B$10,Paramètres!$A$1:$I$89,3,0)*0.475*44/12</f>
        <v>4.1408344286319183E-24</v>
      </c>
      <c r="AX197" s="21">
        <f t="shared" si="166"/>
        <v>0.36180942868705296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3.3992364478763198E-14</v>
      </c>
      <c r="BF197" s="13">
        <f t="shared" si="167"/>
        <v>5.790027782444094E-13</v>
      </c>
      <c r="BG197" s="20">
        <f t="shared" si="168"/>
        <v>1.0676332069095257E-12</v>
      </c>
      <c r="BH197" s="59">
        <f t="shared" si="194"/>
        <v>293.33333333333439</v>
      </c>
      <c r="BI197" s="59">
        <f ca="1">AVERAGE(OFFSET($BH$3,0,0,'Données projet'!$E$11+1,1))-AVERAGE(OFFSET($H$3,0,0,'Données projet'!$E$11+1,1))</f>
        <v>165.39579887388538</v>
      </c>
      <c r="BJ197" s="59">
        <f t="shared" ref="BJ197:BJ203" si="206">$BJ$3</f>
        <v>155.89639262545802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7.7254855680178855E-2</v>
      </c>
      <c r="BR197" s="21">
        <f>EXP(-LN(2)/2)*BR196+(1-EXP(-LN(2)/2))/(LN(2)/2)*BL197*BO197*VLOOKUP('Données projet'!$B$11,Paramètres!$A$1:$I$89,3,0)*0.475*44/12</f>
        <v>2.8703241154617552E-24</v>
      </c>
      <c r="BS197" s="22">
        <f t="shared" si="169"/>
        <v>7.7254855680178855E-2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2.8421709430404007E-14</v>
      </c>
      <c r="BZ197" s="13">
        <f>BY197*VLOOKUP('Données projet'!$B$12,Paramètres!$A$1:$I$89,3,0)*VLOOKUP('Données projet'!$B$12,Paramètres!$A$1:$I$89,5,0)</f>
        <v>2.7489477361086758E-14</v>
      </c>
      <c r="CA197" s="13">
        <f t="shared" si="170"/>
        <v>4.7995394886724981E-13</v>
      </c>
      <c r="CB197" s="20">
        <f t="shared" si="171"/>
        <v>8.8379730068101964E-13</v>
      </c>
      <c r="CC197" s="59">
        <f t="shared" si="195"/>
        <v>293.33333333333422</v>
      </c>
      <c r="CD197" s="59">
        <f ca="1">AVERAGE(OFFSET($CC$3,0,0,'Données projet'!$E$12+1,1))-AVERAGE(OFFSET($H$3,0,0,'Données projet'!$E$12+1,1))</f>
        <v>156.26368818265388</v>
      </c>
      <c r="CE197" s="59">
        <f t="shared" ref="CE197:CE203" si="207">$CE$3</f>
        <v>56.347130462109817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2.8421709430404007E-14</v>
      </c>
      <c r="CU197" s="17">
        <f>CT197*VLOOKUP('Données projet'!$B$13,Paramètres!$A$1:$I$89,3,0)*VLOOKUP('Données projet'!$B$13,Paramètres!$A$1:$I$89,5,0)</f>
        <v>2.3055690689943732E-14</v>
      </c>
      <c r="CV197" s="13">
        <f t="shared" si="173"/>
        <v>4.10868481342271E-13</v>
      </c>
      <c r="CW197" s="20">
        <f t="shared" si="174"/>
        <v>7.5575126628944061E-13</v>
      </c>
      <c r="CX197" s="59">
        <f t="shared" si="196"/>
        <v>293.33333333333405</v>
      </c>
      <c r="CY197" s="59">
        <f ca="1">AVERAGE(OFFSET($CX$3,0,0,'Données projet'!$E$13+1,1))-AVERAGE(OFFSET($H$3,0,0,'Données projet'!$E$13+1,1))</f>
        <v>112.78807760743126</v>
      </c>
      <c r="CZ197" s="59">
        <f t="shared" ref="CZ197:CZ203" si="208">$CZ$3</f>
        <v>37.867745922003564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-8.5265128291212022E-14</v>
      </c>
      <c r="DP197" s="17">
        <f>DO197*VLOOKUP('Données projet'!$B$14,Paramètres!$A$1:$I$89,3,0)*VLOOKUP('Données projet'!$B$14,Paramètres!$A$1:$I$89,5,0)</f>
        <v>-5.7195848057745024E-14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107.15837202366862</v>
      </c>
      <c r="DU197" s="59">
        <f t="shared" ref="DU197:DU203" si="209">$DU$3</f>
        <v>139.67031833740026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6.0072700162535776E-2</v>
      </c>
      <c r="EC197" s="21">
        <f>EXP(-LN(2)/2)*EC196+(1-EXP(-LN(2)/2))/(LN(2)/2)*DW197*DZ197*VLOOKUP('Données projet'!$B$14,Paramètres!$A$1:$I$89,3,0)*0.475*44/12</f>
        <v>1.3957588311657254E-24</v>
      </c>
      <c r="ED197" s="22">
        <f t="shared" si="178"/>
        <v>6.0072700162535776E-2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-1.1368683772161603E-13</v>
      </c>
      <c r="EK197" s="17">
        <f>EJ197*VLOOKUP('Données projet'!$B$15,Paramètres!$A$1:$I$89,3,0)*VLOOKUP('Données projet'!$B$15,Paramètres!$A$1:$I$89,5,0)</f>
        <v>-5.3205440053716299E-14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123.60520571614535</v>
      </c>
      <c r="EP197" s="59">
        <f t="shared" ref="EP197:EP203" si="210">$EP$3</f>
        <v>119.00926870519527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3.3700012698281011E-2</v>
      </c>
      <c r="EW197" s="21">
        <f>EXP(-LN(2)/25)*EW196+(1-EXP(-LN(2)/25))/(LN(2)/25)*Calculateur!ER197*Calculateur!ET197*VLOOKUP('Données projet'!$B$15,Paramètres!$A$1:$I$89,3,0)*0.475*44/12</f>
        <v>5.0626334763149407E-2</v>
      </c>
      <c r="EX197" s="21">
        <f>EXP(-LN(2)/2)*EX196+(1-EXP(-LN(2)/2))/(LN(2)/2)*ER197*EU197*VLOOKUP('Données projet'!$B$15,Paramètres!$A$1:$I$89,3,0)*0.475*44/12</f>
        <v>1.2642856972463829E-24</v>
      </c>
      <c r="EY197" s="22">
        <f t="shared" si="181"/>
        <v>8.4326347461430418E-2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-2.2737367544323206E-13</v>
      </c>
      <c r="FF197" s="17">
        <f>FE197*VLOOKUP('Données projet'!$B$16,Paramètres!$A$1:$I$89,3,0)*VLOOKUP('Données projet'!$B$16,Paramètres!$A$1:$I$89,5,0)</f>
        <v>-1.0936673788819462E-13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197.66963254934603</v>
      </c>
      <c r="FK197" s="59">
        <f t="shared" ref="FK197:FK203" si="211">$FK$3</f>
        <v>158.08388141976138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0.10363564709926311</v>
      </c>
      <c r="FR197" s="21">
        <f>EXP(-LN(2)/25)*FR196+(1-EXP(-LN(2)/25))/(LN(2)/25)*Calculateur!FM197*Calculateur!FO197*VLOOKUP('Données projet'!$B$16,Paramètres!$A$1:$I$89,3,0)*0.475*44/12</f>
        <v>5.6313118791075735E-2</v>
      </c>
      <c r="FS197" s="21">
        <f>EXP(-LN(2)/2)*FS196+(1-EXP(-LN(2)/2))/(LN(2)/2)*FM197*FP197*VLOOKUP('Données projet'!$B$16,Paramètres!$A$1:$I$89,3,0)*0.475*44/12</f>
        <v>1.7118454745871588E-24</v>
      </c>
      <c r="FT197" s="22">
        <f t="shared" si="184"/>
        <v>0.15994876589033885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5.6843418860808015E-14</v>
      </c>
      <c r="GA197" s="17">
        <f>FZ197*VLOOKUP('Données projet'!$B$17,Paramètres!$A$1:$I$89,3,0)*VLOOKUP('Données projet'!$B$17,Paramètres!$A$1:$I$89,5,0)</f>
        <v>3.3992364478763198E-14</v>
      </c>
      <c r="GB197" s="13">
        <f t="shared" si="185"/>
        <v>5.790027782444094E-13</v>
      </c>
      <c r="GC197" s="20">
        <f t="shared" si="186"/>
        <v>1.0676332069095257E-12</v>
      </c>
      <c r="GD197" s="59">
        <f t="shared" si="200"/>
        <v>293.33333333333439</v>
      </c>
      <c r="GE197" s="59">
        <f ca="1">AVERAGE(OFFSET($GD$3,0,0,'Données projet'!$E$17+1,1))-AVERAGE(OFFSET($H$3,0,0,'Données projet'!$E$17+1,1))</f>
        <v>165.39579887388538</v>
      </c>
      <c r="GF197" s="59">
        <f t="shared" ref="GF197:GF203" si="212">$GF$3</f>
        <v>155.89639262545802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7.7254855680178855E-2</v>
      </c>
      <c r="GN197" s="21">
        <f>EXP(-LN(2)/2)*GN196+(1-EXP(-LN(2)/2))/(LN(2)/2)*GH197*GK197*VLOOKUP('Données projet'!$B$17,Paramètres!$A$1:$I$89,3,0)*0.475*44/12</f>
        <v>2.8703241154617552E-24</v>
      </c>
      <c r="GO197" s="21">
        <f t="shared" si="187"/>
        <v>7.7254855680178855E-2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2.8421709430404007E-14</v>
      </c>
      <c r="GV197" s="17">
        <f>GU197*VLOOKUP('Données projet'!$B$18,Paramètres!$A$1:$I$89,3,0)*VLOOKUP('Données projet'!$B$18,Paramètres!$A$1:$I$89,5,0)</f>
        <v>3.0593128030886874E-14</v>
      </c>
      <c r="GW197" s="13">
        <f t="shared" si="188"/>
        <v>5.2753263159251616E-13</v>
      </c>
      <c r="GX197" s="20">
        <f t="shared" si="189"/>
        <v>9.7206903134409357E-13</v>
      </c>
      <c r="GY197" s="59">
        <f t="shared" si="201"/>
        <v>293.33333333333428</v>
      </c>
      <c r="GZ197" s="59">
        <f ca="1">AVERAGE(OFFSET($GY$3,0,0,'Données projet'!$E$18+1,1))-AVERAGE(OFFSET($H$3,0,0,'Données projet'!$E$18+1,1))</f>
        <v>186.60545265015247</v>
      </c>
      <c r="HA197" s="59">
        <f t="shared" ref="HA197:HA203" si="213">$HA$3</f>
        <v>69.239647548491234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0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0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1.9065282685915009E-13</v>
      </c>
      <c r="P198" s="13">
        <f t="shared" si="203"/>
        <v>2.6568987209435707E-12</v>
      </c>
      <c r="Q198" s="20">
        <f t="shared" si="162"/>
        <v>4.959485612423072E-12</v>
      </c>
      <c r="R198" s="59">
        <f t="shared" si="191"/>
        <v>293.33333333333826</v>
      </c>
      <c r="S198" s="59">
        <f ca="1">AVERAGE(OFFSET($R$3,0,0,'Données projet'!$E$9+1,1))-AVERAGE(OFFSET($H$3,0,0,'Données projet'!$E$9+1,1))</f>
        <v>235.10258076192054</v>
      </c>
      <c r="T198" s="59">
        <f t="shared" si="204"/>
        <v>233.47316052603765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0.13050908106664044</v>
      </c>
      <c r="AA198" s="21">
        <f>EXP(-LN(2)/25)*AA197+(1-EXP(-LN(2)/25))/(LN(2)/25)*Calculateur!V198*Calculateur!X198*VLOOKUP('Données projet'!$B$9,Paramètres!$A$1:$I$89,3,0)*0.475*44/12</f>
        <v>0.19003887600219468</v>
      </c>
      <c r="AB198" s="21">
        <f>EXP(-LN(2)/2)*AB197+(1-EXP(-LN(2)/2))/(LN(2)/2)*V198*Y198*VLOOKUP('Données projet'!$B$9,Paramètres!$A$1:$I$89,3,0)*0.475*44/12</f>
        <v>3.5272816755356811E-24</v>
      </c>
      <c r="AC198" s="22">
        <f t="shared" si="163"/>
        <v>0.3205479570688351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2.2737367544323206E-13</v>
      </c>
      <c r="AJ198" s="13">
        <f>AI198*VLOOKUP('Données projet'!$B$10,Paramètres!$A$1:$I$89,3,0)*VLOOKUP('Données projet'!$B$10,Paramètres!$A$1:$I$89,5,0)</f>
        <v>1.2414602679200471E-13</v>
      </c>
      <c r="AK198" s="13">
        <f t="shared" si="164"/>
        <v>1.8186582995804361E-12</v>
      </c>
      <c r="AL198" s="20">
        <f t="shared" si="165"/>
        <v>3.3837175350986671E-12</v>
      </c>
      <c r="AM198" s="59">
        <f t="shared" si="193"/>
        <v>293.33333333333672</v>
      </c>
      <c r="AN198" s="59">
        <f ca="1">AVERAGE(OFFSET($AM$3,0,0,'Données projet'!$E$10+1,1))-AVERAGE(OFFSET($H$3,0,0,'Données projet'!$E$10+1,1))</f>
        <v>168.72306536277267</v>
      </c>
      <c r="AO198" s="59">
        <f t="shared" si="205"/>
        <v>203.35476578922339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0.11588544196192156</v>
      </c>
      <c r="AV198" s="21">
        <f>EXP(-LN(2)/25)*AV197+(1-EXP(-LN(2)/25))/(LN(2)/25)*Calculateur!AQ198*Calculateur!AS198*VLOOKUP('Données projet'!$B$10,Paramètres!$A$1:$I$89,3,0)*0.475*44/12</f>
        <v>0.23694466999800326</v>
      </c>
      <c r="AW198" s="21">
        <f>EXP(-LN(2)/2)*AW197+(1-EXP(-LN(2)/2))/(LN(2)/2)*AQ198*AT198*VLOOKUP('Données projet'!$B$10,Paramètres!$A$1:$I$89,3,0)*0.475*44/12</f>
        <v>2.9280121042563524E-24</v>
      </c>
      <c r="AX198" s="21">
        <f t="shared" si="166"/>
        <v>0.35283011195992481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3.3992364478763198E-14</v>
      </c>
      <c r="BF198" s="13">
        <f t="shared" si="167"/>
        <v>5.790027782444094E-13</v>
      </c>
      <c r="BG198" s="20">
        <f t="shared" si="168"/>
        <v>1.0676332069095257E-12</v>
      </c>
      <c r="BH198" s="59">
        <f t="shared" si="194"/>
        <v>293.33333333333439</v>
      </c>
      <c r="BI198" s="59">
        <f ca="1">AVERAGE(OFFSET($BH$3,0,0,'Données projet'!$E$11+1,1))-AVERAGE(OFFSET($H$3,0,0,'Données projet'!$E$11+1,1))</f>
        <v>165.39579887388538</v>
      </c>
      <c r="BJ198" s="59">
        <f t="shared" si="206"/>
        <v>155.89639262545802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7.5142317588948071E-2</v>
      </c>
      <c r="BR198" s="21">
        <f>EXP(-LN(2)/2)*BR197+(1-EXP(-LN(2)/2))/(LN(2)/2)*BL198*BO198*VLOOKUP('Données projet'!$B$11,Paramètres!$A$1:$I$89,3,0)*0.475*44/12</f>
        <v>2.0296256462462859E-24</v>
      </c>
      <c r="BS198" s="22">
        <f t="shared" si="169"/>
        <v>7.5142317588948071E-2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2.8421709430404007E-14</v>
      </c>
      <c r="BZ198" s="13">
        <f>BY198*VLOOKUP('Données projet'!$B$12,Paramètres!$A$1:$I$89,3,0)*VLOOKUP('Données projet'!$B$12,Paramètres!$A$1:$I$89,5,0)</f>
        <v>2.7489477361086758E-14</v>
      </c>
      <c r="CA198" s="13">
        <f t="shared" si="170"/>
        <v>4.7995394886724981E-13</v>
      </c>
      <c r="CB198" s="20">
        <f t="shared" si="171"/>
        <v>8.8379730068101964E-13</v>
      </c>
      <c r="CC198" s="59">
        <f t="shared" si="195"/>
        <v>293.33333333333422</v>
      </c>
      <c r="CD198" s="59">
        <f ca="1">AVERAGE(OFFSET($CC$3,0,0,'Données projet'!$E$12+1,1))-AVERAGE(OFFSET($H$3,0,0,'Données projet'!$E$12+1,1))</f>
        <v>156.26368818265388</v>
      </c>
      <c r="CE198" s="59">
        <f t="shared" si="207"/>
        <v>56.347130462109817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2.8421709430404007E-14</v>
      </c>
      <c r="CU198" s="17">
        <f>CT198*VLOOKUP('Données projet'!$B$13,Paramètres!$A$1:$I$89,3,0)*VLOOKUP('Données projet'!$B$13,Paramètres!$A$1:$I$89,5,0)</f>
        <v>2.3055690689943732E-14</v>
      </c>
      <c r="CV198" s="13">
        <f t="shared" si="173"/>
        <v>4.10868481342271E-13</v>
      </c>
      <c r="CW198" s="20">
        <f t="shared" si="174"/>
        <v>7.5575126628944061E-13</v>
      </c>
      <c r="CX198" s="59">
        <f t="shared" si="196"/>
        <v>293.33333333333405</v>
      </c>
      <c r="CY198" s="59">
        <f ca="1">AVERAGE(OFFSET($CX$3,0,0,'Données projet'!$E$13+1,1))-AVERAGE(OFFSET($H$3,0,0,'Données projet'!$E$13+1,1))</f>
        <v>112.78807760743126</v>
      </c>
      <c r="CZ198" s="59">
        <f t="shared" si="208"/>
        <v>37.867745922003564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-8.5265128291212022E-14</v>
      </c>
      <c r="DP198" s="17">
        <f>DO198*VLOOKUP('Données projet'!$B$14,Paramètres!$A$1:$I$89,3,0)*VLOOKUP('Données projet'!$B$14,Paramètres!$A$1:$I$89,5,0)</f>
        <v>-5.7195848057745024E-14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107.15837202366862</v>
      </c>
      <c r="DU198" s="59">
        <f t="shared" si="209"/>
        <v>139.67031833740026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5.8430009017505231E-2</v>
      </c>
      <c r="EC198" s="21">
        <f>EXP(-LN(2)/2)*EC197+(1-EXP(-LN(2)/2))/(LN(2)/2)*DW198*DZ198*VLOOKUP('Données projet'!$B$14,Paramètres!$A$1:$I$89,3,0)*0.475*44/12</f>
        <v>9.8695053441829389E-25</v>
      </c>
      <c r="ED198" s="22">
        <f t="shared" si="178"/>
        <v>5.8430009017505231E-2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-1.1368683772161603E-13</v>
      </c>
      <c r="EK198" s="17">
        <f>EJ198*VLOOKUP('Données projet'!$B$15,Paramètres!$A$1:$I$89,3,0)*VLOOKUP('Données projet'!$B$15,Paramètres!$A$1:$I$89,5,0)</f>
        <v>-5.3205440053716299E-14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123.60520571614535</v>
      </c>
      <c r="EP198" s="59">
        <f t="shared" si="210"/>
        <v>119.00926870519527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3.3039176004245829E-2</v>
      </c>
      <c r="EW198" s="21">
        <f>EXP(-LN(2)/25)*EW197+(1-EXP(-LN(2)/25))/(LN(2)/25)*Calculateur!ER198*Calculateur!ET198*VLOOKUP('Données projet'!$B$15,Paramètres!$A$1:$I$89,3,0)*0.475*44/12</f>
        <v>4.9241954976727849E-2</v>
      </c>
      <c r="EX198" s="21">
        <f>EXP(-LN(2)/2)*EX197+(1-EXP(-LN(2)/2))/(LN(2)/2)*ER198*EU198*VLOOKUP('Données projet'!$B$15,Paramètres!$A$1:$I$89,3,0)*0.475*44/12</f>
        <v>8.9398498988007973E-25</v>
      </c>
      <c r="EY198" s="22">
        <f t="shared" si="181"/>
        <v>8.2281130980973671E-2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-2.2737367544323206E-13</v>
      </c>
      <c r="FF198" s="17">
        <f>FE198*VLOOKUP('Données projet'!$B$16,Paramètres!$A$1:$I$89,3,0)*VLOOKUP('Données projet'!$B$16,Paramètres!$A$1:$I$89,5,0)</f>
        <v>-1.0936673788819462E-13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197.66963254934603</v>
      </c>
      <c r="FK198" s="59">
        <f t="shared" si="211"/>
        <v>158.08388141976138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0.10160341527114967</v>
      </c>
      <c r="FR198" s="21">
        <f>EXP(-LN(2)/25)*FR197+(1-EXP(-LN(2)/25))/(LN(2)/25)*Calculateur!FM198*Calculateur!FO198*VLOOKUP('Données projet'!$B$16,Paramètres!$A$1:$I$89,3,0)*0.475*44/12</f>
        <v>5.477323359635556E-2</v>
      </c>
      <c r="FS198" s="21">
        <f>EXP(-LN(2)/2)*FS197+(1-EXP(-LN(2)/2))/(LN(2)/2)*FM198*FP198*VLOOKUP('Données projet'!$B$16,Paramètres!$A$1:$I$89,3,0)*0.475*44/12</f>
        <v>1.2104575434240838E-24</v>
      </c>
      <c r="FT198" s="22">
        <f t="shared" si="184"/>
        <v>0.15637664886750524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5.6843418860808015E-14</v>
      </c>
      <c r="GA198" s="17">
        <f>FZ198*VLOOKUP('Données projet'!$B$17,Paramètres!$A$1:$I$89,3,0)*VLOOKUP('Données projet'!$B$17,Paramètres!$A$1:$I$89,5,0)</f>
        <v>3.3992364478763198E-14</v>
      </c>
      <c r="GB198" s="13">
        <f t="shared" si="185"/>
        <v>5.790027782444094E-13</v>
      </c>
      <c r="GC198" s="20">
        <f t="shared" si="186"/>
        <v>1.0676332069095257E-12</v>
      </c>
      <c r="GD198" s="59">
        <f t="shared" si="200"/>
        <v>293.33333333333439</v>
      </c>
      <c r="GE198" s="59">
        <f ca="1">AVERAGE(OFFSET($GD$3,0,0,'Données projet'!$E$17+1,1))-AVERAGE(OFFSET($H$3,0,0,'Données projet'!$E$17+1,1))</f>
        <v>165.39579887388538</v>
      </c>
      <c r="GF198" s="59">
        <f t="shared" si="212"/>
        <v>155.89639262545802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7.5142317588948071E-2</v>
      </c>
      <c r="GN198" s="21">
        <f>EXP(-LN(2)/2)*GN197+(1-EXP(-LN(2)/2))/(LN(2)/2)*GH198*GK198*VLOOKUP('Données projet'!$B$17,Paramètres!$A$1:$I$89,3,0)*0.475*44/12</f>
        <v>2.0296256462462859E-24</v>
      </c>
      <c r="GO198" s="21">
        <f t="shared" si="187"/>
        <v>7.5142317588948071E-2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2.8421709430404007E-14</v>
      </c>
      <c r="GV198" s="17">
        <f>GU198*VLOOKUP('Données projet'!$B$18,Paramètres!$A$1:$I$89,3,0)*VLOOKUP('Données projet'!$B$18,Paramètres!$A$1:$I$89,5,0)</f>
        <v>3.0593128030886874E-14</v>
      </c>
      <c r="GW198" s="13">
        <f t="shared" si="188"/>
        <v>5.2753263159251616E-13</v>
      </c>
      <c r="GX198" s="20">
        <f t="shared" si="189"/>
        <v>9.7206903134409357E-13</v>
      </c>
      <c r="GY198" s="59">
        <f t="shared" si="201"/>
        <v>293.33333333333428</v>
      </c>
      <c r="GZ198" s="59">
        <f ca="1">AVERAGE(OFFSET($GY$3,0,0,'Données projet'!$E$18+1,1))-AVERAGE(OFFSET($H$3,0,0,'Données projet'!$E$18+1,1))</f>
        <v>186.60545265015247</v>
      </c>
      <c r="HA198" s="59">
        <f t="shared" si="213"/>
        <v>69.239647548491234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0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0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1.9065282685915009E-13</v>
      </c>
      <c r="P199" s="13">
        <f t="shared" si="203"/>
        <v>2.6568987209435707E-12</v>
      </c>
      <c r="Q199" s="20">
        <f t="shared" si="162"/>
        <v>4.959485612423072E-12</v>
      </c>
      <c r="R199" s="59">
        <f t="shared" si="191"/>
        <v>293.33333333333826</v>
      </c>
      <c r="S199" s="59">
        <f ca="1">AVERAGE(OFFSET($R$3,0,0,'Données projet'!$E$9+1,1))-AVERAGE(OFFSET($H$3,0,0,'Données projet'!$E$9+1,1))</f>
        <v>235.10258076192054</v>
      </c>
      <c r="T199" s="59">
        <f t="shared" si="204"/>
        <v>233.47316052603765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0.12794987758960297</v>
      </c>
      <c r="AA199" s="21">
        <f>EXP(-LN(2)/25)*AA198+(1-EXP(-LN(2)/25))/(LN(2)/25)*Calculateur!V199*Calculateur!X199*VLOOKUP('Données projet'!$B$9,Paramètres!$A$1:$I$89,3,0)*0.475*44/12</f>
        <v>0.18484225294420453</v>
      </c>
      <c r="AB199" s="21">
        <f>EXP(-LN(2)/2)*AB198+(1-EXP(-LN(2)/2))/(LN(2)/2)*V199*Y199*VLOOKUP('Données projet'!$B$9,Paramètres!$A$1:$I$89,3,0)*0.475*44/12</f>
        <v>2.4941647919263276E-24</v>
      </c>
      <c r="AC199" s="22">
        <f t="shared" si="163"/>
        <v>0.3127921305338075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2.2737367544323206E-13</v>
      </c>
      <c r="AJ199" s="13">
        <f>AI199*VLOOKUP('Données projet'!$B$10,Paramètres!$A$1:$I$89,3,0)*VLOOKUP('Données projet'!$B$10,Paramètres!$A$1:$I$89,5,0)</f>
        <v>1.2414602679200471E-13</v>
      </c>
      <c r="AK199" s="13">
        <f t="shared" si="164"/>
        <v>1.8186582995804361E-12</v>
      </c>
      <c r="AL199" s="20">
        <f t="shared" si="165"/>
        <v>3.3837175350986671E-12</v>
      </c>
      <c r="AM199" s="59">
        <f t="shared" si="193"/>
        <v>293.33333333333672</v>
      </c>
      <c r="AN199" s="59">
        <f ca="1">AVERAGE(OFFSET($AM$3,0,0,'Données projet'!$E$10+1,1))-AVERAGE(OFFSET($H$3,0,0,'Données projet'!$E$10+1,1))</f>
        <v>168.72306536277267</v>
      </c>
      <c r="AO199" s="59">
        <f t="shared" si="205"/>
        <v>203.35476578922339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0.11361299912818849</v>
      </c>
      <c r="AV199" s="21">
        <f>EXP(-LN(2)/25)*AV198+(1-EXP(-LN(2)/25))/(LN(2)/25)*Calculateur!AQ199*Calculateur!AS199*VLOOKUP('Données projet'!$B$10,Paramètres!$A$1:$I$89,3,0)*0.475*44/12</f>
        <v>0.23046540553652922</v>
      </c>
      <c r="AW199" s="21">
        <f>EXP(-LN(2)/2)*AW198+(1-EXP(-LN(2)/2))/(LN(2)/2)*AQ199*AT199*VLOOKUP('Données projet'!$B$10,Paramètres!$A$1:$I$89,3,0)*0.475*44/12</f>
        <v>2.0704172143159592E-24</v>
      </c>
      <c r="AX199" s="21">
        <f t="shared" si="166"/>
        <v>0.34407840466471773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3.3992364478763198E-14</v>
      </c>
      <c r="BF199" s="13">
        <f t="shared" si="167"/>
        <v>5.790027782444094E-13</v>
      </c>
      <c r="BG199" s="20">
        <f t="shared" si="168"/>
        <v>1.0676332069095257E-12</v>
      </c>
      <c r="BH199" s="59">
        <f t="shared" si="194"/>
        <v>293.33333333333439</v>
      </c>
      <c r="BI199" s="59">
        <f ca="1">AVERAGE(OFFSET($BH$3,0,0,'Données projet'!$E$11+1,1))-AVERAGE(OFFSET($H$3,0,0,'Données projet'!$E$11+1,1))</f>
        <v>165.39579887388538</v>
      </c>
      <c r="BJ199" s="59">
        <f t="shared" si="206"/>
        <v>155.89639262545802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7.3087546962915542E-2</v>
      </c>
      <c r="BR199" s="21">
        <f>EXP(-LN(2)/2)*BR198+(1-EXP(-LN(2)/2))/(LN(2)/2)*BL199*BO199*VLOOKUP('Données projet'!$B$11,Paramètres!$A$1:$I$89,3,0)*0.475*44/12</f>
        <v>1.4351620577308776E-24</v>
      </c>
      <c r="BS199" s="22">
        <f t="shared" si="169"/>
        <v>7.3087546962915542E-2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2.8421709430404007E-14</v>
      </c>
      <c r="BZ199" s="13">
        <f>BY199*VLOOKUP('Données projet'!$B$12,Paramètres!$A$1:$I$89,3,0)*VLOOKUP('Données projet'!$B$12,Paramètres!$A$1:$I$89,5,0)</f>
        <v>2.7489477361086758E-14</v>
      </c>
      <c r="CA199" s="13">
        <f t="shared" si="170"/>
        <v>4.7995394886724981E-13</v>
      </c>
      <c r="CB199" s="20">
        <f t="shared" si="171"/>
        <v>8.8379730068101964E-13</v>
      </c>
      <c r="CC199" s="59">
        <f t="shared" si="195"/>
        <v>293.33333333333422</v>
      </c>
      <c r="CD199" s="59">
        <f ca="1">AVERAGE(OFFSET($CC$3,0,0,'Données projet'!$E$12+1,1))-AVERAGE(OFFSET($H$3,0,0,'Données projet'!$E$12+1,1))</f>
        <v>156.26368818265388</v>
      </c>
      <c r="CE199" s="59">
        <f t="shared" si="207"/>
        <v>56.347130462109817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2.8421709430404007E-14</v>
      </c>
      <c r="CU199" s="17">
        <f>CT199*VLOOKUP('Données projet'!$B$13,Paramètres!$A$1:$I$89,3,0)*VLOOKUP('Données projet'!$B$13,Paramètres!$A$1:$I$89,5,0)</f>
        <v>2.3055690689943732E-14</v>
      </c>
      <c r="CV199" s="13">
        <f t="shared" si="173"/>
        <v>4.10868481342271E-13</v>
      </c>
      <c r="CW199" s="20">
        <f t="shared" si="174"/>
        <v>7.5575126628944061E-13</v>
      </c>
      <c r="CX199" s="59">
        <f t="shared" si="196"/>
        <v>293.33333333333405</v>
      </c>
      <c r="CY199" s="59">
        <f ca="1">AVERAGE(OFFSET($CX$3,0,0,'Données projet'!$E$13+1,1))-AVERAGE(OFFSET($H$3,0,0,'Données projet'!$E$13+1,1))</f>
        <v>112.78807760743126</v>
      </c>
      <c r="CZ199" s="59">
        <f t="shared" si="208"/>
        <v>37.867745922003564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-8.5265128291212022E-14</v>
      </c>
      <c r="DP199" s="17">
        <f>DO199*VLOOKUP('Données projet'!$B$14,Paramètres!$A$1:$I$89,3,0)*VLOOKUP('Données projet'!$B$14,Paramètres!$A$1:$I$89,5,0)</f>
        <v>-5.7195848057745024E-14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107.15837202366862</v>
      </c>
      <c r="DU199" s="59">
        <f t="shared" si="209"/>
        <v>139.67031833740026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5.6832237348220918E-2</v>
      </c>
      <c r="EC199" s="21">
        <f>EXP(-LN(2)/2)*EC198+(1-EXP(-LN(2)/2))/(LN(2)/2)*DW199*DZ199*VLOOKUP('Données projet'!$B$14,Paramètres!$A$1:$I$89,3,0)*0.475*44/12</f>
        <v>6.9787941558286269E-25</v>
      </c>
      <c r="ED199" s="22">
        <f t="shared" si="178"/>
        <v>5.6832237348220918E-2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-1.1368683772161603E-13</v>
      </c>
      <c r="EK199" s="17">
        <f>EJ199*VLOOKUP('Données projet'!$B$15,Paramètres!$A$1:$I$89,3,0)*VLOOKUP('Données projet'!$B$15,Paramètres!$A$1:$I$89,5,0)</f>
        <v>-5.3205440053716299E-14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123.60520571614535</v>
      </c>
      <c r="EP199" s="59">
        <f t="shared" si="210"/>
        <v>119.00926870519527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3.2391297914710099E-2</v>
      </c>
      <c r="EW199" s="21">
        <f>EXP(-LN(2)/25)*EW198+(1-EXP(-LN(2)/25))/(LN(2)/25)*Calculateur!ER199*Calculateur!ET199*VLOOKUP('Données projet'!$B$15,Paramètres!$A$1:$I$89,3,0)*0.475*44/12</f>
        <v>4.7895431128367361E-2</v>
      </c>
      <c r="EX199" s="21">
        <f>EXP(-LN(2)/2)*EX198+(1-EXP(-LN(2)/2))/(LN(2)/2)*ER199*EU199*VLOOKUP('Données projet'!$B$15,Paramètres!$A$1:$I$89,3,0)*0.475*44/12</f>
        <v>6.3214284862319145E-25</v>
      </c>
      <c r="EY199" s="22">
        <f t="shared" si="181"/>
        <v>8.0286729043077459E-2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-2.2737367544323206E-13</v>
      </c>
      <c r="FF199" s="17">
        <f>FE199*VLOOKUP('Données projet'!$B$16,Paramètres!$A$1:$I$89,3,0)*VLOOKUP('Données projet'!$B$16,Paramètres!$A$1:$I$89,5,0)</f>
        <v>-1.0936673788819462E-13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197.66963254934603</v>
      </c>
      <c r="FK199" s="59">
        <f t="shared" si="211"/>
        <v>158.08388141976138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9.9611034269646528E-2</v>
      </c>
      <c r="FR199" s="21">
        <f>EXP(-LN(2)/25)*FR198+(1-EXP(-LN(2)/25))/(LN(2)/25)*Calculateur!FM199*Calculateur!FO199*VLOOKUP('Données projet'!$B$16,Paramètres!$A$1:$I$89,3,0)*0.475*44/12</f>
        <v>5.3275456643264045E-2</v>
      </c>
      <c r="FS199" s="21">
        <f>EXP(-LN(2)/2)*FS198+(1-EXP(-LN(2)/2))/(LN(2)/2)*FM199*FP199*VLOOKUP('Données projet'!$B$16,Paramètres!$A$1:$I$89,3,0)*0.475*44/12</f>
        <v>8.5592273729357942E-25</v>
      </c>
      <c r="FT199" s="22">
        <f t="shared" si="184"/>
        <v>0.15288649091291057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5.6843418860808015E-14</v>
      </c>
      <c r="GA199" s="17">
        <f>FZ199*VLOOKUP('Données projet'!$B$17,Paramètres!$A$1:$I$89,3,0)*VLOOKUP('Données projet'!$B$17,Paramètres!$A$1:$I$89,5,0)</f>
        <v>3.3992364478763198E-14</v>
      </c>
      <c r="GB199" s="13">
        <f t="shared" si="185"/>
        <v>5.790027782444094E-13</v>
      </c>
      <c r="GC199" s="20">
        <f t="shared" si="186"/>
        <v>1.0676332069095257E-12</v>
      </c>
      <c r="GD199" s="59">
        <f t="shared" si="200"/>
        <v>293.33333333333439</v>
      </c>
      <c r="GE199" s="59">
        <f ca="1">AVERAGE(OFFSET($GD$3,0,0,'Données projet'!$E$17+1,1))-AVERAGE(OFFSET($H$3,0,0,'Données projet'!$E$17+1,1))</f>
        <v>165.39579887388538</v>
      </c>
      <c r="GF199" s="59">
        <f t="shared" si="212"/>
        <v>155.89639262545802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7.3087546962915542E-2</v>
      </c>
      <c r="GN199" s="21">
        <f>EXP(-LN(2)/2)*GN198+(1-EXP(-LN(2)/2))/(LN(2)/2)*GH199*GK199*VLOOKUP('Données projet'!$B$17,Paramètres!$A$1:$I$89,3,0)*0.475*44/12</f>
        <v>1.4351620577308776E-24</v>
      </c>
      <c r="GO199" s="21">
        <f t="shared" si="187"/>
        <v>7.3087546962915542E-2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2.8421709430404007E-14</v>
      </c>
      <c r="GV199" s="17">
        <f>GU199*VLOOKUP('Données projet'!$B$18,Paramètres!$A$1:$I$89,3,0)*VLOOKUP('Données projet'!$B$18,Paramètres!$A$1:$I$89,5,0)</f>
        <v>3.0593128030886874E-14</v>
      </c>
      <c r="GW199" s="13">
        <f t="shared" si="188"/>
        <v>5.2753263159251616E-13</v>
      </c>
      <c r="GX199" s="20">
        <f t="shared" si="189"/>
        <v>9.7206903134409357E-13</v>
      </c>
      <c r="GY199" s="59">
        <f t="shared" si="201"/>
        <v>293.33333333333428</v>
      </c>
      <c r="GZ199" s="59">
        <f ca="1">AVERAGE(OFFSET($GY$3,0,0,'Données projet'!$E$18+1,1))-AVERAGE(OFFSET($H$3,0,0,'Données projet'!$E$18+1,1))</f>
        <v>186.60545265015247</v>
      </c>
      <c r="HA199" s="59">
        <f t="shared" si="213"/>
        <v>69.239647548491234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0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0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1.9065282685915009E-13</v>
      </c>
      <c r="P200" s="13">
        <f t="shared" si="203"/>
        <v>2.6568987209435707E-12</v>
      </c>
      <c r="Q200" s="20">
        <f t="shared" si="162"/>
        <v>4.959485612423072E-12</v>
      </c>
      <c r="R200" s="59">
        <f t="shared" si="191"/>
        <v>293.33333333333826</v>
      </c>
      <c r="S200" s="59">
        <f ca="1">AVERAGE(OFFSET($R$3,0,0,'Données projet'!$E$9+1,1))-AVERAGE(OFFSET($H$3,0,0,'Données projet'!$E$9+1,1))</f>
        <v>235.10258076192054</v>
      </c>
      <c r="T200" s="59">
        <f t="shared" si="204"/>
        <v>233.47316052603765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0.12544085853179021</v>
      </c>
      <c r="AA200" s="21">
        <f>EXP(-LN(2)/25)*AA199+(1-EXP(-LN(2)/25))/(LN(2)/25)*Calculateur!V200*Calculateur!X200*VLOOKUP('Données projet'!$B$9,Paramètres!$A$1:$I$89,3,0)*0.475*44/12</f>
        <v>0.17978773181701363</v>
      </c>
      <c r="AB200" s="21">
        <f>EXP(-LN(2)/2)*AB199+(1-EXP(-LN(2)/2))/(LN(2)/2)*V200*Y200*VLOOKUP('Données projet'!$B$9,Paramètres!$A$1:$I$89,3,0)*0.475*44/12</f>
        <v>1.7636408377678406E-24</v>
      </c>
      <c r="AC200" s="22">
        <f t="shared" si="163"/>
        <v>0.30522859034880384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2.2737367544323206E-13</v>
      </c>
      <c r="AJ200" s="13">
        <f>AI200*VLOOKUP('Données projet'!$B$10,Paramètres!$A$1:$I$89,3,0)*VLOOKUP('Données projet'!$B$10,Paramètres!$A$1:$I$89,5,0)</f>
        <v>1.2414602679200471E-13</v>
      </c>
      <c r="AK200" s="13">
        <f t="shared" si="164"/>
        <v>1.8186582995804361E-12</v>
      </c>
      <c r="AL200" s="20">
        <f t="shared" si="165"/>
        <v>3.3837175350986671E-12</v>
      </c>
      <c r="AM200" s="59">
        <f t="shared" si="193"/>
        <v>293.33333333333672</v>
      </c>
      <c r="AN200" s="59">
        <f ca="1">AVERAGE(OFFSET($AM$3,0,0,'Données projet'!$E$10+1,1))-AVERAGE(OFFSET($H$3,0,0,'Données projet'!$E$10+1,1))</f>
        <v>168.72306536277267</v>
      </c>
      <c r="AO200" s="59">
        <f t="shared" si="205"/>
        <v>203.35476578922339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0.11138511751237166</v>
      </c>
      <c r="AV200" s="21">
        <f>EXP(-LN(2)/25)*AV199+(1-EXP(-LN(2)/25))/(LN(2)/25)*Calculateur!AQ200*Calculateur!AS200*VLOOKUP('Données projet'!$B$10,Paramètres!$A$1:$I$89,3,0)*0.475*44/12</f>
        <v>0.22416331690248389</v>
      </c>
      <c r="AW200" s="21">
        <f>EXP(-LN(2)/2)*AW199+(1-EXP(-LN(2)/2))/(LN(2)/2)*AQ200*AT200*VLOOKUP('Données projet'!$B$10,Paramètres!$A$1:$I$89,3,0)*0.475*44/12</f>
        <v>1.4640060521281762E-24</v>
      </c>
      <c r="AX200" s="21">
        <f t="shared" si="166"/>
        <v>0.33554843441485555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3.3992364478763198E-14</v>
      </c>
      <c r="BF200" s="13">
        <f t="shared" si="167"/>
        <v>5.790027782444094E-13</v>
      </c>
      <c r="BG200" s="20">
        <f t="shared" si="168"/>
        <v>1.0676332069095257E-12</v>
      </c>
      <c r="BH200" s="59">
        <f t="shared" si="194"/>
        <v>293.33333333333439</v>
      </c>
      <c r="BI200" s="59">
        <f ca="1">AVERAGE(OFFSET($BH$3,0,0,'Données projet'!$E$11+1,1))-AVERAGE(OFFSET($H$3,0,0,'Données projet'!$E$11+1,1))</f>
        <v>165.39579887388538</v>
      </c>
      <c r="BJ200" s="59">
        <f t="shared" si="206"/>
        <v>155.89639262545802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7.1088964147707559E-2</v>
      </c>
      <c r="BR200" s="21">
        <f>EXP(-LN(2)/2)*BR199+(1-EXP(-LN(2)/2))/(LN(2)/2)*BL200*BO200*VLOOKUP('Données projet'!$B$11,Paramètres!$A$1:$I$89,3,0)*0.475*44/12</f>
        <v>1.0148128231231429E-24</v>
      </c>
      <c r="BS200" s="22">
        <f t="shared" si="169"/>
        <v>7.1088964147707559E-2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2.8421709430404007E-14</v>
      </c>
      <c r="BZ200" s="13">
        <f>BY200*VLOOKUP('Données projet'!$B$12,Paramètres!$A$1:$I$89,3,0)*VLOOKUP('Données projet'!$B$12,Paramètres!$A$1:$I$89,5,0)</f>
        <v>2.7489477361086758E-14</v>
      </c>
      <c r="CA200" s="13">
        <f t="shared" si="170"/>
        <v>4.7995394886724981E-13</v>
      </c>
      <c r="CB200" s="20">
        <f t="shared" si="171"/>
        <v>8.8379730068101964E-13</v>
      </c>
      <c r="CC200" s="59">
        <f t="shared" si="195"/>
        <v>293.33333333333422</v>
      </c>
      <c r="CD200" s="59">
        <f ca="1">AVERAGE(OFFSET($CC$3,0,0,'Données projet'!$E$12+1,1))-AVERAGE(OFFSET($H$3,0,0,'Données projet'!$E$12+1,1))</f>
        <v>156.26368818265388</v>
      </c>
      <c r="CE200" s="59">
        <f t="shared" si="207"/>
        <v>56.347130462109817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2.8421709430404007E-14</v>
      </c>
      <c r="CU200" s="17">
        <f>CT200*VLOOKUP('Données projet'!$B$13,Paramètres!$A$1:$I$89,3,0)*VLOOKUP('Données projet'!$B$13,Paramètres!$A$1:$I$89,5,0)</f>
        <v>2.3055690689943732E-14</v>
      </c>
      <c r="CV200" s="13">
        <f t="shared" si="173"/>
        <v>4.10868481342271E-13</v>
      </c>
      <c r="CW200" s="20">
        <f t="shared" si="174"/>
        <v>7.5575126628944061E-13</v>
      </c>
      <c r="CX200" s="59">
        <f t="shared" si="196"/>
        <v>293.33333333333405</v>
      </c>
      <c r="CY200" s="59">
        <f ca="1">AVERAGE(OFFSET($CX$3,0,0,'Données projet'!$E$13+1,1))-AVERAGE(OFFSET($H$3,0,0,'Données projet'!$E$13+1,1))</f>
        <v>112.78807760743126</v>
      </c>
      <c r="CZ200" s="59">
        <f t="shared" si="208"/>
        <v>37.867745922003564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-8.5265128291212022E-14</v>
      </c>
      <c r="DP200" s="17">
        <f>DO200*VLOOKUP('Données projet'!$B$14,Paramètres!$A$1:$I$89,3,0)*VLOOKUP('Données projet'!$B$14,Paramètres!$A$1:$I$89,5,0)</f>
        <v>-5.7195848057745024E-14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107.15837202366862</v>
      </c>
      <c r="DU200" s="59">
        <f t="shared" si="209"/>
        <v>139.67031833740026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5.5278156829256346E-2</v>
      </c>
      <c r="EC200" s="21">
        <f>EXP(-LN(2)/2)*EC199+(1-EXP(-LN(2)/2))/(LN(2)/2)*DW200*DZ200*VLOOKUP('Données projet'!$B$14,Paramètres!$A$1:$I$89,3,0)*0.475*44/12</f>
        <v>4.9347526720914695E-25</v>
      </c>
      <c r="ED200" s="22">
        <f t="shared" si="178"/>
        <v>5.5278156829256346E-2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-1.1368683772161603E-13</v>
      </c>
      <c r="EK200" s="17">
        <f>EJ200*VLOOKUP('Données projet'!$B$15,Paramètres!$A$1:$I$89,3,0)*VLOOKUP('Données projet'!$B$15,Paramètres!$A$1:$I$89,5,0)</f>
        <v>-5.3205440053716299E-14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123.60520571614535</v>
      </c>
      <c r="EP200" s="59">
        <f t="shared" si="210"/>
        <v>119.00926870519527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3.1756124319343548E-2</v>
      </c>
      <c r="EW200" s="21">
        <f>EXP(-LN(2)/25)*EW199+(1-EXP(-LN(2)/25))/(LN(2)/25)*Calculateur!ER200*Calculateur!ET200*VLOOKUP('Données projet'!$B$15,Paramètres!$A$1:$I$89,3,0)*0.475*44/12</f>
        <v>4.65857280454509E-2</v>
      </c>
      <c r="EX200" s="21">
        <f>EXP(-LN(2)/2)*EX199+(1-EXP(-LN(2)/2))/(LN(2)/2)*ER200*EU200*VLOOKUP('Données projet'!$B$15,Paramètres!$A$1:$I$89,3,0)*0.475*44/12</f>
        <v>4.4699249494003987E-25</v>
      </c>
      <c r="EY200" s="22">
        <f t="shared" si="181"/>
        <v>7.8341852364794448E-2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-2.2737367544323206E-13</v>
      </c>
      <c r="FF200" s="17">
        <f>FE200*VLOOKUP('Données projet'!$B$16,Paramètres!$A$1:$I$89,3,0)*VLOOKUP('Données projet'!$B$16,Paramètres!$A$1:$I$89,5,0)</f>
        <v>-1.0936673788819462E-13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197.66963254934603</v>
      </c>
      <c r="FK200" s="59">
        <f t="shared" si="211"/>
        <v>158.08388141976138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9.7657722644350436E-2</v>
      </c>
      <c r="FR200" s="21">
        <f>EXP(-LN(2)/25)*FR199+(1-EXP(-LN(2)/25))/(LN(2)/25)*Calculateur!FM200*Calculateur!FO200*VLOOKUP('Données projet'!$B$16,Paramètres!$A$1:$I$89,3,0)*0.475*44/12</f>
        <v>5.1818636479719488E-2</v>
      </c>
      <c r="FS200" s="21">
        <f>EXP(-LN(2)/2)*FS199+(1-EXP(-LN(2)/2))/(LN(2)/2)*FM200*FP200*VLOOKUP('Données projet'!$B$16,Paramètres!$A$1:$I$89,3,0)*0.475*44/12</f>
        <v>6.0522877171204188E-25</v>
      </c>
      <c r="FT200" s="22">
        <f t="shared" si="184"/>
        <v>0.14947635912406992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5.6843418860808015E-14</v>
      </c>
      <c r="GA200" s="17">
        <f>FZ200*VLOOKUP('Données projet'!$B$17,Paramètres!$A$1:$I$89,3,0)*VLOOKUP('Données projet'!$B$17,Paramètres!$A$1:$I$89,5,0)</f>
        <v>3.3992364478763198E-14</v>
      </c>
      <c r="GB200" s="13">
        <f t="shared" si="185"/>
        <v>5.790027782444094E-13</v>
      </c>
      <c r="GC200" s="20">
        <f t="shared" si="186"/>
        <v>1.0676332069095257E-12</v>
      </c>
      <c r="GD200" s="59">
        <f t="shared" si="200"/>
        <v>293.33333333333439</v>
      </c>
      <c r="GE200" s="59">
        <f ca="1">AVERAGE(OFFSET($GD$3,0,0,'Données projet'!$E$17+1,1))-AVERAGE(OFFSET($H$3,0,0,'Données projet'!$E$17+1,1))</f>
        <v>165.39579887388538</v>
      </c>
      <c r="GF200" s="59">
        <f t="shared" si="212"/>
        <v>155.89639262545802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7.1088964147707559E-2</v>
      </c>
      <c r="GN200" s="21">
        <f>EXP(-LN(2)/2)*GN199+(1-EXP(-LN(2)/2))/(LN(2)/2)*GH200*GK200*VLOOKUP('Données projet'!$B$17,Paramètres!$A$1:$I$89,3,0)*0.475*44/12</f>
        <v>1.0148128231231429E-24</v>
      </c>
      <c r="GO200" s="21">
        <f t="shared" si="187"/>
        <v>7.1088964147707559E-2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2.8421709430404007E-14</v>
      </c>
      <c r="GV200" s="17">
        <f>GU200*VLOOKUP('Données projet'!$B$18,Paramètres!$A$1:$I$89,3,0)*VLOOKUP('Données projet'!$B$18,Paramètres!$A$1:$I$89,5,0)</f>
        <v>3.0593128030886874E-14</v>
      </c>
      <c r="GW200" s="13">
        <f t="shared" si="188"/>
        <v>5.2753263159251616E-13</v>
      </c>
      <c r="GX200" s="20">
        <f t="shared" si="189"/>
        <v>9.7206903134409357E-13</v>
      </c>
      <c r="GY200" s="59">
        <f t="shared" si="201"/>
        <v>293.33333333333428</v>
      </c>
      <c r="GZ200" s="59">
        <f ca="1">AVERAGE(OFFSET($GY$3,0,0,'Données projet'!$E$18+1,1))-AVERAGE(OFFSET($H$3,0,0,'Données projet'!$E$18+1,1))</f>
        <v>186.60545265015247</v>
      </c>
      <c r="HA200" s="59">
        <f t="shared" si="213"/>
        <v>69.239647548491234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0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0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1.9065282685915009E-13</v>
      </c>
      <c r="P201" s="13">
        <f t="shared" si="203"/>
        <v>2.6568987209435707E-12</v>
      </c>
      <c r="Q201" s="20">
        <f t="shared" si="162"/>
        <v>4.959485612423072E-12</v>
      </c>
      <c r="R201" s="59">
        <f t="shared" si="191"/>
        <v>293.33333333333826</v>
      </c>
      <c r="S201" s="59">
        <f ca="1">AVERAGE(OFFSET($R$3,0,0,'Données projet'!$E$9+1,1))-AVERAGE(OFFSET($H$3,0,0,'Données projet'!$E$9+1,1))</f>
        <v>235.10258076192054</v>
      </c>
      <c r="T201" s="59">
        <f t="shared" si="204"/>
        <v>233.47316052603765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0.12298103980735064</v>
      </c>
      <c r="AA201" s="21">
        <f>EXP(-LN(2)/25)*AA200+(1-EXP(-LN(2)/25))/(LN(2)/25)*Calculateur!V201*Calculateur!X201*VLOOKUP('Données projet'!$B$9,Paramètres!$A$1:$I$89,3,0)*0.475*44/12</f>
        <v>0.1748714268358515</v>
      </c>
      <c r="AB201" s="21">
        <f>EXP(-LN(2)/2)*AB200+(1-EXP(-LN(2)/2))/(LN(2)/2)*V201*Y201*VLOOKUP('Données projet'!$B$9,Paramètres!$A$1:$I$89,3,0)*0.475*44/12</f>
        <v>1.2470823959631638E-24</v>
      </c>
      <c r="AC201" s="22">
        <f t="shared" si="163"/>
        <v>0.29785246664320214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2.2737367544323206E-13</v>
      </c>
      <c r="AJ201" s="13">
        <f>AI201*VLOOKUP('Données projet'!$B$10,Paramètres!$A$1:$I$89,3,0)*VLOOKUP('Données projet'!$B$10,Paramètres!$A$1:$I$89,5,0)</f>
        <v>1.2414602679200471E-13</v>
      </c>
      <c r="AK201" s="13">
        <f t="shared" si="164"/>
        <v>1.8186582995804361E-12</v>
      </c>
      <c r="AL201" s="20">
        <f t="shared" si="165"/>
        <v>3.3837175350986671E-12</v>
      </c>
      <c r="AM201" s="59">
        <f t="shared" si="193"/>
        <v>293.33333333333672</v>
      </c>
      <c r="AN201" s="59">
        <f ca="1">AVERAGE(OFFSET($AM$3,0,0,'Données projet'!$E$10+1,1))-AVERAGE(OFFSET($H$3,0,0,'Données projet'!$E$10+1,1))</f>
        <v>168.72306536277267</v>
      </c>
      <c r="AO201" s="59">
        <f t="shared" si="205"/>
        <v>203.35476578922339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0.1092009232961674</v>
      </c>
      <c r="AV201" s="21">
        <f>EXP(-LN(2)/25)*AV200+(1-EXP(-LN(2)/25))/(LN(2)/25)*Calculateur!AQ201*Calculateur!AS201*VLOOKUP('Données projet'!$B$10,Paramètres!$A$1:$I$89,3,0)*0.475*44/12</f>
        <v>0.21803355921354897</v>
      </c>
      <c r="AW201" s="21">
        <f>EXP(-LN(2)/2)*AW200+(1-EXP(-LN(2)/2))/(LN(2)/2)*AQ201*AT201*VLOOKUP('Données projet'!$B$10,Paramètres!$A$1:$I$89,3,0)*0.475*44/12</f>
        <v>1.0352086071579796E-24</v>
      </c>
      <c r="AX201" s="21">
        <f t="shared" si="166"/>
        <v>0.32723448250971637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3.3992364478763198E-14</v>
      </c>
      <c r="BF201" s="13">
        <f t="shared" si="167"/>
        <v>5.790027782444094E-13</v>
      </c>
      <c r="BG201" s="20">
        <f t="shared" si="168"/>
        <v>1.0676332069095257E-12</v>
      </c>
      <c r="BH201" s="59">
        <f t="shared" si="194"/>
        <v>293.33333333333439</v>
      </c>
      <c r="BI201" s="59">
        <f ca="1">AVERAGE(OFFSET($BH$3,0,0,'Données projet'!$E$11+1,1))-AVERAGE(OFFSET($H$3,0,0,'Données projet'!$E$11+1,1))</f>
        <v>165.39579887388538</v>
      </c>
      <c r="BJ201" s="59">
        <f t="shared" si="206"/>
        <v>155.89639262545802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6.9145032684682348E-2</v>
      </c>
      <c r="BR201" s="21">
        <f>EXP(-LN(2)/2)*BR200+(1-EXP(-LN(2)/2))/(LN(2)/2)*BL201*BO201*VLOOKUP('Données projet'!$B$11,Paramètres!$A$1:$I$89,3,0)*0.475*44/12</f>
        <v>7.175810288654388E-25</v>
      </c>
      <c r="BS201" s="22">
        <f t="shared" si="169"/>
        <v>6.9145032684682348E-2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2.8421709430404007E-14</v>
      </c>
      <c r="BZ201" s="13">
        <f>BY201*VLOOKUP('Données projet'!$B$12,Paramètres!$A$1:$I$89,3,0)*VLOOKUP('Données projet'!$B$12,Paramètres!$A$1:$I$89,5,0)</f>
        <v>2.7489477361086758E-14</v>
      </c>
      <c r="CA201" s="13">
        <f t="shared" si="170"/>
        <v>4.7995394886724981E-13</v>
      </c>
      <c r="CB201" s="20">
        <f t="shared" si="171"/>
        <v>8.8379730068101964E-13</v>
      </c>
      <c r="CC201" s="59">
        <f t="shared" si="195"/>
        <v>293.33333333333422</v>
      </c>
      <c r="CD201" s="59">
        <f ca="1">AVERAGE(OFFSET($CC$3,0,0,'Données projet'!$E$12+1,1))-AVERAGE(OFFSET($H$3,0,0,'Données projet'!$E$12+1,1))</f>
        <v>156.26368818265388</v>
      </c>
      <c r="CE201" s="59">
        <f t="shared" si="207"/>
        <v>56.347130462109817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2.8421709430404007E-14</v>
      </c>
      <c r="CU201" s="17">
        <f>CT201*VLOOKUP('Données projet'!$B$13,Paramètres!$A$1:$I$89,3,0)*VLOOKUP('Données projet'!$B$13,Paramètres!$A$1:$I$89,5,0)</f>
        <v>2.3055690689943732E-14</v>
      </c>
      <c r="CV201" s="13">
        <f t="shared" si="173"/>
        <v>4.10868481342271E-13</v>
      </c>
      <c r="CW201" s="20">
        <f t="shared" si="174"/>
        <v>7.5575126628944061E-13</v>
      </c>
      <c r="CX201" s="59">
        <f t="shared" si="196"/>
        <v>293.33333333333405</v>
      </c>
      <c r="CY201" s="59">
        <f ca="1">AVERAGE(OFFSET($CX$3,0,0,'Données projet'!$E$13+1,1))-AVERAGE(OFFSET($H$3,0,0,'Données projet'!$E$13+1,1))</f>
        <v>112.78807760743126</v>
      </c>
      <c r="CZ201" s="59">
        <f t="shared" si="208"/>
        <v>37.867745922003564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-8.5265128291212022E-14</v>
      </c>
      <c r="DP201" s="17">
        <f>DO201*VLOOKUP('Données projet'!$B$14,Paramètres!$A$1:$I$89,3,0)*VLOOKUP('Données projet'!$B$14,Paramètres!$A$1:$I$89,5,0)</f>
        <v>-5.7195848057745024E-14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107.15837202366862</v>
      </c>
      <c r="DU201" s="59">
        <f t="shared" si="209"/>
        <v>139.67031833740026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5.3766572723808401E-2</v>
      </c>
      <c r="EC201" s="21">
        <f>EXP(-LN(2)/2)*EC200+(1-EXP(-LN(2)/2))/(LN(2)/2)*DW201*DZ201*VLOOKUP('Données projet'!$B$14,Paramètres!$A$1:$I$89,3,0)*0.475*44/12</f>
        <v>3.4893970779143134E-25</v>
      </c>
      <c r="ED201" s="22">
        <f t="shared" si="178"/>
        <v>5.3766572723808401E-2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-1.1368683772161603E-13</v>
      </c>
      <c r="EK201" s="17">
        <f>EJ201*VLOOKUP('Données projet'!$B$15,Paramètres!$A$1:$I$89,3,0)*VLOOKUP('Données projet'!$B$15,Paramètres!$A$1:$I$89,5,0)</f>
        <v>-5.3205440053716299E-14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123.60520571614535</v>
      </c>
      <c r="EP201" s="59">
        <f t="shared" si="210"/>
        <v>119.00926870519527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3.1133406090764495E-2</v>
      </c>
      <c r="EW201" s="21">
        <f>EXP(-LN(2)/25)*EW200+(1-EXP(-LN(2)/25))/(LN(2)/25)*Calculateur!ER201*Calculateur!ET201*VLOOKUP('Données projet'!$B$15,Paramètres!$A$1:$I$89,3,0)*0.475*44/12</f>
        <v>4.531183886221108E-2</v>
      </c>
      <c r="EX201" s="21">
        <f>EXP(-LN(2)/2)*EX200+(1-EXP(-LN(2)/2))/(LN(2)/2)*ER201*EU201*VLOOKUP('Données projet'!$B$15,Paramètres!$A$1:$I$89,3,0)*0.475*44/12</f>
        <v>3.1607142431159573E-25</v>
      </c>
      <c r="EY201" s="22">
        <f t="shared" si="181"/>
        <v>7.6445244952975583E-2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-2.2737367544323206E-13</v>
      </c>
      <c r="FF201" s="17">
        <f>FE201*VLOOKUP('Données projet'!$B$16,Paramètres!$A$1:$I$89,3,0)*VLOOKUP('Données projet'!$B$16,Paramètres!$A$1:$I$89,5,0)</f>
        <v>-1.0936673788819462E-13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197.66963254934603</v>
      </c>
      <c r="FK201" s="59">
        <f t="shared" si="211"/>
        <v>158.08388141976138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9.5742714268623949E-2</v>
      </c>
      <c r="FR201" s="21">
        <f>EXP(-LN(2)/25)*FR200+(1-EXP(-LN(2)/25))/(LN(2)/25)*Calculateur!FM201*Calculateur!FO201*VLOOKUP('Données projet'!$B$16,Paramètres!$A$1:$I$89,3,0)*0.475*44/12</f>
        <v>5.0401653140157897E-2</v>
      </c>
      <c r="FS201" s="21">
        <f>EXP(-LN(2)/2)*FS200+(1-EXP(-LN(2)/2))/(LN(2)/2)*FM201*FP201*VLOOKUP('Données projet'!$B$16,Paramètres!$A$1:$I$89,3,0)*0.475*44/12</f>
        <v>4.2796136864678971E-25</v>
      </c>
      <c r="FT201" s="22">
        <f t="shared" si="184"/>
        <v>0.14614436740878184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5.6843418860808015E-14</v>
      </c>
      <c r="GA201" s="17">
        <f>FZ201*VLOOKUP('Données projet'!$B$17,Paramètres!$A$1:$I$89,3,0)*VLOOKUP('Données projet'!$B$17,Paramètres!$A$1:$I$89,5,0)</f>
        <v>3.3992364478763198E-14</v>
      </c>
      <c r="GB201" s="13">
        <f t="shared" si="185"/>
        <v>5.790027782444094E-13</v>
      </c>
      <c r="GC201" s="20">
        <f t="shared" si="186"/>
        <v>1.0676332069095257E-12</v>
      </c>
      <c r="GD201" s="59">
        <f t="shared" si="200"/>
        <v>293.33333333333439</v>
      </c>
      <c r="GE201" s="59">
        <f ca="1">AVERAGE(OFFSET($GD$3,0,0,'Données projet'!$E$17+1,1))-AVERAGE(OFFSET($H$3,0,0,'Données projet'!$E$17+1,1))</f>
        <v>165.39579887388538</v>
      </c>
      <c r="GF201" s="59">
        <f t="shared" si="212"/>
        <v>155.89639262545802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6.9145032684682348E-2</v>
      </c>
      <c r="GN201" s="21">
        <f>EXP(-LN(2)/2)*GN200+(1-EXP(-LN(2)/2))/(LN(2)/2)*GH201*GK201*VLOOKUP('Données projet'!$B$17,Paramètres!$A$1:$I$89,3,0)*0.475*44/12</f>
        <v>7.175810288654388E-25</v>
      </c>
      <c r="GO201" s="21">
        <f t="shared" si="187"/>
        <v>6.9145032684682348E-2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2.8421709430404007E-14</v>
      </c>
      <c r="GV201" s="17">
        <f>GU201*VLOOKUP('Données projet'!$B$18,Paramètres!$A$1:$I$89,3,0)*VLOOKUP('Données projet'!$B$18,Paramètres!$A$1:$I$89,5,0)</f>
        <v>3.0593128030886874E-14</v>
      </c>
      <c r="GW201" s="13">
        <f t="shared" si="188"/>
        <v>5.2753263159251616E-13</v>
      </c>
      <c r="GX201" s="20">
        <f t="shared" si="189"/>
        <v>9.7206903134409357E-13</v>
      </c>
      <c r="GY201" s="59">
        <f t="shared" si="201"/>
        <v>293.33333333333428</v>
      </c>
      <c r="GZ201" s="59">
        <f ca="1">AVERAGE(OFFSET($GY$3,0,0,'Données projet'!$E$18+1,1))-AVERAGE(OFFSET($H$3,0,0,'Données projet'!$E$18+1,1))</f>
        <v>186.60545265015247</v>
      </c>
      <c r="HA201" s="59">
        <f t="shared" si="213"/>
        <v>69.239647548491234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0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0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1.9065282685915009E-13</v>
      </c>
      <c r="P202" s="13">
        <f t="shared" si="203"/>
        <v>2.6568987209435707E-12</v>
      </c>
      <c r="Q202" s="20">
        <f t="shared" si="162"/>
        <v>4.959485612423072E-12</v>
      </c>
      <c r="R202" s="59">
        <f t="shared" si="191"/>
        <v>293.33333333333826</v>
      </c>
      <c r="S202" s="59">
        <f ca="1">AVERAGE(OFFSET($R$3,0,0,'Données projet'!$E$9+1,1))-AVERAGE(OFFSET($H$3,0,0,'Données projet'!$E$9+1,1))</f>
        <v>235.10258076192054</v>
      </c>
      <c r="T202" s="59">
        <f t="shared" si="204"/>
        <v>233.47316052603765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0.12056945662775606</v>
      </c>
      <c r="AA202" s="21">
        <f>EXP(-LN(2)/25)*AA201+(1-EXP(-LN(2)/25))/(LN(2)/25)*Calculateur!V202*Calculateur!X202*VLOOKUP('Données projet'!$B$9,Paramètres!$A$1:$I$89,3,0)*0.475*44/12</f>
        <v>0.17008955847293647</v>
      </c>
      <c r="AB202" s="21">
        <f>EXP(-LN(2)/2)*AB201+(1-EXP(-LN(2)/2))/(LN(2)/2)*V202*Y202*VLOOKUP('Données projet'!$B$9,Paramètres!$A$1:$I$89,3,0)*0.475*44/12</f>
        <v>8.8182041888392028E-25</v>
      </c>
      <c r="AC202" s="22">
        <f t="shared" si="163"/>
        <v>0.29065901510069253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2.2737367544323206E-13</v>
      </c>
      <c r="AJ202" s="13">
        <f>AI202*VLOOKUP('Données projet'!$B$10,Paramètres!$A$1:$I$89,3,0)*VLOOKUP('Données projet'!$B$10,Paramètres!$A$1:$I$89,5,0)</f>
        <v>1.2414602679200471E-13</v>
      </c>
      <c r="AK202" s="13">
        <f t="shared" si="164"/>
        <v>1.8186582995804361E-12</v>
      </c>
      <c r="AL202" s="20">
        <f t="shared" si="165"/>
        <v>3.3837175350986671E-12</v>
      </c>
      <c r="AM202" s="59">
        <f t="shared" si="193"/>
        <v>293.33333333333672</v>
      </c>
      <c r="AN202" s="59">
        <f ca="1">AVERAGE(OFFSET($AM$3,0,0,'Données projet'!$E$10+1,1))-AVERAGE(OFFSET($H$3,0,0,'Données projet'!$E$10+1,1))</f>
        <v>168.72306536277267</v>
      </c>
      <c r="AO202" s="59">
        <f t="shared" si="205"/>
        <v>203.35476578922339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0.10705955979631597</v>
      </c>
      <c r="AV202" s="21">
        <f>EXP(-LN(2)/25)*AV201+(1-EXP(-LN(2)/25))/(LN(2)/25)*Calculateur!AQ202*Calculateur!AS202*VLOOKUP('Données projet'!$B$10,Paramètres!$A$1:$I$89,3,0)*0.475*44/12</f>
        <v>0.21207142007096791</v>
      </c>
      <c r="AW202" s="21">
        <f>EXP(-LN(2)/2)*AW201+(1-EXP(-LN(2)/2))/(LN(2)/2)*AQ202*AT202*VLOOKUP('Données projet'!$B$10,Paramètres!$A$1:$I$89,3,0)*0.475*44/12</f>
        <v>7.3200302606408811E-25</v>
      </c>
      <c r="AX202" s="21">
        <f t="shared" si="166"/>
        <v>0.31913097986728389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3.3992364478763198E-14</v>
      </c>
      <c r="BF202" s="13">
        <f t="shared" si="167"/>
        <v>5.790027782444094E-13</v>
      </c>
      <c r="BG202" s="20">
        <f t="shared" si="168"/>
        <v>1.0676332069095257E-12</v>
      </c>
      <c r="BH202" s="59">
        <f t="shared" si="194"/>
        <v>293.33333333333439</v>
      </c>
      <c r="BI202" s="59">
        <f ca="1">AVERAGE(OFFSET($BH$3,0,0,'Données projet'!$E$11+1,1))-AVERAGE(OFFSET($H$3,0,0,'Données projet'!$E$11+1,1))</f>
        <v>165.39579887388538</v>
      </c>
      <c r="BJ202" s="59">
        <f t="shared" si="206"/>
        <v>155.89639262545802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6.725425812974048E-2</v>
      </c>
      <c r="BR202" s="21">
        <f>EXP(-LN(2)/2)*BR201+(1-EXP(-LN(2)/2))/(LN(2)/2)*BL202*BO202*VLOOKUP('Données projet'!$B$11,Paramètres!$A$1:$I$89,3,0)*0.475*44/12</f>
        <v>5.0740641156157147E-25</v>
      </c>
      <c r="BS202" s="22">
        <f t="shared" si="169"/>
        <v>6.725425812974048E-2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2.8421709430404007E-14</v>
      </c>
      <c r="BZ202" s="13">
        <f>BY202*VLOOKUP('Données projet'!$B$12,Paramètres!$A$1:$I$89,3,0)*VLOOKUP('Données projet'!$B$12,Paramètres!$A$1:$I$89,5,0)</f>
        <v>2.7489477361086758E-14</v>
      </c>
      <c r="CA202" s="13">
        <f t="shared" si="170"/>
        <v>4.7995394886724981E-13</v>
      </c>
      <c r="CB202" s="20">
        <f t="shared" si="171"/>
        <v>8.8379730068101964E-13</v>
      </c>
      <c r="CC202" s="59">
        <f t="shared" si="195"/>
        <v>293.33333333333422</v>
      </c>
      <c r="CD202" s="59">
        <f ca="1">AVERAGE(OFFSET($CC$3,0,0,'Données projet'!$E$12+1,1))-AVERAGE(OFFSET($H$3,0,0,'Données projet'!$E$12+1,1))</f>
        <v>156.26368818265388</v>
      </c>
      <c r="CE202" s="59">
        <f t="shared" si="207"/>
        <v>56.347130462109817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2.8421709430404007E-14</v>
      </c>
      <c r="CU202" s="17">
        <f>CT202*VLOOKUP('Données projet'!$B$13,Paramètres!$A$1:$I$89,3,0)*VLOOKUP('Données projet'!$B$13,Paramètres!$A$1:$I$89,5,0)</f>
        <v>2.3055690689943732E-14</v>
      </c>
      <c r="CV202" s="13">
        <f t="shared" si="173"/>
        <v>4.10868481342271E-13</v>
      </c>
      <c r="CW202" s="20">
        <f t="shared" si="174"/>
        <v>7.5575126628944061E-13</v>
      </c>
      <c r="CX202" s="59">
        <f t="shared" si="196"/>
        <v>293.33333333333405</v>
      </c>
      <c r="CY202" s="59">
        <f ca="1">AVERAGE(OFFSET($CX$3,0,0,'Données projet'!$E$13+1,1))-AVERAGE(OFFSET($H$3,0,0,'Données projet'!$E$13+1,1))</f>
        <v>112.78807760743126</v>
      </c>
      <c r="CZ202" s="59">
        <f t="shared" si="208"/>
        <v>37.867745922003564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-8.5265128291212022E-14</v>
      </c>
      <c r="DP202" s="17">
        <f>DO202*VLOOKUP('Données projet'!$B$14,Paramètres!$A$1:$I$89,3,0)*VLOOKUP('Données projet'!$B$14,Paramètres!$A$1:$I$89,5,0)</f>
        <v>-5.7195848057745024E-14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107.15837202366862</v>
      </c>
      <c r="DU202" s="59">
        <f t="shared" si="209"/>
        <v>139.67031833740026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5.2296322965214685E-2</v>
      </c>
      <c r="EC202" s="21">
        <f>EXP(-LN(2)/2)*EC201+(1-EXP(-LN(2)/2))/(LN(2)/2)*DW202*DZ202*VLOOKUP('Données projet'!$B$14,Paramètres!$A$1:$I$89,3,0)*0.475*44/12</f>
        <v>2.4673763360457347E-25</v>
      </c>
      <c r="ED202" s="22">
        <f t="shared" si="178"/>
        <v>5.2296322965214685E-2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-1.1368683772161603E-13</v>
      </c>
      <c r="EK202" s="17">
        <f>EJ202*VLOOKUP('Données projet'!$B$15,Paramètres!$A$1:$I$89,3,0)*VLOOKUP('Données projet'!$B$15,Paramètres!$A$1:$I$89,5,0)</f>
        <v>-5.3205440053716299E-14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123.60520571614535</v>
      </c>
      <c r="EP202" s="59">
        <f t="shared" si="210"/>
        <v>119.00926870519527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3.0522898986827262E-2</v>
      </c>
      <c r="EW202" s="21">
        <f>EXP(-LN(2)/25)*EW201+(1-EXP(-LN(2)/25))/(LN(2)/25)*Calculateur!ER202*Calculateur!ET202*VLOOKUP('Données projet'!$B$15,Paramètres!$A$1:$I$89,3,0)*0.475*44/12</f>
        <v>4.4072784245677878E-2</v>
      </c>
      <c r="EX202" s="21">
        <f>EXP(-LN(2)/2)*EX201+(1-EXP(-LN(2)/2))/(LN(2)/2)*ER202*EU202*VLOOKUP('Données projet'!$B$15,Paramètres!$A$1:$I$89,3,0)*0.475*44/12</f>
        <v>2.2349624747001993E-25</v>
      </c>
      <c r="EY202" s="22">
        <f t="shared" si="181"/>
        <v>7.4595683232505136E-2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-2.2737367544323206E-13</v>
      </c>
      <c r="FF202" s="17">
        <f>FE202*VLOOKUP('Données projet'!$B$16,Paramètres!$A$1:$I$89,3,0)*VLOOKUP('Données projet'!$B$16,Paramètres!$A$1:$I$89,5,0)</f>
        <v>-1.0936673788819462E-13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197.66963254934603</v>
      </c>
      <c r="FK202" s="59">
        <f t="shared" si="211"/>
        <v>158.08388141976138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9.3865258039105684E-2</v>
      </c>
      <c r="FR202" s="21">
        <f>EXP(-LN(2)/25)*FR201+(1-EXP(-LN(2)/25))/(LN(2)/25)*Calculateur!FM202*Calculateur!FO202*VLOOKUP('Données projet'!$B$16,Paramètres!$A$1:$I$89,3,0)*0.475*44/12</f>
        <v>4.9023417284532536E-2</v>
      </c>
      <c r="FS202" s="21">
        <f>EXP(-LN(2)/2)*FS201+(1-EXP(-LN(2)/2))/(LN(2)/2)*FM202*FP202*VLOOKUP('Données projet'!$B$16,Paramètres!$A$1:$I$89,3,0)*0.475*44/12</f>
        <v>3.0261438585602094E-25</v>
      </c>
      <c r="FT202" s="22">
        <f t="shared" si="184"/>
        <v>0.14288867532363822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5.6843418860808015E-14</v>
      </c>
      <c r="GA202" s="17">
        <f>FZ202*VLOOKUP('Données projet'!$B$17,Paramètres!$A$1:$I$89,3,0)*VLOOKUP('Données projet'!$B$17,Paramètres!$A$1:$I$89,5,0)</f>
        <v>3.3992364478763198E-14</v>
      </c>
      <c r="GB202" s="13">
        <f t="shared" si="185"/>
        <v>5.790027782444094E-13</v>
      </c>
      <c r="GC202" s="20">
        <f t="shared" si="186"/>
        <v>1.0676332069095257E-12</v>
      </c>
      <c r="GD202" s="59">
        <f t="shared" si="200"/>
        <v>293.33333333333439</v>
      </c>
      <c r="GE202" s="59">
        <f ca="1">AVERAGE(OFFSET($GD$3,0,0,'Données projet'!$E$17+1,1))-AVERAGE(OFFSET($H$3,0,0,'Données projet'!$E$17+1,1))</f>
        <v>165.39579887388538</v>
      </c>
      <c r="GF202" s="59">
        <f t="shared" si="212"/>
        <v>155.89639262545802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6.725425812974048E-2</v>
      </c>
      <c r="GN202" s="21">
        <f>EXP(-LN(2)/2)*GN201+(1-EXP(-LN(2)/2))/(LN(2)/2)*GH202*GK202*VLOOKUP('Données projet'!$B$17,Paramètres!$A$1:$I$89,3,0)*0.475*44/12</f>
        <v>5.0740641156157147E-25</v>
      </c>
      <c r="GO202" s="21">
        <f t="shared" si="187"/>
        <v>6.725425812974048E-2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2.8421709430404007E-14</v>
      </c>
      <c r="GV202" s="17">
        <f>GU202*VLOOKUP('Données projet'!$B$18,Paramètres!$A$1:$I$89,3,0)*VLOOKUP('Données projet'!$B$18,Paramètres!$A$1:$I$89,5,0)</f>
        <v>3.0593128030886874E-14</v>
      </c>
      <c r="GW202" s="13">
        <f t="shared" si="188"/>
        <v>5.2753263159251616E-13</v>
      </c>
      <c r="GX202" s="20">
        <f t="shared" si="189"/>
        <v>9.7206903134409357E-13</v>
      </c>
      <c r="GY202" s="59">
        <f t="shared" si="201"/>
        <v>293.33333333333428</v>
      </c>
      <c r="GZ202" s="59">
        <f ca="1">AVERAGE(OFFSET($GY$3,0,0,'Données projet'!$E$18+1,1))-AVERAGE(OFFSET($H$3,0,0,'Données projet'!$E$18+1,1))</f>
        <v>186.60545265015247</v>
      </c>
      <c r="HA202" s="59">
        <f t="shared" si="213"/>
        <v>69.239647548491234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0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0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1.9065282685915009E-13</v>
      </c>
      <c r="P203" s="13">
        <f t="shared" si="203"/>
        <v>2.6568987209435707E-12</v>
      </c>
      <c r="Q203" s="20">
        <f t="shared" si="162"/>
        <v>4.959485612423072E-12</v>
      </c>
      <c r="R203" s="59">
        <f t="shared" si="191"/>
        <v>293.33333333333826</v>
      </c>
      <c r="S203" s="59">
        <f ca="1">AVERAGE(OFFSET($R$3,0,0,'Données projet'!$E$9+1,1))-AVERAGE(OFFSET($H$3,0,0,'Données projet'!$E$9+1,1))</f>
        <v>235.10258076192054</v>
      </c>
      <c r="T203" s="59">
        <f t="shared" si="204"/>
        <v>233.47316052603765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0.11820516312339283</v>
      </c>
      <c r="AA203" s="21">
        <f>EXP(-LN(2)/25)*AA202+(1-EXP(-LN(2)/25))/(LN(2)/25)*Calculateur!V203*Calculateur!X203*VLOOKUP('Données projet'!$B$9,Paramètres!$A$1:$I$89,3,0)*0.475*44/12</f>
        <v>0.1654384505518729</v>
      </c>
      <c r="AB203" s="21">
        <f>EXP(-LN(2)/2)*AB202+(1-EXP(-LN(2)/2))/(LN(2)/2)*V203*Y203*VLOOKUP('Données projet'!$B$9,Paramètres!$A$1:$I$89,3,0)*0.475*44/12</f>
        <v>6.235411979815819E-25</v>
      </c>
      <c r="AC203" s="22">
        <f t="shared" si="163"/>
        <v>0.28364361367526569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2.2737367544323206E-13</v>
      </c>
      <c r="AJ203" s="13">
        <f>AI203*VLOOKUP('Données projet'!$B$10,Paramètres!$A$1:$I$89,3,0)*VLOOKUP('Données projet'!$B$10,Paramètres!$A$1:$I$89,5,0)</f>
        <v>1.2414602679200471E-13</v>
      </c>
      <c r="AK203" s="13">
        <f t="shared" si="164"/>
        <v>1.8186582995804361E-12</v>
      </c>
      <c r="AL203" s="20">
        <f t="shared" si="165"/>
        <v>3.3837175350986671E-12</v>
      </c>
      <c r="AM203" s="59">
        <f t="shared" si="193"/>
        <v>293.33333333333672</v>
      </c>
      <c r="AN203" s="59">
        <f ca="1">AVERAGE(OFFSET($AM$3,0,0,'Données projet'!$E$10+1,1))-AVERAGE(OFFSET($H$3,0,0,'Données projet'!$E$10+1,1))</f>
        <v>168.72306536277267</v>
      </c>
      <c r="AO203" s="59">
        <f t="shared" si="205"/>
        <v>203.35476578922339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0.10496018712859387</v>
      </c>
      <c r="AV203" s="21">
        <f>EXP(-LN(2)/25)*AV202+(1-EXP(-LN(2)/25))/(LN(2)/25)*Calculateur!AQ203*Calculateur!AS203*VLOOKUP('Données projet'!$B$10,Paramètres!$A$1:$I$89,3,0)*0.475*44/12</f>
        <v>0.206272315936776</v>
      </c>
      <c r="AW203" s="21">
        <f>EXP(-LN(2)/2)*AW202+(1-EXP(-LN(2)/2))/(LN(2)/2)*AQ203*AT203*VLOOKUP('Données projet'!$B$10,Paramètres!$A$1:$I$89,3,0)*0.475*44/12</f>
        <v>5.1760430357898979E-25</v>
      </c>
      <c r="AX203" s="21">
        <f t="shared" si="166"/>
        <v>0.31123250306536987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3.3992364478763198E-14</v>
      </c>
      <c r="BF203" s="13">
        <f t="shared" si="167"/>
        <v>5.790027782444094E-13</v>
      </c>
      <c r="BG203" s="20">
        <f t="shared" si="168"/>
        <v>1.0676332069095257E-12</v>
      </c>
      <c r="BH203" s="59">
        <f t="shared" si="194"/>
        <v>293.33333333333439</v>
      </c>
      <c r="BI203" s="59">
        <f ca="1">AVERAGE(OFFSET($BH$3,0,0,'Données projet'!$E$11+1,1))-AVERAGE(OFFSET($H$3,0,0,'Données projet'!$E$11+1,1))</f>
        <v>165.39579887388538</v>
      </c>
      <c r="BJ203" s="59">
        <f t="shared" si="206"/>
        <v>155.89639262545802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6.5415186904434999E-2</v>
      </c>
      <c r="BR203" s="21">
        <f>EXP(-LN(2)/2)*BR202+(1-EXP(-LN(2)/2))/(LN(2)/2)*BL203*BO203*VLOOKUP('Données projet'!$B$11,Paramètres!$A$1:$I$89,3,0)*0.475*44/12</f>
        <v>3.587905144327194E-25</v>
      </c>
      <c r="BS203" s="22">
        <f t="shared" si="169"/>
        <v>6.5415186904434999E-2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2.8421709430404007E-14</v>
      </c>
      <c r="BZ203" s="13">
        <f>BY203*VLOOKUP('Données projet'!$B$12,Paramètres!$A$1:$I$89,3,0)*VLOOKUP('Données projet'!$B$12,Paramètres!$A$1:$I$89,5,0)</f>
        <v>2.7489477361086758E-14</v>
      </c>
      <c r="CA203" s="13">
        <f t="shared" si="170"/>
        <v>4.7995394886724981E-13</v>
      </c>
      <c r="CB203" s="20">
        <f t="shared" si="171"/>
        <v>8.8379730068101964E-13</v>
      </c>
      <c r="CC203" s="59">
        <f t="shared" si="195"/>
        <v>293.33333333333422</v>
      </c>
      <c r="CD203" s="59">
        <f ca="1">AVERAGE(OFFSET($CC$3,0,0,'Données projet'!$E$12+1,1))-AVERAGE(OFFSET($H$3,0,0,'Données projet'!$E$12+1,1))</f>
        <v>156.26368818265388</v>
      </c>
      <c r="CE203" s="59">
        <f t="shared" si="207"/>
        <v>56.347130462109817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2.8421709430404007E-14</v>
      </c>
      <c r="CU203" s="17">
        <f>CT203*VLOOKUP('Données projet'!$B$13,Paramètres!$A$1:$I$89,3,0)*VLOOKUP('Données projet'!$B$13,Paramètres!$A$1:$I$89,5,0)</f>
        <v>2.3055690689943732E-14</v>
      </c>
      <c r="CV203" s="13">
        <f t="shared" si="173"/>
        <v>4.10868481342271E-13</v>
      </c>
      <c r="CW203" s="20">
        <f t="shared" si="174"/>
        <v>7.5575126628944061E-13</v>
      </c>
      <c r="CX203" s="59">
        <f t="shared" si="196"/>
        <v>293.33333333333405</v>
      </c>
      <c r="CY203" s="59">
        <f ca="1">AVERAGE(OFFSET($CX$3,0,0,'Données projet'!$E$13+1,1))-AVERAGE(OFFSET($H$3,0,0,'Données projet'!$E$13+1,1))</f>
        <v>112.78807760743126</v>
      </c>
      <c r="CZ203" s="59">
        <f t="shared" si="208"/>
        <v>37.867745922003564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-8.5265128291212022E-14</v>
      </c>
      <c r="DP203" s="17">
        <f>DO203*VLOOKUP('Données projet'!$B$14,Paramètres!$A$1:$I$89,3,0)*VLOOKUP('Données projet'!$B$14,Paramètres!$A$1:$I$89,5,0)</f>
        <v>-5.7195848057745024E-14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107.15837202366862</v>
      </c>
      <c r="DU203" s="59">
        <f t="shared" si="209"/>
        <v>139.67031833740026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5.0866277263586793E-2</v>
      </c>
      <c r="EC203" s="21">
        <f>EXP(-LN(2)/2)*EC202+(1-EXP(-LN(2)/2))/(LN(2)/2)*DW203*DZ203*VLOOKUP('Données projet'!$B$14,Paramètres!$A$1:$I$89,3,0)*0.475*44/12</f>
        <v>1.7446985389571567E-25</v>
      </c>
      <c r="ED203" s="22">
        <f t="shared" si="178"/>
        <v>5.0866277263586793E-2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-1.1368683772161603E-13</v>
      </c>
      <c r="EK203" s="17">
        <f>EJ203*VLOOKUP('Données projet'!$B$15,Paramètres!$A$1:$I$89,3,0)*VLOOKUP('Données projet'!$B$15,Paramètres!$A$1:$I$89,5,0)</f>
        <v>-5.3205440053716299E-14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123.60520571614535</v>
      </c>
      <c r="EP203" s="59">
        <f t="shared" si="210"/>
        <v>119.00926870519527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2.9924363554825674E-2</v>
      </c>
      <c r="EW203" s="21">
        <f>EXP(-LN(2)/25)*EW202+(1-EXP(-LN(2)/25))/(LN(2)/25)*Calculateur!ER203*Calculateur!ET203*VLOOKUP('Données projet'!$B$15,Paramètres!$A$1:$I$89,3,0)*0.475*44/12</f>
        <v>4.2867611642792819E-2</v>
      </c>
      <c r="EX203" s="21">
        <f>EXP(-LN(2)/2)*EX202+(1-EXP(-LN(2)/2))/(LN(2)/2)*ER203*EU203*VLOOKUP('Données projet'!$B$15,Paramètres!$A$1:$I$89,3,0)*0.475*44/12</f>
        <v>1.5803571215579786E-25</v>
      </c>
      <c r="EY203" s="22">
        <f t="shared" si="181"/>
        <v>7.2791975197618486E-2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-2.2737367544323206E-13</v>
      </c>
      <c r="FF203" s="17">
        <f>FE203*VLOOKUP('Données projet'!$B$16,Paramètres!$A$1:$I$89,3,0)*VLOOKUP('Données projet'!$B$16,Paramètres!$A$1:$I$89,5,0)</f>
        <v>-1.0936673788819462E-13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197.66963254934603</v>
      </c>
      <c r="FK203" s="59">
        <f t="shared" si="211"/>
        <v>158.08388141976138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9.202461758111305E-2</v>
      </c>
      <c r="FR203" s="21">
        <f>EXP(-LN(2)/25)*FR202+(1-EXP(-LN(2)/25))/(LN(2)/25)*Calculateur!FM203*Calculateur!FO203*VLOOKUP('Données projet'!$B$16,Paramètres!$A$1:$I$89,3,0)*0.475*44/12</f>
        <v>4.768286936085752E-2</v>
      </c>
      <c r="FS203" s="21">
        <f>EXP(-LN(2)/2)*FS202+(1-EXP(-LN(2)/2))/(LN(2)/2)*FM203*FP203*VLOOKUP('Données projet'!$B$16,Paramètres!$A$1:$I$89,3,0)*0.475*44/12</f>
        <v>2.1398068432339486E-25</v>
      </c>
      <c r="FT203" s="22">
        <f t="shared" si="184"/>
        <v>0.13970748694197058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5.6843418860808015E-14</v>
      </c>
      <c r="GA203" s="17">
        <f>FZ203*VLOOKUP('Données projet'!$B$17,Paramètres!$A$1:$I$89,3,0)*VLOOKUP('Données projet'!$B$17,Paramètres!$A$1:$I$89,5,0)</f>
        <v>3.3992364478763198E-14</v>
      </c>
      <c r="GB203" s="13">
        <f t="shared" si="185"/>
        <v>5.790027782444094E-13</v>
      </c>
      <c r="GC203" s="20">
        <f t="shared" si="186"/>
        <v>1.0676332069095257E-12</v>
      </c>
      <c r="GD203" s="59">
        <f t="shared" si="200"/>
        <v>293.33333333333439</v>
      </c>
      <c r="GE203" s="59">
        <f ca="1">AVERAGE(OFFSET($GD$3,0,0,'Données projet'!$E$17+1,1))-AVERAGE(OFFSET($H$3,0,0,'Données projet'!$E$17+1,1))</f>
        <v>165.39579887388538</v>
      </c>
      <c r="GF203" s="59">
        <f t="shared" si="212"/>
        <v>155.89639262545802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6.5415186904434999E-2</v>
      </c>
      <c r="GN203" s="21">
        <f>EXP(-LN(2)/2)*GN202+(1-EXP(-LN(2)/2))/(LN(2)/2)*GH203*GK203*VLOOKUP('Données projet'!$B$17,Paramètres!$A$1:$I$89,3,0)*0.475*44/12</f>
        <v>3.587905144327194E-25</v>
      </c>
      <c r="GO203" s="21">
        <f t="shared" si="187"/>
        <v>6.5415186904434999E-2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2.8421709430404007E-14</v>
      </c>
      <c r="GV203" s="17">
        <f>GU203*VLOOKUP('Données projet'!$B$18,Paramètres!$A$1:$I$89,3,0)*VLOOKUP('Données projet'!$B$18,Paramètres!$A$1:$I$89,5,0)</f>
        <v>3.0593128030886874E-14</v>
      </c>
      <c r="GW203" s="13">
        <f t="shared" si="188"/>
        <v>5.2753263159251616E-13</v>
      </c>
      <c r="GX203" s="20">
        <f t="shared" si="189"/>
        <v>9.7206903134409357E-13</v>
      </c>
      <c r="GY203" s="59">
        <f t="shared" si="201"/>
        <v>293.33333333333428</v>
      </c>
      <c r="GZ203" s="59">
        <f ca="1">AVERAGE(OFFSET($GY$3,0,0,'Données projet'!$E$18+1,1))-AVERAGE(OFFSET($H$3,0,0,'Données projet'!$E$18+1,1))</f>
        <v>186.60545265015247</v>
      </c>
      <c r="HA203" s="59">
        <f t="shared" si="213"/>
        <v>69.239647548491234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0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0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1.2599210498948732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1.3682730833261529</v>
      </c>
      <c r="BA205" s="82">
        <f>EXP(LN('Données projet'!B88)/'Données projet'!A88)</f>
        <v>1.2291916021073213</v>
      </c>
      <c r="BV205" s="82">
        <f>EXP(LN('Données projet'!B114)/'Données projet'!A114)</f>
        <v>1.1457367676485573</v>
      </c>
      <c r="CQ205" s="82">
        <f>EXP(LN('Données projet'!B140)/'Données projet'!A140)</f>
        <v>1.1457367676485573</v>
      </c>
      <c r="DL205" s="82">
        <f>EXP(LN('Données projet'!B166)/'Données projet'!A166)</f>
        <v>1.2240347367580502</v>
      </c>
      <c r="EG205" s="82">
        <f>EXP(LN('Données projet'!B192)/'Données projet'!A192)</f>
        <v>1.2677537154322802</v>
      </c>
      <c r="FB205" s="82">
        <f>EXP(LN('Données projet'!B218)/'Données projet'!A218)</f>
        <v>1.2109825680874522</v>
      </c>
      <c r="FW205" s="82">
        <f>EXP(LN('Données projet'!B244)/'Données projet'!A244)</f>
        <v>1.2291916021073213</v>
      </c>
      <c r="GR205" s="82">
        <f>EXP(LN('Données projet'!B270)/'Données projet'!A270)</f>
        <v>1.1457367676485573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4.8655999999999997</v>
      </c>
      <c r="C6" s="147">
        <f ca="1">IF(OR('Données projet'!B9="",'Données projet'!C9="",'Données projet'!C9=0%),0,Calculateur!S3)</f>
        <v>235.10258076192054</v>
      </c>
      <c r="D6" s="147">
        <f>IF(OR('Données projet'!B9="",'Données projet'!C9="",'Données projet'!C9=0%),0,Calculateur!T3)</f>
        <v>233.47316052603765</v>
      </c>
      <c r="E6" s="147">
        <f ca="1">MIN(C6,D6)</f>
        <v>233.47316052603765</v>
      </c>
      <c r="F6" s="147">
        <f ca="1">E6*B6</f>
        <v>1135.9870098554886</v>
      </c>
      <c r="G6" s="147">
        <f ca="1">F6*(100%-'Données projet'!$C$24)*(100%-'Données projet'!$C$25)*(100%-'Données projet'!$C$26)*(100%-'Données projet'!$C$27)</f>
        <v>1022.3883088699398</v>
      </c>
      <c r="H6" s="148">
        <f>IF(OR('Données projet'!B9="",'Données projet'!C9="",'Données projet'!C9=0%),0,AVERAGE(Calculateur!$AC$3:$AC$33)*B6)</f>
        <v>16.149100899212591</v>
      </c>
      <c r="I6" s="149">
        <f>H6*(100%-'Données projet'!$C$24)*(100%-'Données projet'!$C$25)*(100%-'Données projet'!$C$26)*(100%-'Données projet'!$C$27)</f>
        <v>14.534190809291333</v>
      </c>
      <c r="J6" s="150">
        <f>IF(OR('Données projet'!B9="",'Données projet'!C9="",'Données projet'!C9=0%),0,SUM(Calculateur!$V$3:$V$33)*VLOOKUP('Données projet'!$B$9,Paramètres!$A$1:$I$89,9,0)*B6)</f>
        <v>217.58963199999999</v>
      </c>
      <c r="K6" s="151">
        <f>J6*(100%-'Données projet'!$C$24)*(100%-'Données projet'!$C$25)*(100%-'Données projet'!$C$26)*(100%-'Données projet'!$C$27)</f>
        <v>195.83066880000001</v>
      </c>
      <c r="L6" s="152">
        <f ca="1">G6+I6+K6</f>
        <v>1232.7531684792311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Mélèze hybride</v>
      </c>
      <c r="B7" s="154">
        <f>'Données projet'!D10</f>
        <v>2.7368999999999999</v>
      </c>
      <c r="C7" s="147">
        <f ca="1">IF(OR('Données projet'!B10="",'Données projet'!C10="",'Données projet'!C10=0%),0,Calculateur!AN3)</f>
        <v>168.72306536277267</v>
      </c>
      <c r="D7" s="147">
        <f>IF(OR('Données projet'!B10="",'Données projet'!C10="",'Données projet'!C10=0%),0,Calculateur!AO3)</f>
        <v>203.35476578922339</v>
      </c>
      <c r="E7" s="147">
        <f t="shared" ref="E7:E15" ca="1" si="0">MIN(C7,D7)</f>
        <v>168.72306536277267</v>
      </c>
      <c r="F7" s="147">
        <f t="shared" ref="F7:F15" ca="1" si="1">E7*B7</f>
        <v>461.77815759137252</v>
      </c>
      <c r="G7" s="147">
        <f ca="1">F7*(100%-'Données projet'!$C$24)*(100%-'Données projet'!$C$25)*(100%-'Données projet'!$C$26)*(100%-'Données projet'!$C$27)</f>
        <v>415.6003418322353</v>
      </c>
      <c r="H7" s="155">
        <f>IF(OR('Données projet'!B10="",'Données projet'!C10="",'Données projet'!C10=0%),0,AVERAGE(Calculateur!$AX$3:$AX$33)*B7)</f>
        <v>18.855323065817707</v>
      </c>
      <c r="I7" s="149">
        <f>H7*(100%-'Données projet'!$C$24)*(100%-'Données projet'!$C$25)*(100%-'Données projet'!$C$26)*(100%-'Données projet'!$C$27)</f>
        <v>16.969790759235938</v>
      </c>
      <c r="J7" s="150">
        <f>IF(OR('Données projet'!B10="",'Données projet'!C10="",'Données projet'!C10=0%),0,SUM(Calculateur!$AQ$3:$AQ$33)*VLOOKUP('Données projet'!$B$10,Paramètres!$A$1:$I$89,9,0)*B7)</f>
        <v>149.462109</v>
      </c>
      <c r="K7" s="151">
        <f>J7*(100%-'Données projet'!$C$24)*(100%-'Données projet'!$C$25)*(100%-'Données projet'!$C$26)*(100%-'Données projet'!$C$27)</f>
        <v>134.51589810000002</v>
      </c>
      <c r="L7" s="152">
        <f t="shared" ref="L7:L15" ca="1" si="2">G7+I7+K7</f>
        <v>567.08603069147125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laricio</v>
      </c>
      <c r="B8" s="154">
        <f>'Données projet'!D11</f>
        <v>10.035300000000001</v>
      </c>
      <c r="C8" s="147">
        <f ca="1">IF(OR('Données projet'!B11="",'Données projet'!C11="",'Données projet'!C11=0%),0,Calculateur!BI3)</f>
        <v>165.39579887388538</v>
      </c>
      <c r="D8" s="147">
        <f>IF(OR('Données projet'!B11="",'Données projet'!C11="",'Données projet'!C11=0%),0,Calculateur!BJ3)</f>
        <v>155.89639262545802</v>
      </c>
      <c r="E8" s="147">
        <f t="shared" ca="1" si="0"/>
        <v>155.89639262545802</v>
      </c>
      <c r="F8" s="147">
        <f t="shared" ca="1" si="1"/>
        <v>1564.467068914259</v>
      </c>
      <c r="G8" s="147">
        <f ca="1">F8*(100%-'Données projet'!$C$24)*(100%-'Données projet'!$C$25)*(100%-'Données projet'!$C$26)*(100%-'Données projet'!$C$27)</f>
        <v>1408.0203620228331</v>
      </c>
      <c r="H8" s="155">
        <f>IF(OR('Données projet'!B11="",'Données projet'!C11="",'Données projet'!C11=0%),0,AVERAGE(Calculateur!$BS$3:$BS$33)*B8)</f>
        <v>6.8529059536551511</v>
      </c>
      <c r="I8" s="149">
        <f>H8*(100%-'Données projet'!$C$24)*(100%-'Données projet'!$C$25)*(100%-'Données projet'!$C$26)*(100%-'Données projet'!$C$27)</f>
        <v>6.1676153582896358</v>
      </c>
      <c r="J8" s="150">
        <f>IF(OR('Données projet'!B11="",'Données projet'!C11="",'Données projet'!C11=0%),0,SUM(Calculateur!$BL$3:$BL$33)*VLOOKUP('Données projet'!$B$11,Paramètres!$A$1:$I$89,9,0)*B8)</f>
        <v>176.92233900000002</v>
      </c>
      <c r="K8" s="151">
        <f>J8*(100%-'Données projet'!$C$24)*(100%-'Données projet'!$C$25)*(100%-'Données projet'!$C$26)*(100%-'Données projet'!$C$27)</f>
        <v>159.23010510000003</v>
      </c>
      <c r="L8" s="152">
        <f t="shared" ca="1" si="2"/>
        <v>1573.4180824811226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Alisier torminal</v>
      </c>
      <c r="B9" s="154">
        <f>'Données projet'!D12</f>
        <v>0.60819999999999996</v>
      </c>
      <c r="C9" s="147">
        <f ca="1">IF(OR('Données projet'!B12="",'Données projet'!C12="",'Données projet'!C12=0%),0,Calculateur!CD3)</f>
        <v>156.26368818265388</v>
      </c>
      <c r="D9" s="147">
        <f>IF(OR('Données projet'!B12="",'Données projet'!C12="",'Données projet'!C12=0%),0,Calculateur!CE3)</f>
        <v>56.347130462109817</v>
      </c>
      <c r="E9" s="147">
        <f t="shared" ca="1" si="0"/>
        <v>56.347130462109817</v>
      </c>
      <c r="F9" s="147">
        <f t="shared" ca="1" si="1"/>
        <v>34.270324747055191</v>
      </c>
      <c r="G9" s="147">
        <f ca="1">F9*(100%-'Données projet'!$C$24)*(100%-'Données projet'!$C$25)*(100%-'Données projet'!$C$26)*(100%-'Données projet'!$C$27)</f>
        <v>30.843292272349672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30.843292272349672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Noyer</v>
      </c>
      <c r="B10" s="154">
        <f>'Données projet'!D13</f>
        <v>0.30409999999999998</v>
      </c>
      <c r="C10" s="147">
        <f ca="1">IF(OR('Données projet'!B13="",'Données projet'!C13="",'Données projet'!C13=0%),0,Calculateur!CY3)</f>
        <v>112.78807760743126</v>
      </c>
      <c r="D10" s="147">
        <f>IF(OR('Données projet'!B13="",'Données projet'!C13="",'Données projet'!C13=0%),0,Calculateur!CZ3)</f>
        <v>37.867745922003564</v>
      </c>
      <c r="E10" s="147">
        <f t="shared" ca="1" si="0"/>
        <v>37.867745922003564</v>
      </c>
      <c r="F10" s="147">
        <f t="shared" ca="1" si="1"/>
        <v>11.515581534881283</v>
      </c>
      <c r="G10" s="147">
        <f ca="1">F10*(100%-'Données projet'!$C$24)*(100%-'Données projet'!$C$25)*(100%-'Données projet'!$C$26)*(100%-'Données projet'!$C$27)</f>
        <v>10.364023381393155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10.364023381393155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Tilleul</v>
      </c>
      <c r="B11" s="154">
        <f>'Données projet'!D14</f>
        <v>1.2163999999999999</v>
      </c>
      <c r="C11" s="147">
        <f ca="1">IF(OR('Données projet'!B14="",'Données projet'!C14="",'Données projet'!C14=0%),0,Calculateur!DT3)</f>
        <v>107.15837202366862</v>
      </c>
      <c r="D11" s="147">
        <f>IF(OR('Données projet'!B14="",'Données projet'!C14="",'Données projet'!C14=0%),0,Calculateur!DU3)</f>
        <v>139.67031833740026</v>
      </c>
      <c r="E11" s="147">
        <f t="shared" ca="1" si="0"/>
        <v>107.15837202366862</v>
      </c>
      <c r="F11" s="147">
        <f t="shared" ca="1" si="1"/>
        <v>130.34744372959051</v>
      </c>
      <c r="G11" s="147">
        <f ca="1">F11*(100%-'Données projet'!$C$24)*(100%-'Données projet'!$C$25)*(100%-'Données projet'!$C$26)*(100%-'Données projet'!$C$27)</f>
        <v>117.31269935663146</v>
      </c>
      <c r="H11" s="155">
        <f>IF(OR('Données projet'!B14="",'Données projet'!C14="",'Données projet'!C14=0%),0,AVERAGE(Calculateur!$ED$3:$ED$33)*B11)</f>
        <v>1.6326065115732735</v>
      </c>
      <c r="I11" s="149">
        <f>H11*(100%-'Données projet'!$C$24)*(100%-'Données projet'!$C$25)*(100%-'Données projet'!$C$26)*(100%-'Données projet'!$C$27)</f>
        <v>1.4693458604159462</v>
      </c>
      <c r="J11" s="150">
        <f>IF(OR('Données projet'!B14="",'Données projet'!C14="",'Données projet'!C14=0%),0,SUM(Calculateur!$DW$3:$DW$33)*VLOOKUP('Données projet'!$B$14,Paramètres!$A$1:$I$89,9,0)*B11)</f>
        <v>19.158300000000001</v>
      </c>
      <c r="K11" s="151">
        <f>J11*(100%-'Données projet'!$C$24)*(100%-'Données projet'!$C$25)*(100%-'Données projet'!$C$26)*(100%-'Données projet'!$C$27)</f>
        <v>17.242470000000001</v>
      </c>
      <c r="L11" s="152">
        <f t="shared" ca="1" si="2"/>
        <v>136.02451521704739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Cèdre de l'Atlas</v>
      </c>
      <c r="B12" s="154">
        <f>'Données projet'!D15</f>
        <v>7.2984</v>
      </c>
      <c r="C12" s="147">
        <f ca="1">IF(OR('Données projet'!B15="",'Données projet'!C15="",'Données projet'!C15=0%),0,Calculateur!EO3)</f>
        <v>123.60520571614535</v>
      </c>
      <c r="D12" s="147">
        <f>IF(OR('Données projet'!B15="",'Données projet'!C15="",'Données projet'!C15=0%),0,Calculateur!EP3)</f>
        <v>119.00926870519527</v>
      </c>
      <c r="E12" s="147">
        <f t="shared" ca="1" si="0"/>
        <v>119.00926870519527</v>
      </c>
      <c r="F12" s="147">
        <f t="shared" ca="1" si="1"/>
        <v>868.57724671799713</v>
      </c>
      <c r="G12" s="147">
        <f ca="1">F12*(100%-'Données projet'!$C$24)*(100%-'Données projet'!$C$25)*(100%-'Données projet'!$C$26)*(100%-'Données projet'!$C$27)</f>
        <v>781.71952204619743</v>
      </c>
      <c r="H12" s="155">
        <f>IF(OR('Données projet'!B15="",'Données projet'!C15="",'Données projet'!C15=0%),0,AVERAGE(Calculateur!$EY$3:$EY$33)*B12)</f>
        <v>6.6379381640707882</v>
      </c>
      <c r="I12" s="149">
        <f>H12*(100%-'Données projet'!$C$24)*(100%-'Données projet'!$C$25)*(100%-'Données projet'!$C$26)*(100%-'Données projet'!$C$27)</f>
        <v>5.9741443476637093</v>
      </c>
      <c r="J12" s="150">
        <f>IF(OR('Données projet'!B15="",'Données projet'!C15="",'Données projet'!C15=0%),0,SUM(Calculateur!$ER$3:$ER$33)*VLOOKUP('Données projet'!$B$15,Paramètres!$A$1:$I$89,9,0)*B12)</f>
        <v>101.3674776</v>
      </c>
      <c r="K12" s="151">
        <f>J12*(100%-'Données projet'!$C$24)*(100%-'Données projet'!$C$25)*(100%-'Données projet'!$C$26)*(100%-'Données projet'!$C$27)</f>
        <v>91.230729840000009</v>
      </c>
      <c r="L12" s="152">
        <f t="shared" ca="1" si="2"/>
        <v>878.9243962338611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Sapin de Nordmann</v>
      </c>
      <c r="B13" s="154">
        <f>'Données projet'!D16</f>
        <v>1.5205000000000002</v>
      </c>
      <c r="C13" s="147">
        <f ca="1">IF(OR('Données projet'!B16="",'Données projet'!C16="",'Données projet'!C16=0%),0,Calculateur!FJ3)</f>
        <v>197.66963254934603</v>
      </c>
      <c r="D13" s="147">
        <f>IF(OR('Données projet'!B16="",'Données projet'!C16="",'Données projet'!C16=0%),0,Calculateur!FK3)</f>
        <v>158.08388141976138</v>
      </c>
      <c r="E13" s="147">
        <f t="shared" ca="1" si="0"/>
        <v>158.08388141976138</v>
      </c>
      <c r="F13" s="147">
        <f t="shared" ca="1" si="1"/>
        <v>240.3665416987472</v>
      </c>
      <c r="G13" s="147">
        <f ca="1">F13*(100%-'Données projet'!$C$24)*(100%-'Données projet'!$C$25)*(100%-'Données projet'!$C$26)*(100%-'Données projet'!$C$27)</f>
        <v>216.32988752887249</v>
      </c>
      <c r="H13" s="155">
        <f>IF(OR('Données projet'!B16="",'Données projet'!C16="",'Données projet'!C16=0%),0,AVERAGE(Calculateur!$FT$3:$FT$33)*B13)</f>
        <v>0.7974515035845654</v>
      </c>
      <c r="I13" s="149">
        <f>H13*(100%-'Données projet'!$C$24)*(100%-'Données projet'!$C$25)*(100%-'Données projet'!$C$26)*(100%-'Données projet'!$C$27)</f>
        <v>0.71770635322610887</v>
      </c>
      <c r="J13" s="150">
        <f>IF(OR('Données projet'!C16="",'Données projet'!C16=0%),0,SUM(Calculateur!$FM$3:$FM$33)*VLOOKUP('Données projet'!$B$16,Paramètres!$A$1:$I$89,9,0)*B13)</f>
        <v>24.844970000000004</v>
      </c>
      <c r="K13" s="151">
        <f>J13*(100%-'Données projet'!$C$24)*(100%-'Données projet'!$C$25)*(100%-'Données projet'!$C$26)*(100%-'Données projet'!$C$27)</f>
        <v>22.360473000000002</v>
      </c>
      <c r="L13" s="152">
        <f t="shared" ca="1" si="2"/>
        <v>239.40806688209861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Pin noir d'Autriche</v>
      </c>
      <c r="B14" s="154">
        <f>'Données projet'!D17</f>
        <v>1.5205000000000002</v>
      </c>
      <c r="C14" s="147">
        <f ca="1">IF(OR('Données projet'!B17="",'Données projet'!C17="",'Données projet'!C17=0%),0,Calculateur!GE3)</f>
        <v>165.39579887388538</v>
      </c>
      <c r="D14" s="147">
        <f>IF(OR('Données projet'!B17="",'Données projet'!C17="",'Données projet'!C17=0%),0,Calculateur!GF3)</f>
        <v>155.89639262545802</v>
      </c>
      <c r="E14" s="147">
        <f t="shared" ca="1" si="0"/>
        <v>155.89639262545802</v>
      </c>
      <c r="F14" s="147">
        <f t="shared" ca="1" si="1"/>
        <v>237.04046498700896</v>
      </c>
      <c r="G14" s="147">
        <f ca="1">F14*(100%-'Données projet'!$C$24)*(100%-'Données projet'!$C$25)*(100%-'Données projet'!$C$26)*(100%-'Données projet'!$C$27)</f>
        <v>213.33641848830806</v>
      </c>
      <c r="H14" s="155">
        <f>IF(OR('Données projet'!B17="",'Données projet'!C17="",'Données projet'!C17=0%),0,AVERAGE(Calculateur!$GO$3:$GO$33)*B14)</f>
        <v>1.0383190838871441</v>
      </c>
      <c r="I14" s="149">
        <f>H14*(100%-'Données projet'!$C$24)*(100%-'Données projet'!$C$25)*(100%-'Données projet'!$C$26)*(100%-'Données projet'!$C$27)</f>
        <v>0.93448717549842975</v>
      </c>
      <c r="J14" s="150">
        <f>IF(OR('Données projet'!B17="",'Données projet'!C17="",'Données projet'!C17=0%),0,SUM(Calculateur!$GH$3:$GH$33)*VLOOKUP('Données projet'!$B$17,Paramètres!$A$1:$I$89,9,0)*B14)</f>
        <v>26.806415000000001</v>
      </c>
      <c r="K14" s="151">
        <f>J14*(100%-'Données projet'!$C$24)*(100%-'Données projet'!$C$25)*(100%-'Données projet'!$C$26)*(100%-'Données projet'!$C$27)</f>
        <v>24.125773500000001</v>
      </c>
      <c r="L14" s="152">
        <f t="shared" ca="1" si="2"/>
        <v>238.39667916380648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>Cormier</v>
      </c>
      <c r="B15" s="157">
        <f>'Données projet'!D18</f>
        <v>0.30409999999999998</v>
      </c>
      <c r="C15" s="158">
        <f ca="1">IF(OR('Données projet'!B18="",'Données projet'!C18="",'Données projet'!C18=0%),0,Calculateur!GZ3)</f>
        <v>186.60545265015247</v>
      </c>
      <c r="D15" s="158">
        <f>IF(OR('Données projet'!B18="",'Données projet'!C18="",'Données projet'!C18=0%),0,Calculateur!HA3)</f>
        <v>69.239647548491234</v>
      </c>
      <c r="E15" s="158">
        <f t="shared" ca="1" si="0"/>
        <v>69.239647548491234</v>
      </c>
      <c r="F15" s="159">
        <f t="shared" ca="1" si="1"/>
        <v>21.055776819496185</v>
      </c>
      <c r="G15" s="159">
        <f ca="1">F15*(100%-'Données projet'!$C$24)*(100%-'Données projet'!$C$25)*(100%-'Données projet'!$C$26)*(100%-'Données projet'!$C$27)</f>
        <v>18.950199137546566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ca="1" si="2"/>
        <v>18.950199137546566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4705.4056165958955</v>
      </c>
      <c r="G16" s="166">
        <f t="shared" ca="1" si="3"/>
        <v>4234.8650549363065</v>
      </c>
      <c r="H16" s="167">
        <f t="shared" si="3"/>
        <v>51.963645181801226</v>
      </c>
      <c r="I16" s="167">
        <f t="shared" si="3"/>
        <v>46.767280663621108</v>
      </c>
      <c r="J16" s="168">
        <f t="shared" si="3"/>
        <v>716.15124260000005</v>
      </c>
      <c r="K16" s="168">
        <f t="shared" si="3"/>
        <v>644.53611834000003</v>
      </c>
      <c r="L16" s="169">
        <f t="shared" ca="1" si="3"/>
        <v>4926.1684539399284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6" t="s">
        <v>246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Noyer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Tilleul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Cèdre de l'Atlas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Sapin de Nordmann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Pin noir d'Autriche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>Cormier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4" zoomScale="80" zoomScaleNormal="80" workbookViewId="0">
      <selection activeCell="E111" sqref="E11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0" t="s">
        <v>315</v>
      </c>
      <c r="I4" s="260"/>
      <c r="K4" s="302" t="s">
        <v>253</v>
      </c>
      <c r="L4" s="303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4" t="s">
        <v>310</v>
      </c>
      <c r="S7" s="295"/>
      <c r="T7" s="295"/>
      <c r="U7" s="295"/>
      <c r="V7" s="29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1873.0335371458104</v>
      </c>
      <c r="U10" s="178">
        <f>'Données projet'!D9</f>
        <v>4.8655999999999997</v>
      </c>
      <c r="V10" s="177">
        <f>U10*T10</f>
        <v>9113.4319783366554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hybride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-557.48790247858756</v>
      </c>
      <c r="U11" s="178">
        <f>'Données projet'!D10</f>
        <v>2.7368999999999999</v>
      </c>
      <c r="V11" s="177">
        <f t="shared" ref="V11" si="0">U11*T11</f>
        <v>-1525.7886402936463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211.57739453634269</v>
      </c>
      <c r="U12" s="178">
        <f>'Données projet'!D11</f>
        <v>10.035300000000001</v>
      </c>
      <c r="V12" s="177">
        <f t="shared" ref="V12:V19" si="1">U12*T12</f>
        <v>2123.2426273905603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Alisier torminal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-3482.5784971006487</v>
      </c>
      <c r="U13" s="178">
        <f>'Données projet'!D12</f>
        <v>0.60819999999999996</v>
      </c>
      <c r="V13" s="177">
        <f t="shared" si="1"/>
        <v>-2118.1042419366145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Noyer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-1420.0784971006487</v>
      </c>
      <c r="U14" s="178">
        <f>'Données projet'!D13</f>
        <v>0.30409999999999998</v>
      </c>
      <c r="V14" s="177">
        <f t="shared" si="1"/>
        <v>-431.84587096830728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5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Tilleul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-114.41848638864792</v>
      </c>
      <c r="U15" s="178">
        <f>'Données projet'!D14</f>
        <v>1.2163999999999999</v>
      </c>
      <c r="V15" s="177">
        <f t="shared" si="1"/>
        <v>-139.17864684315131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5"/>
      <c r="H16" s="190"/>
      <c r="I16" s="191"/>
      <c r="J16" s="202"/>
      <c r="K16" s="208"/>
      <c r="L16" s="302" t="s">
        <v>254</v>
      </c>
      <c r="M16" s="303"/>
      <c r="N16" s="2">
        <v>80</v>
      </c>
      <c r="O16" s="23"/>
      <c r="P16" s="23"/>
      <c r="Q16" s="234"/>
      <c r="R16" s="23"/>
      <c r="S16" s="36" t="str">
        <f>B200</f>
        <v>Cèdre de l'Atlas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-1695.7658391318903</v>
      </c>
      <c r="U16" s="178">
        <f>'Données projet'!D15</f>
        <v>7.2984</v>
      </c>
      <c r="V16" s="177">
        <f t="shared" si="1"/>
        <v>-12376.377400320189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1457.22</v>
      </c>
      <c r="F17" s="230"/>
      <c r="G17" s="305"/>
      <c r="J17" s="202"/>
      <c r="K17" s="208"/>
      <c r="L17" s="262" t="s">
        <v>289</v>
      </c>
      <c r="M17" s="264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>Sapin de Nordmann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1019.6507766280827</v>
      </c>
      <c r="U17" s="178">
        <f>'Données projet'!D16</f>
        <v>1.5205000000000002</v>
      </c>
      <c r="V17" s="177">
        <f t="shared" si="1"/>
        <v>1550.379005863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5"/>
      <c r="J18" s="202"/>
      <c r="K18" s="208"/>
      <c r="L18" s="262" t="s">
        <v>255</v>
      </c>
      <c r="M18" s="264"/>
      <c r="N18" s="192">
        <v>30</v>
      </c>
      <c r="O18" s="23"/>
      <c r="P18" s="23"/>
      <c r="Q18" s="234"/>
      <c r="R18" s="23"/>
      <c r="S18" s="36" t="str">
        <f>B262</f>
        <v>Pin noir d'Autriche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188.29739453634272</v>
      </c>
      <c r="U18" s="178">
        <f>'Données projet'!D17</f>
        <v>1.5205000000000002</v>
      </c>
      <c r="V18" s="177">
        <f t="shared" si="1"/>
        <v>286.30618839250917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5"/>
      <c r="H19" s="212" t="s">
        <v>178</v>
      </c>
      <c r="I19" s="212" t="s">
        <v>287</v>
      </c>
      <c r="J19" s="93"/>
      <c r="K19" s="173"/>
      <c r="L19" s="302" t="s">
        <v>288</v>
      </c>
      <c r="M19" s="303"/>
      <c r="N19" s="179">
        <f>N17*N18</f>
        <v>2400.0000000000036</v>
      </c>
      <c r="O19" s="23"/>
      <c r="P19" s="4"/>
      <c r="Q19" s="235"/>
      <c r="R19" s="4"/>
      <c r="S19" s="36" t="str">
        <f>B293</f>
        <v>Cormier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-2246.5184971006493</v>
      </c>
      <c r="U19" s="178">
        <f>'Données projet'!D18</f>
        <v>0.30409999999999998</v>
      </c>
      <c r="V19" s="177">
        <f t="shared" si="1"/>
        <v>-683.16627496830745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5"/>
      <c r="H20" s="190">
        <v>0</v>
      </c>
      <c r="I20" s="191">
        <f>89.47+220+821.86</f>
        <v>1131.33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410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0</v>
      </c>
      <c r="C23" s="191"/>
      <c r="D23" s="182">
        <f>B23*C23</f>
        <v>0</v>
      </c>
      <c r="E23" s="193"/>
      <c r="F23" s="230"/>
      <c r="H23" s="190">
        <v>3</v>
      </c>
      <c r="I23" s="191">
        <v>900</v>
      </c>
      <c r="K23" s="208"/>
      <c r="L23" s="304" t="s">
        <v>260</v>
      </c>
      <c r="M23" s="304"/>
      <c r="N23" s="304"/>
      <c r="O23" s="23"/>
      <c r="P23" s="23"/>
      <c r="Q23" s="234"/>
      <c r="R23" s="23"/>
      <c r="S23" s="36" t="s">
        <v>264</v>
      </c>
      <c r="T23" s="29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-85645.812324308892</v>
      </c>
      <c r="U23" s="299"/>
      <c r="V23" s="29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20</v>
      </c>
      <c r="C24" s="191">
        <v>12</v>
      </c>
      <c r="D24" s="182">
        <f t="shared" ref="D24:D42" si="2">B24*C24</f>
        <v>240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0">
        <f ca="1">'Scénario référence'!$B$8*$M$30*'Données projet'!$C$5+('Scénario référence'!B9+'Scénario référence'!B10+'Scénario référence'!F8+'Scénario référence'!F9)*$N$19/(1+M4)^N16*'Données projet'!$C$5</f>
        <v>2157.368961152974</v>
      </c>
      <c r="U24" s="300"/>
      <c r="V24" s="30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84</v>
      </c>
      <c r="C25" s="191">
        <v>35</v>
      </c>
      <c r="D25" s="182">
        <f t="shared" si="2"/>
        <v>2940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1">
        <f ca="1">T23-T24</f>
        <v>-87803.181285461862</v>
      </c>
      <c r="U25" s="301"/>
      <c r="V25" s="30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84</v>
      </c>
      <c r="C26" s="191">
        <v>45</v>
      </c>
      <c r="D26" s="182">
        <f t="shared" si="2"/>
        <v>3780</v>
      </c>
      <c r="E26" s="193"/>
      <c r="F26" s="233"/>
      <c r="G26" s="229"/>
      <c r="H26" s="190"/>
      <c r="I26" s="191"/>
      <c r="K26" s="208"/>
      <c r="L26" s="288" t="s">
        <v>258</v>
      </c>
      <c r="M26" s="289"/>
      <c r="N26" s="289"/>
      <c r="O26" s="289"/>
      <c r="P26" s="290"/>
      <c r="Q26" s="234"/>
      <c r="R26" s="23"/>
      <c r="S26" s="186" t="s">
        <v>265</v>
      </c>
      <c r="T26" s="298" t="str">
        <f ca="1">IF(T25&lt;0,"Votre projet est additionnel","Votre projet n'est pas additionnel")</f>
        <v>Votre projet est additionnel</v>
      </c>
      <c r="U26" s="298"/>
      <c r="V26" s="29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50</v>
      </c>
      <c r="B27" s="181">
        <f>'Données projet'!D40</f>
        <v>84</v>
      </c>
      <c r="C27" s="191">
        <v>50</v>
      </c>
      <c r="D27" s="182">
        <f t="shared" si="2"/>
        <v>4200</v>
      </c>
      <c r="E27" s="193"/>
      <c r="F27" s="233"/>
      <c r="G27" s="229"/>
      <c r="H27" s="190"/>
      <c r="I27" s="191"/>
      <c r="K27" s="208"/>
      <c r="L27" s="291"/>
      <c r="M27" s="292"/>
      <c r="N27" s="292"/>
      <c r="O27" s="292"/>
      <c r="P27" s="293"/>
      <c r="Q27" s="234"/>
      <c r="R27" s="23"/>
      <c r="S27" s="297" t="s">
        <v>267</v>
      </c>
      <c r="T27" s="297"/>
      <c r="U27" s="297"/>
      <c r="V27" s="29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60</v>
      </c>
      <c r="B28" s="181">
        <f>'Données projet'!D41</f>
        <v>69</v>
      </c>
      <c r="C28" s="191">
        <v>55</v>
      </c>
      <c r="D28" s="182">
        <f t="shared" si="2"/>
        <v>3795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70</v>
      </c>
      <c r="B29" s="181">
        <f>'Données projet'!D42</f>
        <v>54</v>
      </c>
      <c r="C29" s="191">
        <v>60</v>
      </c>
      <c r="D29" s="182">
        <f t="shared" si="2"/>
        <v>3240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80</v>
      </c>
      <c r="B30" s="181">
        <f>'Données projet'!D43</f>
        <v>514</v>
      </c>
      <c r="C30" s="191">
        <v>60</v>
      </c>
      <c r="D30" s="182">
        <f t="shared" si="2"/>
        <v>30840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Mélèze hybride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1899.54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10</v>
      </c>
      <c r="B54" s="181">
        <f>'Données projet'!D62</f>
        <v>0</v>
      </c>
      <c r="C54" s="193">
        <v>5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57</v>
      </c>
      <c r="C55" s="193">
        <v>5</v>
      </c>
      <c r="D55" s="179">
        <f t="shared" ref="D55:D73" si="4">B55*C55</f>
        <v>285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70</v>
      </c>
      <c r="C56" s="193">
        <v>20</v>
      </c>
      <c r="D56" s="179">
        <f t="shared" si="4"/>
        <v>1400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40</v>
      </c>
      <c r="B57" s="181">
        <f>'Données projet'!D65</f>
        <v>68</v>
      </c>
      <c r="C57" s="193">
        <v>20</v>
      </c>
      <c r="D57" s="179">
        <f t="shared" si="4"/>
        <v>1360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50</v>
      </c>
      <c r="B58" s="181">
        <f>'Données projet'!D66</f>
        <v>55</v>
      </c>
      <c r="C58" s="193">
        <v>30</v>
      </c>
      <c r="D58" s="179">
        <f t="shared" si="4"/>
        <v>1650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60</v>
      </c>
      <c r="B59" s="181">
        <f>'Données projet'!D67</f>
        <v>46</v>
      </c>
      <c r="C59" s="193">
        <v>30</v>
      </c>
      <c r="D59" s="179">
        <f t="shared" si="4"/>
        <v>1380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70</v>
      </c>
      <c r="B60" s="181">
        <f>'Données projet'!D68</f>
        <v>42</v>
      </c>
      <c r="C60" s="193">
        <v>35</v>
      </c>
      <c r="D60" s="179">
        <f t="shared" si="4"/>
        <v>1470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80</v>
      </c>
      <c r="B61" s="181">
        <f>'Données projet'!D69</f>
        <v>373</v>
      </c>
      <c r="C61" s="193">
        <v>35</v>
      </c>
      <c r="D61" s="179">
        <f t="shared" si="4"/>
        <v>13055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1305.9000000000001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0</v>
      </c>
      <c r="C85" s="193">
        <v>10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41</v>
      </c>
      <c r="C86" s="193">
        <v>15</v>
      </c>
      <c r="D86" s="179">
        <f t="shared" ref="D86:D104" si="6">B86*C86</f>
        <v>615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56</v>
      </c>
      <c r="C87" s="193">
        <v>25</v>
      </c>
      <c r="D87" s="179">
        <f t="shared" si="6"/>
        <v>1400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56</v>
      </c>
      <c r="C88" s="193">
        <v>35</v>
      </c>
      <c r="D88" s="179">
        <f t="shared" si="6"/>
        <v>1960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49</v>
      </c>
      <c r="C89" s="193">
        <v>40</v>
      </c>
      <c r="D89" s="179">
        <f t="shared" si="6"/>
        <v>1960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38</v>
      </c>
      <c r="C90" s="193">
        <v>50</v>
      </c>
      <c r="D90" s="179">
        <f t="shared" si="6"/>
        <v>1900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377</v>
      </c>
      <c r="C91" s="193">
        <v>60</v>
      </c>
      <c r="D91" s="179">
        <f t="shared" si="6"/>
        <v>22620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Alisier torminal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2656.14+1340.82</f>
        <v>3996.96</v>
      </c>
      <c r="F110" s="231" t="s">
        <v>326</v>
      </c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25</v>
      </c>
      <c r="B116" s="181">
        <f>'Données projet'!D114</f>
        <v>0</v>
      </c>
      <c r="C116" s="191">
        <v>8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0</v>
      </c>
      <c r="C117" s="191">
        <v>12</v>
      </c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27</v>
      </c>
      <c r="C118" s="191">
        <v>15</v>
      </c>
      <c r="D118" s="179">
        <f t="shared" si="8"/>
        <v>405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28</v>
      </c>
      <c r="C119" s="191">
        <v>20</v>
      </c>
      <c r="D119" s="179">
        <f t="shared" si="8"/>
        <v>560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28</v>
      </c>
      <c r="C120" s="191">
        <v>25</v>
      </c>
      <c r="D120" s="179">
        <f t="shared" si="8"/>
        <v>700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28</v>
      </c>
      <c r="C121" s="191">
        <v>30</v>
      </c>
      <c r="D121" s="179">
        <f t="shared" si="8"/>
        <v>840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28</v>
      </c>
      <c r="C122" s="191">
        <v>35</v>
      </c>
      <c r="D122" s="179">
        <f t="shared" si="8"/>
        <v>980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28</v>
      </c>
      <c r="C123" s="191">
        <v>40</v>
      </c>
      <c r="D123" s="179">
        <f t="shared" si="8"/>
        <v>1120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100</v>
      </c>
      <c r="B124" s="181">
        <f>'Données projet'!D122</f>
        <v>28</v>
      </c>
      <c r="C124" s="191">
        <v>50</v>
      </c>
      <c r="D124" s="179">
        <f t="shared" si="8"/>
        <v>1400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110</v>
      </c>
      <c r="B125" s="181">
        <f>'Données projet'!D123</f>
        <v>27</v>
      </c>
      <c r="C125" s="191">
        <v>60</v>
      </c>
      <c r="D125" s="179">
        <f t="shared" si="8"/>
        <v>1620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120</v>
      </c>
      <c r="B126" s="181">
        <f>'Données projet'!D124</f>
        <v>234</v>
      </c>
      <c r="C126" s="191">
        <v>180</v>
      </c>
      <c r="D126" s="179">
        <f t="shared" si="8"/>
        <v>42120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Noyer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1934.46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25</v>
      </c>
      <c r="B147" s="175">
        <f>'Données projet'!D140</f>
        <v>0</v>
      </c>
      <c r="C147" s="191">
        <v>8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30</v>
      </c>
      <c r="B148" s="175">
        <f>'Données projet'!D141</f>
        <v>0</v>
      </c>
      <c r="C148" s="191">
        <v>12</v>
      </c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40</v>
      </c>
      <c r="B149" s="175">
        <f>'Données projet'!D142</f>
        <v>27</v>
      </c>
      <c r="C149" s="191">
        <v>15</v>
      </c>
      <c r="D149" s="182">
        <f t="shared" si="10"/>
        <v>405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50</v>
      </c>
      <c r="B150" s="175">
        <f>'Données projet'!D143</f>
        <v>28</v>
      </c>
      <c r="C150" s="191">
        <v>20</v>
      </c>
      <c r="D150" s="182">
        <f t="shared" si="10"/>
        <v>560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60</v>
      </c>
      <c r="B151" s="175">
        <f>'Données projet'!D144</f>
        <v>28</v>
      </c>
      <c r="C151" s="191">
        <v>25</v>
      </c>
      <c r="D151" s="182">
        <f t="shared" si="10"/>
        <v>700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70</v>
      </c>
      <c r="B152" s="175">
        <f>'Données projet'!D145</f>
        <v>28</v>
      </c>
      <c r="C152" s="191">
        <v>30</v>
      </c>
      <c r="D152" s="182">
        <f t="shared" si="10"/>
        <v>840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80</v>
      </c>
      <c r="B153" s="175">
        <f>'Données projet'!D146</f>
        <v>28</v>
      </c>
      <c r="C153" s="191">
        <v>35</v>
      </c>
      <c r="D153" s="182">
        <f t="shared" si="10"/>
        <v>980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90</v>
      </c>
      <c r="B154" s="175">
        <f>'Données projet'!D147</f>
        <v>28</v>
      </c>
      <c r="C154" s="191">
        <v>40</v>
      </c>
      <c r="D154" s="182">
        <f t="shared" si="10"/>
        <v>1120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100</v>
      </c>
      <c r="B155" s="175">
        <f>'Données projet'!D148</f>
        <v>28</v>
      </c>
      <c r="C155" s="191">
        <v>50</v>
      </c>
      <c r="D155" s="182">
        <f t="shared" si="10"/>
        <v>1400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110</v>
      </c>
      <c r="B156" s="175">
        <f>'Données projet'!D149</f>
        <v>27</v>
      </c>
      <c r="C156" s="191">
        <v>60</v>
      </c>
      <c r="D156" s="182">
        <f t="shared" si="10"/>
        <v>1620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120</v>
      </c>
      <c r="B157" s="175">
        <f>'Données projet'!D150</f>
        <v>234</v>
      </c>
      <c r="C157" s="191">
        <v>180</v>
      </c>
      <c r="D157" s="182">
        <f t="shared" si="10"/>
        <v>42120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Tilleul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1690.02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20</v>
      </c>
      <c r="B178" s="181">
        <f>'Données projet'!D166</f>
        <v>21</v>
      </c>
      <c r="C178" s="193">
        <v>20</v>
      </c>
      <c r="D178" s="179">
        <f>B178*C178</f>
        <v>420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30</v>
      </c>
      <c r="B179" s="181">
        <f>'Données projet'!D167</f>
        <v>42</v>
      </c>
      <c r="C179" s="193">
        <v>30</v>
      </c>
      <c r="D179" s="179">
        <f t="shared" ref="D179:D197" si="11">B179*C179</f>
        <v>1260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40</v>
      </c>
      <c r="B180" s="181">
        <f>'Données projet'!D168</f>
        <v>42</v>
      </c>
      <c r="C180" s="193">
        <v>40</v>
      </c>
      <c r="D180" s="179">
        <f t="shared" si="11"/>
        <v>1680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50</v>
      </c>
      <c r="B181" s="181">
        <f>'Données projet'!D169</f>
        <v>31</v>
      </c>
      <c r="C181" s="193">
        <v>50</v>
      </c>
      <c r="D181" s="179">
        <f t="shared" si="11"/>
        <v>1550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60</v>
      </c>
      <c r="B182" s="181">
        <f>'Données projet'!D170</f>
        <v>20</v>
      </c>
      <c r="C182" s="193">
        <v>60</v>
      </c>
      <c r="D182" s="179">
        <f t="shared" si="11"/>
        <v>1200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70</v>
      </c>
      <c r="B183" s="181">
        <f>'Données projet'!D171</f>
        <v>16</v>
      </c>
      <c r="C183" s="193">
        <v>70</v>
      </c>
      <c r="D183" s="179">
        <f t="shared" si="11"/>
        <v>1120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80</v>
      </c>
      <c r="B184" s="181">
        <f>'Données projet'!D172</f>
        <v>226</v>
      </c>
      <c r="C184" s="193">
        <v>70</v>
      </c>
      <c r="D184" s="179">
        <f t="shared" si="11"/>
        <v>15820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Cèdre de l'Atlas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2597.94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20</v>
      </c>
      <c r="B209" s="181">
        <f>'Données projet'!D192</f>
        <v>6.9</v>
      </c>
      <c r="C209" s="193">
        <v>8</v>
      </c>
      <c r="D209" s="179">
        <f>B209*C209</f>
        <v>55.2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30</v>
      </c>
      <c r="B210" s="181">
        <f>'Données projet'!D193</f>
        <v>25.4</v>
      </c>
      <c r="C210" s="193">
        <v>8</v>
      </c>
      <c r="D210" s="179">
        <f t="shared" ref="D210:D228" si="12">B210*C210</f>
        <v>203.2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40</v>
      </c>
      <c r="B211" s="181">
        <f>'Données projet'!D194</f>
        <v>46.3</v>
      </c>
      <c r="C211" s="193">
        <v>15</v>
      </c>
      <c r="D211" s="179">
        <f t="shared" si="12"/>
        <v>694.5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50</v>
      </c>
      <c r="B212" s="181">
        <f>'Données projet'!D195</f>
        <v>46.3</v>
      </c>
      <c r="C212" s="193">
        <v>25</v>
      </c>
      <c r="D212" s="179">
        <f t="shared" si="12"/>
        <v>1157.5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60</v>
      </c>
      <c r="B213" s="181">
        <f>'Données projet'!D196</f>
        <v>46.3</v>
      </c>
      <c r="C213" s="193">
        <v>30</v>
      </c>
      <c r="D213" s="179">
        <f t="shared" si="12"/>
        <v>1389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70</v>
      </c>
      <c r="B214" s="181">
        <f>'Données projet'!D197</f>
        <v>46.3</v>
      </c>
      <c r="C214" s="193">
        <v>35</v>
      </c>
      <c r="D214" s="179">
        <f t="shared" si="12"/>
        <v>1620.5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80</v>
      </c>
      <c r="B215" s="181">
        <f>'Données projet'!D198</f>
        <v>46.3</v>
      </c>
      <c r="C215" s="193">
        <v>40</v>
      </c>
      <c r="D215" s="179">
        <f t="shared" si="12"/>
        <v>1852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90</v>
      </c>
      <c r="B216" s="181">
        <f>'Données projet'!D199</f>
        <v>46.3</v>
      </c>
      <c r="C216" s="193">
        <v>50</v>
      </c>
      <c r="D216" s="179">
        <f t="shared" si="12"/>
        <v>2315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100</v>
      </c>
      <c r="B217" s="181">
        <f>'Données projet'!D200</f>
        <v>46.3</v>
      </c>
      <c r="C217" s="193">
        <v>70</v>
      </c>
      <c r="D217" s="179">
        <f t="shared" si="12"/>
        <v>3241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110</v>
      </c>
      <c r="B218" s="181">
        <f>'Données projet'!D201</f>
        <v>448.6</v>
      </c>
      <c r="C218" s="191">
        <v>75</v>
      </c>
      <c r="D218" s="179">
        <f t="shared" si="12"/>
        <v>33645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Sapin de Nordmann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1399.02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20</v>
      </c>
      <c r="B240" s="181">
        <f>'Données projet'!D218</f>
        <v>0</v>
      </c>
      <c r="C240" s="191">
        <v>5</v>
      </c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30</v>
      </c>
      <c r="B241" s="181">
        <f>'Données projet'!D219</f>
        <v>38</v>
      </c>
      <c r="C241" s="191">
        <v>5</v>
      </c>
      <c r="D241" s="179">
        <f t="shared" ref="D241:D259" si="13">B241*C241</f>
        <v>190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40</v>
      </c>
      <c r="B242" s="181">
        <f>'Données projet'!D220</f>
        <v>84</v>
      </c>
      <c r="C242" s="191">
        <v>8</v>
      </c>
      <c r="D242" s="179">
        <f t="shared" si="13"/>
        <v>672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50</v>
      </c>
      <c r="B243" s="181">
        <f>'Données projet'!D221</f>
        <v>84</v>
      </c>
      <c r="C243" s="191">
        <v>15</v>
      </c>
      <c r="D243" s="179">
        <f t="shared" si="13"/>
        <v>1260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60</v>
      </c>
      <c r="B244" s="181">
        <f>'Données projet'!D222</f>
        <v>84</v>
      </c>
      <c r="C244" s="191">
        <v>30</v>
      </c>
      <c r="D244" s="179">
        <f t="shared" si="13"/>
        <v>2520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70</v>
      </c>
      <c r="B245" s="181">
        <f>'Données projet'!D223</f>
        <v>67</v>
      </c>
      <c r="C245" s="191">
        <v>50</v>
      </c>
      <c r="D245" s="179">
        <f t="shared" si="13"/>
        <v>3350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80</v>
      </c>
      <c r="B246" s="181">
        <f>'Données projet'!D224</f>
        <v>602</v>
      </c>
      <c r="C246" s="191">
        <v>100</v>
      </c>
      <c r="D246" s="179">
        <f t="shared" si="13"/>
        <v>60200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Pin noir d'Autriche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1329.18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20</v>
      </c>
      <c r="B271" s="181">
        <f>'Données projet'!D244</f>
        <v>0</v>
      </c>
      <c r="C271" s="193">
        <v>10</v>
      </c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30</v>
      </c>
      <c r="B272" s="181">
        <f>'Données projet'!D245</f>
        <v>41</v>
      </c>
      <c r="C272" s="193">
        <v>15</v>
      </c>
      <c r="D272" s="179">
        <f t="shared" ref="D272:D290" si="14">B272*C272</f>
        <v>615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40</v>
      </c>
      <c r="B273" s="181">
        <f>'Données projet'!D246</f>
        <v>56</v>
      </c>
      <c r="C273" s="193">
        <v>25</v>
      </c>
      <c r="D273" s="179">
        <f t="shared" si="14"/>
        <v>1400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50</v>
      </c>
      <c r="B274" s="181">
        <f>'Données projet'!D247</f>
        <v>56</v>
      </c>
      <c r="C274" s="193">
        <v>35</v>
      </c>
      <c r="D274" s="179">
        <f t="shared" si="14"/>
        <v>1960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60</v>
      </c>
      <c r="B275" s="181">
        <f>'Données projet'!D248</f>
        <v>49</v>
      </c>
      <c r="C275" s="193">
        <v>40</v>
      </c>
      <c r="D275" s="179">
        <f t="shared" si="14"/>
        <v>1960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70</v>
      </c>
      <c r="B276" s="181">
        <f>'Données projet'!D249</f>
        <v>38</v>
      </c>
      <c r="C276" s="193">
        <v>50</v>
      </c>
      <c r="D276" s="179">
        <f t="shared" si="14"/>
        <v>1900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80</v>
      </c>
      <c r="B277" s="181">
        <f>'Données projet'!D250</f>
        <v>377</v>
      </c>
      <c r="C277" s="193">
        <v>60</v>
      </c>
      <c r="D277" s="179">
        <f t="shared" si="14"/>
        <v>22620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>Cormier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2760.9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25</v>
      </c>
      <c r="B302" s="181">
        <f>'Données projet'!D270</f>
        <v>0</v>
      </c>
      <c r="C302" s="191">
        <v>8</v>
      </c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30</v>
      </c>
      <c r="B303" s="181">
        <f>'Données projet'!D271</f>
        <v>0</v>
      </c>
      <c r="C303" s="191">
        <v>12</v>
      </c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40</v>
      </c>
      <c r="B304" s="181">
        <f>'Données projet'!D272</f>
        <v>27</v>
      </c>
      <c r="C304" s="191">
        <v>15</v>
      </c>
      <c r="D304" s="182">
        <f t="shared" si="15"/>
        <v>405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50</v>
      </c>
      <c r="B305" s="181">
        <f>'Données projet'!D273</f>
        <v>28</v>
      </c>
      <c r="C305" s="191">
        <v>20</v>
      </c>
      <c r="D305" s="182">
        <f t="shared" si="15"/>
        <v>560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60</v>
      </c>
      <c r="B306" s="181">
        <f>'Données projet'!D274</f>
        <v>28</v>
      </c>
      <c r="C306" s="191">
        <v>25</v>
      </c>
      <c r="D306" s="182">
        <f t="shared" si="15"/>
        <v>700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70</v>
      </c>
      <c r="B307" s="181">
        <f>'Données projet'!D275</f>
        <v>28</v>
      </c>
      <c r="C307" s="191">
        <v>30</v>
      </c>
      <c r="D307" s="182">
        <f t="shared" si="15"/>
        <v>840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80</v>
      </c>
      <c r="B308" s="181">
        <f>'Données projet'!D276</f>
        <v>28</v>
      </c>
      <c r="C308" s="191">
        <v>35</v>
      </c>
      <c r="D308" s="182">
        <f t="shared" si="15"/>
        <v>980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90</v>
      </c>
      <c r="B309" s="181">
        <f>'Données projet'!D277</f>
        <v>28</v>
      </c>
      <c r="C309" s="191">
        <v>40</v>
      </c>
      <c r="D309" s="182">
        <f t="shared" si="15"/>
        <v>1120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100</v>
      </c>
      <c r="B310" s="181">
        <f>'Données projet'!D278</f>
        <v>28</v>
      </c>
      <c r="C310" s="191">
        <v>50</v>
      </c>
      <c r="D310" s="182">
        <f t="shared" si="15"/>
        <v>1400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110</v>
      </c>
      <c r="B311" s="181">
        <f>'Données projet'!D279</f>
        <v>27</v>
      </c>
      <c r="C311" s="191">
        <v>60</v>
      </c>
      <c r="D311" s="182">
        <f t="shared" si="15"/>
        <v>1620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120</v>
      </c>
      <c r="B312" s="181">
        <f>'Données projet'!D280</f>
        <v>234</v>
      </c>
      <c r="C312" s="191">
        <v>180</v>
      </c>
      <c r="D312" s="182">
        <f t="shared" si="15"/>
        <v>42120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2023-03-03T15:40:01Z</dcterms:modified>
</cp:coreProperties>
</file>