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 codeName="ThisWorkbook"/>
  <mc:AlternateContent xmlns:mc="http://schemas.openxmlformats.org/markup-compatibility/2006">
    <mc:Choice Requires="x15">
      <x15ac:absPath xmlns:x15ac="http://schemas.microsoft.com/office/spreadsheetml/2010/11/ac" url="P:\Bureau\PARTAGE\Label Bas Carbone\Auxerre\2023\ANNOUX\"/>
    </mc:Choice>
  </mc:AlternateContent>
  <xr:revisionPtr revIDLastSave="0" documentId="13_ncr:1_{908D24F2-B530-4C64-BA57-55F07F545AC3}" xr6:coauthVersionLast="47" xr6:coauthVersionMax="47" xr10:uidLastSave="{00000000-0000-0000-0000-000000000000}"/>
  <bookViews>
    <workbookView xWindow="-120" yWindow="-120" windowWidth="25440" windowHeight="15540" tabRatio="866" activeTab="6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0" i="6" l="1"/>
  <c r="B72" i="1"/>
  <c r="D72" i="1" s="1"/>
  <c r="D71" i="1"/>
  <c r="D70" i="1"/>
  <c r="D69" i="1"/>
  <c r="D68" i="1"/>
  <c r="D67" i="1"/>
  <c r="D66" i="1"/>
  <c r="D65" i="1"/>
  <c r="D64" i="1"/>
  <c r="D63" i="1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FQ4" i="2" s="1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FR4" i="2" l="1"/>
  <c r="BR4" i="2"/>
  <c r="BQ4" i="2"/>
  <c r="EA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B7" i="2"/>
  <c r="EV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B10" i="2" l="1"/>
  <c r="HG10" i="2"/>
  <c r="EA10" i="2"/>
  <c r="HH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B14" i="2" l="1"/>
  <c r="HH14" i="2"/>
  <c r="EX14" i="2"/>
  <c r="HG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HH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EX18" i="2" s="1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V18" i="2" l="1"/>
  <c r="EW18" i="2"/>
  <c r="HG18" i="2"/>
  <c r="EA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EC20" i="2" s="1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EV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W21" i="2" l="1"/>
  <c r="EV21" i="2"/>
  <c r="EB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A22" i="2" l="1"/>
  <c r="EB22" i="2"/>
  <c r="EW22" i="2"/>
  <c r="HG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FR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HH26" i="2" s="1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C26" i="2" s="1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FS26" i="2" l="1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EX27" i="2" s="1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FS28" i="2" l="1"/>
  <c r="EC28" i="2"/>
  <c r="EB28" i="2"/>
  <c r="HG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S29" i="2" s="1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V33" i="2" l="1"/>
  <c r="EW33" i="2"/>
  <c r="EB33" i="2"/>
  <c r="HG33" i="2"/>
  <c r="HH33" i="2"/>
  <c r="EA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FQ35" i="2" l="1"/>
  <c r="HH35" i="2"/>
  <c r="EB35" i="2"/>
  <c r="EA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G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S38" i="2" s="1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A38" i="2" l="1"/>
  <c r="HH38" i="2"/>
  <c r="EX38" i="2"/>
  <c r="HI38" i="2"/>
  <c r="EW38" i="2"/>
  <c r="HG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HH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HG42" i="2"/>
  <c r="EV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EX43" i="2" s="1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DG43" i="2" l="1"/>
  <c r="EA43" i="2"/>
  <c r="HI43" i="2"/>
  <c r="H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H44" i="2" l="1"/>
  <c r="EC44" i="2"/>
  <c r="EW44" i="2"/>
  <c r="HG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C46" i="2" s="1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W46" i="2" l="1"/>
  <c r="HG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A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EV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FS55" i="2" l="1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I57" i="2" l="1"/>
  <c r="EB57" i="2"/>
  <c r="HG57" i="2"/>
  <c r="FS57" i="2"/>
  <c r="EV57" i="2"/>
  <c r="HH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A59" i="2" l="1"/>
  <c r="EC59" i="2"/>
  <c r="EB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I60" i="2" l="1"/>
  <c r="HG60" i="2"/>
  <c r="EW60" i="2"/>
  <c r="EV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W61" i="2" l="1"/>
  <c r="EX61" i="2"/>
  <c r="EA61" i="2"/>
  <c r="EV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EB62" i="2"/>
  <c r="HH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C63" i="2" l="1"/>
  <c r="EB63" i="2"/>
  <c r="HG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A64" i="2" l="1"/>
  <c r="HH64" i="2"/>
  <c r="EC64" i="2"/>
  <c r="EV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EV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EC69" i="2" s="1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HI69" i="2" l="1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I70" i="2" l="1"/>
  <c r="EW70" i="2"/>
  <c r="HG70" i="2"/>
  <c r="EB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EW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FS75" i="2" l="1"/>
  <c r="HG75" i="2"/>
  <c r="EA75" i="2"/>
  <c r="EB75" i="2"/>
  <c r="HH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HI77" i="2" l="1"/>
  <c r="EB77" i="2"/>
  <c r="EA77" i="2"/>
  <c r="EW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C78" i="2" s="1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G79" i="2" l="1"/>
  <c r="EB79" i="2"/>
  <c r="HH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HH82" i="2" s="1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G82" i="2" l="1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V83" i="2" l="1"/>
  <c r="EW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C85" i="2" l="1"/>
  <c r="EV85" i="2"/>
  <c r="EW85" i="2"/>
  <c r="HG85" i="2"/>
  <c r="HH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EA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EA91" i="2" s="1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X91" i="2" l="1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X95" i="2" l="1"/>
  <c r="FQ95" i="2"/>
  <c r="HG95" i="2"/>
  <c r="EB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S98" i="2" s="1"/>
  <c r="FP98" i="2"/>
  <c r="FX98" i="2"/>
  <c r="DZ98" i="2"/>
  <c r="DL98" i="2"/>
  <c r="DE98" i="2"/>
  <c r="GG98" i="2"/>
  <c r="EQ98" i="2"/>
  <c r="EH98" i="2"/>
  <c r="CJ98" i="2"/>
  <c r="CR98" i="2"/>
  <c r="FB98" i="2"/>
  <c r="ER98" i="2"/>
  <c r="EX98" i="2" s="1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HI98" i="2" l="1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W100" i="2" l="1"/>
  <c r="EX100" i="2"/>
  <c r="EV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W104" i="2" l="1"/>
  <c r="EX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EA105" i="2"/>
  <c r="HH105" i="2"/>
  <c r="FS105" i="2"/>
  <c r="EV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X107" i="2" l="1"/>
  <c r="EA107" i="2"/>
  <c r="HG107" i="2"/>
  <c r="EC107" i="2"/>
  <c r="EB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W108" i="2" l="1"/>
  <c r="EB108" i="2"/>
  <c r="EA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X109" i="2" l="1"/>
  <c r="EB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G110" i="2"/>
  <c r="HH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X112" i="2" l="1"/>
  <c r="EB112" i="2"/>
  <c r="FQ112" i="2"/>
  <c r="EC112" i="2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C113" i="2" l="1"/>
  <c r="EW113" i="2"/>
  <c r="EX113" i="2"/>
  <c r="FS113" i="2"/>
  <c r="HI113" i="2"/>
  <c r="EB113" i="2"/>
  <c r="HG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HG114" i="2"/>
  <c r="EV114" i="2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FS115" i="2" s="1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HI115" i="2" l="1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A116" i="2" l="1"/>
  <c r="EC116" i="2"/>
  <c r="EV116" i="2"/>
  <c r="HG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HH118" i="2" l="1"/>
  <c r="EX118" i="2"/>
  <c r="FS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EX119" i="2" s="1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FR119" i="2" l="1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X120" i="2" l="1"/>
  <c r="FQ120" i="2"/>
  <c r="FR120" i="2"/>
  <c r="HI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EB121" i="2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FS122" i="2"/>
  <c r="HI122" i="2"/>
  <c r="EW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W124" i="2" l="1"/>
  <c r="HH124" i="2"/>
  <c r="EX124" i="2"/>
  <c r="HG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HI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FS126" i="2" l="1"/>
  <c r="EA126" i="2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I127" i="2" s="1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HG128" i="2" l="1"/>
  <c r="FS128" i="2"/>
  <c r="EX128" i="2"/>
  <c r="EB128" i="2"/>
  <c r="EV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EB130" i="2" s="1"/>
  <c r="DC130" i="2"/>
  <c r="W130" i="2"/>
  <c r="FO130" i="2"/>
  <c r="X130" i="2"/>
  <c r="ES130" i="2"/>
  <c r="DX130" i="2"/>
  <c r="CI130" i="2"/>
  <c r="AR130" i="2"/>
  <c r="BM130" i="2"/>
  <c r="HC130" i="2"/>
  <c r="HI130" i="2" s="1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X130" i="2" l="1"/>
  <c r="EW130" i="2"/>
  <c r="HG130" i="2"/>
  <c r="FS130" i="2"/>
  <c r="HH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EC132" i="2" s="1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HG132" i="2" l="1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EW133" i="2"/>
  <c r="HH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EV134" i="2" s="1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EW134" i="2"/>
  <c r="HG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HH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B138" i="2" l="1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W139" i="2"/>
  <c r="HH139" i="2"/>
  <c r="EA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EC140" i="2" s="1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HH140" i="2" l="1"/>
  <c r="EX140" i="2"/>
  <c r="EB140" i="2"/>
  <c r="FR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H141" i="2" l="1"/>
  <c r="EA141" i="2"/>
  <c r="EB141" i="2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A144" i="2" l="1"/>
  <c r="FR144" i="2"/>
  <c r="HG144" i="2"/>
  <c r="EX144" i="2"/>
  <c r="EB144" i="2"/>
  <c r="HH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FR145" i="2"/>
  <c r="HG145" i="2"/>
  <c r="EA145" i="2"/>
  <c r="EB145" i="2"/>
  <c r="HH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HH146" i="2" s="1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S146" i="2" s="1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HI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EX147" i="2" s="1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EC149" i="2" s="1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FS150" i="2"/>
  <c r="HI150" i="2"/>
  <c r="HG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B152" i="2" l="1"/>
  <c r="EV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A153" i="2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AC154" i="2" s="1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DW155" i="2"/>
  <c r="ET155" i="2"/>
  <c r="EW155" i="2" s="1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EX155" i="2" l="1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AB156" i="2" s="1"/>
  <c r="H194" i="2"/>
  <c r="D195" i="2"/>
  <c r="G195" i="2" s="1"/>
  <c r="EY155" i="2"/>
  <c r="ED155" i="2"/>
  <c r="AX152" i="2"/>
  <c r="HI156" i="2" l="1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EX157" i="2" s="1"/>
  <c r="DM157" i="2"/>
  <c r="ES157" i="2"/>
  <c r="ET157" i="2"/>
  <c r="DW157" i="2"/>
  <c r="EC157" i="2" s="1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HG158" i="2" s="1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EW158" i="2" s="1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EV158" i="2" s="1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AU158" i="2" l="1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ED158" i="2" s="1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C159" i="2" l="1"/>
  <c r="HI159" i="2"/>
  <c r="HH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EC160" i="2" s="1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H160" i="2" l="1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EB161" i="2"/>
  <c r="EX161" i="2"/>
  <c r="FS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EA163" i="2" s="1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V163" i="2" l="1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FS164" i="2" s="1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EA164" i="2" l="1"/>
  <c r="EX164" i="2"/>
  <c r="EV164" i="2"/>
  <c r="FR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B165" i="2" l="1"/>
  <c r="HG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FS166" i="2" l="1"/>
  <c r="HG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HI167" i="2" s="1"/>
  <c r="GI167" i="2"/>
  <c r="FP167" i="2"/>
  <c r="EG167" i="2"/>
  <c r="FL167" i="2"/>
  <c r="EQ167" i="2"/>
  <c r="FW167" i="2"/>
  <c r="EU167" i="2"/>
  <c r="DW167" i="2"/>
  <c r="EC167" i="2" s="1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DG167" i="2" s="1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B167" i="2" l="1"/>
  <c r="HH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EW168" i="2" s="1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HH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EA169" i="2" s="1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B169" i="2" l="1"/>
  <c r="FS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W172" i="2" s="1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W173" i="2" l="1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C174" i="2" s="1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HG174" i="2" l="1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EA175" i="2" s="1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ED174" i="2"/>
  <c r="AX172" i="2"/>
  <c r="EB175" i="2" l="1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C177" i="2" l="1"/>
  <c r="EW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FQ178" i="2" s="1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EA178" i="2" s="1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HH178" i="2"/>
  <c r="HG178" i="2"/>
  <c r="FS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DF179" i="2" s="1"/>
  <c r="CG179" i="2"/>
  <c r="W179" i="2"/>
  <c r="AX176" i="2"/>
  <c r="ED178" i="2"/>
  <c r="EV179" i="2" l="1"/>
  <c r="HI179" i="2"/>
  <c r="HH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I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HG181" i="2" l="1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EC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EA183" i="2" s="1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B183" i="2" l="1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D184" i="2"/>
  <c r="EV185" i="2" l="1"/>
  <c r="HH185" i="2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S186" i="2" l="1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EB187" i="2" l="1"/>
  <c r="HH187" i="2"/>
  <c r="HG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EB189" i="2" s="1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EY188" i="2"/>
  <c r="AX186" i="2"/>
  <c r="EC189" i="2" l="1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EW190" i="2" s="1"/>
  <c r="FC190" i="2"/>
  <c r="EH190" i="2"/>
  <c r="FN190" i="2"/>
  <c r="FP190" i="2"/>
  <c r="ER190" i="2"/>
  <c r="DX190" i="2"/>
  <c r="CR190" i="2"/>
  <c r="ES190" i="2"/>
  <c r="EV190" i="2" s="1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HG192" i="2" s="1"/>
  <c r="GJ192" i="2"/>
  <c r="EH192" i="2"/>
  <c r="FM192" i="2"/>
  <c r="EG192" i="2"/>
  <c r="FN192" i="2"/>
  <c r="FX192" i="2"/>
  <c r="FO192" i="2"/>
  <c r="ET192" i="2"/>
  <c r="EW192" i="2" s="1"/>
  <c r="FB192" i="2"/>
  <c r="FC192" i="2"/>
  <c r="DZ192" i="2"/>
  <c r="DB192" i="2"/>
  <c r="FL192" i="2"/>
  <c r="DC192" i="2"/>
  <c r="DM192" i="2"/>
  <c r="FP192" i="2"/>
  <c r="DV192" i="2"/>
  <c r="DW192" i="2"/>
  <c r="EC192" i="2" s="1"/>
  <c r="CQ192" i="2"/>
  <c r="CI192" i="2"/>
  <c r="BN192" i="2"/>
  <c r="EQ192" i="2"/>
  <c r="DX192" i="2"/>
  <c r="CR192" i="2"/>
  <c r="CJ192" i="2"/>
  <c r="BO192" i="2"/>
  <c r="ER192" i="2"/>
  <c r="DY192" i="2"/>
  <c r="EB192" i="2" s="1"/>
  <c r="ES192" i="2"/>
  <c r="EV192" i="2" s="1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A192" i="2" l="1"/>
  <c r="HH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B193" i="2" l="1"/>
  <c r="EA193" i="2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A195" i="2" s="1"/>
  <c r="AX192" i="2"/>
  <c r="EA195" i="2" l="1"/>
  <c r="HI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HH196" i="2" s="1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W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EA197" i="2" s="1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C197" i="2" l="1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EW198" i="2" s="1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HI198" i="2" l="1"/>
  <c r="EV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W199" i="2" l="1"/>
  <c r="HH199" i="2"/>
  <c r="HG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EX200" i="2" s="1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W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EA201" i="2" s="1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ED200" i="2"/>
  <c r="DI200" i="2"/>
  <c r="FS201" i="2" l="1"/>
  <c r="EB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FR202" i="2" s="1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BP203" i="2" l="1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<sst xmlns="http://schemas.openxmlformats.org/spreadsheetml/2006/main" count="1172" uniqueCount="324">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</sst>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indexed="64"/>
      </bottom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5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9" fontId="9" fillId="14" borderId="54" xfId="1" applyFont="1" applyFill="1" applyBorder="1" applyAlignment="1" applyProtection="1">
      <alignment horizontal="center"/>
      <protection locked="0" hidden="1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1.8729198340143851</c:v>
                </c:pt>
                <c:pt idx="2">
                  <c:v>2.4135479758512086</c:v>
                </c:pt>
                <c:pt idx="3">
                  <c:v>3.1108642363872612</c:v>
                </c:pt>
                <c:pt idx="4">
                  <c:v>4.0104541028705709</c:v>
                </c:pt>
                <c:pt idx="5">
                  <c:v>5.171212505727186</c:v>
                </c:pt>
                <c:pt idx="6">
                  <c:v>6.6692425447473553</c:v>
                </c:pt>
                <c:pt idx="7">
                  <c:v>8.6028997323613137</c:v>
                </c:pt>
                <c:pt idx="8">
                  <c:v>11.099319262358051</c:v>
                </c:pt>
                <c:pt idx="9">
                  <c:v>14.322863505049453</c:v>
                </c:pt>
                <c:pt idx="10">
                  <c:v>18.48605613691273</c:v>
                </c:pt>
                <c:pt idx="11">
                  <c:v>23.863736790004065</c:v>
                </c:pt>
                <c:pt idx="12">
                  <c:v>30.8113872121185</c:v>
                </c:pt>
                <c:pt idx="13">
                  <c:v>39.788861398043373</c:v>
                </c:pt>
                <c:pt idx="14">
                  <c:v>51.391117103362433</c:v>
                </c:pt>
                <c:pt idx="15">
                  <c:v>66.388019391585985</c:v>
                </c:pt>
                <c:pt idx="16">
                  <c:v>85.194768164020218</c:v>
                </c:pt>
                <c:pt idx="17">
                  <c:v>103.89641721710227</c:v>
                </c:pt>
                <c:pt idx="18">
                  <c:v>122.51465441021708</c:v>
                </c:pt>
                <c:pt idx="19">
                  <c:v>141.0639795757377</c:v>
                </c:pt>
                <c:pt idx="20">
                  <c:v>159.55474620160641</c:v>
                </c:pt>
                <c:pt idx="21">
                  <c:v>133.13939943138396</c:v>
                </c:pt>
                <c:pt idx="22">
                  <c:v>156.63870432465208</c:v>
                </c:pt>
                <c:pt idx="23">
                  <c:v>180.05418366507502</c:v>
                </c:pt>
                <c:pt idx="24">
                  <c:v>203.39828527691671</c:v>
                </c:pt>
                <c:pt idx="25">
                  <c:v>226.68035747382177</c:v>
                </c:pt>
                <c:pt idx="26">
                  <c:v>249.9076676355476</c:v>
                </c:pt>
                <c:pt idx="27">
                  <c:v>273.0860202554062</c:v>
                </c:pt>
                <c:pt idx="28">
                  <c:v>296.22015335819344</c:v>
                </c:pt>
                <c:pt idx="29">
                  <c:v>319.31400424598922</c:v>
                </c:pt>
                <c:pt idx="30">
                  <c:v>342.37089418257483</c:v>
                </c:pt>
                <c:pt idx="31">
                  <c:v>248.5851964020159</c:v>
                </c:pt>
                <c:pt idx="32">
                  <c:v>272.24615340699222</c:v>
                </c:pt>
                <c:pt idx="33">
                  <c:v>295.86087296854095</c:v>
                </c:pt>
                <c:pt idx="34">
                  <c:v>319.43356261528817</c:v>
                </c:pt>
                <c:pt idx="35">
                  <c:v>342.96775814565075</c:v>
                </c:pt>
                <c:pt idx="36">
                  <c:v>366.466470577667</c:v>
                </c:pt>
                <c:pt idx="37">
                  <c:v>389.93229339466257</c:v>
                </c:pt>
                <c:pt idx="38">
                  <c:v>413.36748260656083</c:v>
                </c:pt>
                <c:pt idx="39">
                  <c:v>436.77401769885142</c:v>
                </c:pt>
                <c:pt idx="40">
                  <c:v>460.15364883178995</c:v>
                </c:pt>
                <c:pt idx="41">
                  <c:v>364.32078190612714</c:v>
                </c:pt>
                <c:pt idx="42">
                  <c:v>385.05113818847946</c:v>
                </c:pt>
                <c:pt idx="43">
                  <c:v>405.75725330406408</c:v>
                </c:pt>
                <c:pt idx="44">
                  <c:v>426.44053752617054</c:v>
                </c:pt>
                <c:pt idx="45">
                  <c:v>447.10225323882605</c:v>
                </c:pt>
                <c:pt idx="46">
                  <c:v>467.74353670259165</c:v>
                </c:pt>
                <c:pt idx="47">
                  <c:v>488.3654157785586</c:v>
                </c:pt>
                <c:pt idx="48">
                  <c:v>508.96882450341235</c:v>
                </c:pt>
                <c:pt idx="49">
                  <c:v>529.55461518233449</c:v>
                </c:pt>
                <c:pt idx="50">
                  <c:v>550.12356850440324</c:v>
                </c:pt>
                <c:pt idx="51">
                  <c:v>451.61182640363944</c:v>
                </c:pt>
                <c:pt idx="52">
                  <c:v>469.16634705737187</c:v>
                </c:pt>
                <c:pt idx="53">
                  <c:v>486.70687929481687</c:v>
                </c:pt>
                <c:pt idx="54">
                  <c:v>504.2339979485501</c:v>
                </c:pt>
                <c:pt idx="55">
                  <c:v>521.74823465158636</c:v>
                </c:pt>
                <c:pt idx="56">
                  <c:v>539.25008245479557</c:v>
                </c:pt>
                <c:pt idx="57">
                  <c:v>556.73999981392342</c:v>
                </c:pt>
                <c:pt idx="58">
                  <c:v>574.21841404977397</c:v>
                </c:pt>
                <c:pt idx="59">
                  <c:v>591.68572436540137</c:v>
                </c:pt>
                <c:pt idx="60">
                  <c:v>609.14230448868682</c:v>
                </c:pt>
                <c:pt idx="61">
                  <c:v>533.69337715807103</c:v>
                </c:pt>
                <c:pt idx="62">
                  <c:v>547.99650503993337</c:v>
                </c:pt>
                <c:pt idx="63">
                  <c:v>562.29180424199478</c:v>
                </c:pt>
                <c:pt idx="64">
                  <c:v>576.57950175211442</c:v>
                </c:pt>
                <c:pt idx="65">
                  <c:v>590.85981239620548</c:v>
                </c:pt>
                <c:pt idx="66">
                  <c:v>605.13293977416163</c:v>
                </c:pt>
                <c:pt idx="67">
                  <c:v>619.39907710293414</c:v>
                </c:pt>
                <c:pt idx="68">
                  <c:v>633.65840797793805</c:v>
                </c:pt>
                <c:pt idx="69">
                  <c:v>647.91110706239272</c:v>
                </c:pt>
                <c:pt idx="70">
                  <c:v>662.15734071289023</c:v>
                </c:pt>
                <c:pt idx="71">
                  <c:v>601.24096984763185</c:v>
                </c:pt>
                <c:pt idx="72">
                  <c:v>612.2079194949057</c:v>
                </c:pt>
                <c:pt idx="73">
                  <c:v>623.17079450314816</c:v>
                </c:pt>
                <c:pt idx="74">
                  <c:v>634.12967663933784</c:v>
                </c:pt>
                <c:pt idx="75">
                  <c:v>645.08464461462631</c:v>
                </c:pt>
                <c:pt idx="76">
                  <c:v>656.03577424959133</c:v>
                </c:pt>
                <c:pt idx="77">
                  <c:v>666.98313862789018</c:v>
                </c:pt>
                <c:pt idx="78">
                  <c:v>677.92680823930039</c:v>
                </c:pt>
                <c:pt idx="79">
                  <c:v>688.8668511130528</c:v>
                </c:pt>
                <c:pt idx="80">
                  <c:v>699.8033329422542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3.0873954293069432</c:v>
                </c:pt>
                <c:pt idx="2">
                  <c:v>3.6969523327533285</c:v>
                </c:pt>
                <c:pt idx="3">
                  <c:v>4.4273012249221102</c:v>
                </c:pt>
                <c:pt idx="4">
                  <c:v>5.3024617849498643</c:v>
                </c:pt>
                <c:pt idx="5">
                  <c:v>6.3512455158746723</c:v>
                </c:pt>
                <c:pt idx="6">
                  <c:v>7.6082145638704972</c:v>
                </c:pt>
                <c:pt idx="7">
                  <c:v>9.1148329231718037</c:v>
                </c:pt>
                <c:pt idx="8">
                  <c:v>10.92084872649014</c:v>
                </c:pt>
                <c:pt idx="9">
                  <c:v>13.085954123475267</c:v>
                </c:pt>
                <c:pt idx="10">
                  <c:v>15.681778629035497</c:v>
                </c:pt>
                <c:pt idx="11">
                  <c:v>18.794283098237205</c:v>
                </c:pt>
                <c:pt idx="12">
                  <c:v>22.526635038894295</c:v>
                </c:pt>
                <c:pt idx="13">
                  <c:v>27.002662268531896</c:v>
                </c:pt>
                <c:pt idx="14">
                  <c:v>32.371001514529802</c:v>
                </c:pt>
                <c:pt idx="15">
                  <c:v>38.810082112983899</c:v>
                </c:pt>
                <c:pt idx="16">
                  <c:v>46.534113286836906</c:v>
                </c:pt>
                <c:pt idx="17">
                  <c:v>55.800277543955367</c:v>
                </c:pt>
                <c:pt idx="18">
                  <c:v>66.917373694244205</c:v>
                </c:pt>
                <c:pt idx="19">
                  <c:v>80.256202241032796</c:v>
                </c:pt>
                <c:pt idx="20">
                  <c:v>96.262045139603686</c:v>
                </c:pt>
                <c:pt idx="21">
                  <c:v>110.29146199065519</c:v>
                </c:pt>
                <c:pt idx="22">
                  <c:v>124.27700087602052</c:v>
                </c:pt>
                <c:pt idx="23">
                  <c:v>138.22430277628158</c:v>
                </c:pt>
                <c:pt idx="24">
                  <c:v>152.13777377111359</c:v>
                </c:pt>
                <c:pt idx="25">
                  <c:v>166.02094629475889</c:v>
                </c:pt>
                <c:pt idx="26">
                  <c:v>179.87671263181528</c:v>
                </c:pt>
                <c:pt idx="27">
                  <c:v>193.70748241961212</c:v>
                </c:pt>
                <c:pt idx="28">
                  <c:v>207.51529266966918</c:v>
                </c:pt>
                <c:pt idx="29">
                  <c:v>221.30188689717423</c:v>
                </c:pt>
                <c:pt idx="30">
                  <c:v>235.06877345752699</c:v>
                </c:pt>
                <c:pt idx="31">
                  <c:v>189.53880266603633</c:v>
                </c:pt>
                <c:pt idx="32">
                  <c:v>207.51529266966918</c:v>
                </c:pt>
                <c:pt idx="33">
                  <c:v>225.45581704538475</c:v>
                </c:pt>
                <c:pt idx="34">
                  <c:v>243.36364067727686</c:v>
                </c:pt>
                <c:pt idx="35">
                  <c:v>261.24150838162944</c:v>
                </c:pt>
                <c:pt idx="36">
                  <c:v>279.09175844081614</c:v>
                </c:pt>
                <c:pt idx="37">
                  <c:v>296.91640552163273</c:v>
                </c:pt>
                <c:pt idx="38">
                  <c:v>314.71720261424775</c:v>
                </c:pt>
                <c:pt idx="39">
                  <c:v>332.49568821053043</c:v>
                </c:pt>
                <c:pt idx="40">
                  <c:v>350.25322285655164</c:v>
                </c:pt>
                <c:pt idx="41">
                  <c:v>277.13386946464016</c:v>
                </c:pt>
                <c:pt idx="42">
                  <c:v>295.17849192957436</c:v>
                </c:pt>
                <c:pt idx="43">
                  <c:v>313.19851383460843</c:v>
                </c:pt>
                <c:pt idx="44">
                  <c:v>331.19554939327526</c:v>
                </c:pt>
                <c:pt idx="45">
                  <c:v>349.17102307812593</c:v>
                </c:pt>
                <c:pt idx="46">
                  <c:v>367.12620074726834</c:v>
                </c:pt>
                <c:pt idx="47">
                  <c:v>385.06221436094899</c:v>
                </c:pt>
                <c:pt idx="48">
                  <c:v>402.9800818512519</c:v>
                </c:pt>
                <c:pt idx="49">
                  <c:v>420.88072327292639</c:v>
                </c:pt>
                <c:pt idx="50">
                  <c:v>438.76497406308482</c:v>
                </c:pt>
                <c:pt idx="51">
                  <c:v>364.96396296815823</c:v>
                </c:pt>
                <c:pt idx="52">
                  <c:v>381.82213777185649</c:v>
                </c:pt>
                <c:pt idx="53">
                  <c:v>398.66413205286977</c:v>
                </c:pt>
                <c:pt idx="54">
                  <c:v>415.49072537978219</c:v>
                </c:pt>
                <c:pt idx="55">
                  <c:v>432.3026290462214</c:v>
                </c:pt>
                <c:pt idx="56">
                  <c:v>449.10049452796119</c:v>
                </c:pt>
                <c:pt idx="57">
                  <c:v>465.88492060890161</c:v>
                </c:pt>
                <c:pt idx="58">
                  <c:v>482.65645942680254</c:v>
                </c:pt>
                <c:pt idx="59">
                  <c:v>499.41562163511918</c:v>
                </c:pt>
                <c:pt idx="60">
                  <c:v>516.16288083607799</c:v>
                </c:pt>
                <c:pt idx="61">
                  <c:v>440.91863377904184</c:v>
                </c:pt>
                <c:pt idx="62">
                  <c:v>455.9880063323198</c:v>
                </c:pt>
                <c:pt idx="63">
                  <c:v>471.0467422191993</c:v>
                </c:pt>
                <c:pt idx="64">
                  <c:v>486.095229268786</c:v>
                </c:pt>
                <c:pt idx="65">
                  <c:v>501.13382934663713</c:v>
                </c:pt>
                <c:pt idx="66">
                  <c:v>516.16288083607799</c:v>
                </c:pt>
                <c:pt idx="67">
                  <c:v>531.18270081556864</c:v>
                </c:pt>
                <c:pt idx="68">
                  <c:v>546.19358697705945</c:v>
                </c:pt>
                <c:pt idx="69">
                  <c:v>561.19581932256801</c:v>
                </c:pt>
                <c:pt idx="70">
                  <c:v>576.18966166997234</c:v>
                </c:pt>
                <c:pt idx="71">
                  <c:v>499.20083687929633</c:v>
                </c:pt>
                <c:pt idx="72">
                  <c:v>512.29916163754626</c:v>
                </c:pt>
                <c:pt idx="73">
                  <c:v>525.39041594713956</c:v>
                </c:pt>
                <c:pt idx="74">
                  <c:v>538.47480076592342</c:v>
                </c:pt>
                <c:pt idx="75">
                  <c:v>551.55250649172569</c:v>
                </c:pt>
                <c:pt idx="76">
                  <c:v>564.6237137597426</c:v>
                </c:pt>
                <c:pt idx="77">
                  <c:v>577.68859416226462</c:v>
                </c:pt>
                <c:pt idx="78">
                  <c:v>590.747310899936</c:v>
                </c:pt>
                <c:pt idx="79">
                  <c:v>603.80001937245117</c:v>
                </c:pt>
                <c:pt idx="80">
                  <c:v>616.8468677155405</c:v>
                </c:pt>
                <c:pt idx="81">
                  <c:v>538.90368289481785</c:v>
                </c:pt>
                <c:pt idx="82">
                  <c:v>550.9094940154306</c:v>
                </c:pt>
                <c:pt idx="83">
                  <c:v>562.90982113451958</c:v>
                </c:pt>
                <c:pt idx="84">
                  <c:v>574.90479761309177</c:v>
                </c:pt>
                <c:pt idx="85">
                  <c:v>586.89455079472998</c:v>
                </c:pt>
                <c:pt idx="86">
                  <c:v>598.87920239708058</c:v>
                </c:pt>
                <c:pt idx="87">
                  <c:v>610.85886887038123</c:v>
                </c:pt>
                <c:pt idx="88">
                  <c:v>622.8336617264132</c:v>
                </c:pt>
                <c:pt idx="89">
                  <c:v>634.80368784084919</c:v>
                </c:pt>
                <c:pt idx="90">
                  <c:v>646.76904973162129</c:v>
                </c:pt>
                <c:pt idx="91">
                  <c:v>567.40855737534184</c:v>
                </c:pt>
                <c:pt idx="92">
                  <c:v>577.90272074471466</c:v>
                </c:pt>
                <c:pt idx="93">
                  <c:v>588.39290880026499</c:v>
                </c:pt>
                <c:pt idx="94">
                  <c:v>598.87920239708058</c:v>
                </c:pt>
                <c:pt idx="95">
                  <c:v>609.36167932827254</c:v>
                </c:pt>
                <c:pt idx="96">
                  <c:v>619.84041449272661</c:v>
                </c:pt>
                <c:pt idx="97">
                  <c:v>630.31548005092793</c:v>
                </c:pt>
                <c:pt idx="98">
                  <c:v>640.78694556988842</c:v>
                </c:pt>
                <c:pt idx="99">
                  <c:v>651.25487815811414</c:v>
                </c:pt>
                <c:pt idx="100">
                  <c:v>661.71934259144575</c:v>
                </c:pt>
                <c:pt idx="101">
                  <c:v>581.32852138015051</c:v>
                </c:pt>
                <c:pt idx="102">
                  <c:v>590.74731089993577</c:v>
                </c:pt>
                <c:pt idx="103">
                  <c:v>600.16297452894207</c:v>
                </c:pt>
                <c:pt idx="104">
                  <c:v>609.57556821855803</c:v>
                </c:pt>
                <c:pt idx="105">
                  <c:v>618.98514605149205</c:v>
                </c:pt>
                <c:pt idx="106">
                  <c:v>628.3917603322484</c:v>
                </c:pt>
                <c:pt idx="107">
                  <c:v>637.79546167190301</c:v>
                </c:pt>
                <c:pt idx="108">
                  <c:v>647.19629906762555</c:v>
                </c:pt>
                <c:pt idx="109">
                  <c:v>656.59431997733589</c:v>
                </c:pt>
                <c:pt idx="110">
                  <c:v>665.9895703898718</c:v>
                </c:pt>
                <c:pt idx="111">
                  <c:v>590.53328243145256</c:v>
                </c:pt>
                <c:pt idx="112">
                  <c:v>598.45126564391796</c:v>
                </c:pt>
                <c:pt idx="113">
                  <c:v>606.36707095513873</c:v>
                </c:pt>
                <c:pt idx="114">
                  <c:v>614.28073080742217</c:v>
                </c:pt>
                <c:pt idx="115">
                  <c:v>622.19227673896933</c:v>
                </c:pt>
                <c:pt idx="116">
                  <c:v>630.10173942049767</c:v>
                </c:pt>
                <c:pt idx="117">
                  <c:v>638.00914868992481</c:v>
                </c:pt>
                <c:pt idx="118">
                  <c:v>645.91453358524529</c:v>
                </c:pt>
                <c:pt idx="119">
                  <c:v>653.81792237571403</c:v>
                </c:pt>
                <c:pt idx="120">
                  <c:v>661.71934259144507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1.5630855774068424</c:v>
                </c:pt>
                <c:pt idx="2">
                  <c:v>1.9941405754104276</c:v>
                </c:pt>
                <c:pt idx="3">
                  <c:v>2.5445505069102112</c:v>
                </c:pt>
                <c:pt idx="4">
                  <c:v>3.2474898112455457</c:v>
                </c:pt>
                <c:pt idx="5">
                  <c:v>4.1453866021713255</c:v>
                </c:pt>
                <c:pt idx="6">
                  <c:v>5.292512436219778</c:v>
                </c:pt>
                <c:pt idx="7">
                  <c:v>6.7582990763748976</c:v>
                </c:pt>
                <c:pt idx="8">
                  <c:v>8.631586902833817</c:v>
                </c:pt>
                <c:pt idx="9">
                  <c:v>11.026067379669733</c:v>
                </c:pt>
                <c:pt idx="10">
                  <c:v>14.087256081165423</c:v>
                </c:pt>
                <c:pt idx="11">
                  <c:v>18.001427845645381</c:v>
                </c:pt>
                <c:pt idx="12">
                  <c:v>23.00706760422047</c:v>
                </c:pt>
                <c:pt idx="13">
                  <c:v>29.409546962764335</c:v>
                </c:pt>
                <c:pt idx="14">
                  <c:v>37.599937503570509</c:v>
                </c:pt>
                <c:pt idx="15">
                  <c:v>48.079129612237985</c:v>
                </c:pt>
                <c:pt idx="16">
                  <c:v>61.488756600822086</c:v>
                </c:pt>
                <c:pt idx="17">
                  <c:v>78.650848767435647</c:v>
                </c:pt>
                <c:pt idx="18">
                  <c:v>100.61868749558056</c:v>
                </c:pt>
                <c:pt idx="19">
                  <c:v>128.7420298420451</c:v>
                </c:pt>
                <c:pt idx="20">
                  <c:v>164.75077334312192</c:v>
                </c:pt>
                <c:pt idx="21">
                  <c:v>161.3963988836461</c:v>
                </c:pt>
                <c:pt idx="22">
                  <c:v>170.74399063136909</c:v>
                </c:pt>
                <c:pt idx="23">
                  <c:v>180.07953633511511</c:v>
                </c:pt>
                <c:pt idx="24">
                  <c:v>189.40374922883845</c:v>
                </c:pt>
                <c:pt idx="25">
                  <c:v>198.71726649156165</c:v>
                </c:pt>
                <c:pt idx="26">
                  <c:v>208.02066062067857</c:v>
                </c:pt>
                <c:pt idx="27">
                  <c:v>217.3144486608976</c:v>
                </c:pt>
                <c:pt idx="28">
                  <c:v>226.59909976948094</c:v>
                </c:pt>
                <c:pt idx="29">
                  <c:v>235.87504147501636</c:v>
                </c:pt>
                <c:pt idx="30">
                  <c:v>245.14266489892427</c:v>
                </c:pt>
                <c:pt idx="31">
                  <c:v>208.93025151398959</c:v>
                </c:pt>
                <c:pt idx="32">
                  <c:v>219.0307656524819</c:v>
                </c:pt>
                <c:pt idx="33">
                  <c:v>229.12058085809744</c:v>
                </c:pt>
                <c:pt idx="34">
                  <c:v>239.20023509293381</c:v>
                </c:pt>
                <c:pt idx="35">
                  <c:v>249.27021723566543</c:v>
                </c:pt>
                <c:pt idx="36">
                  <c:v>259.33097340507067</c:v>
                </c:pt>
                <c:pt idx="37">
                  <c:v>269.38291224993577</c:v>
                </c:pt>
                <c:pt idx="38">
                  <c:v>279.4264094073539</c:v>
                </c:pt>
                <c:pt idx="39">
                  <c:v>289.46181128597163</c:v>
                </c:pt>
                <c:pt idx="40">
                  <c:v>299.48943829674107</c:v>
                </c:pt>
                <c:pt idx="41">
                  <c:v>227.20431355624598</c:v>
                </c:pt>
                <c:pt idx="42">
                  <c:v>238.79723773455569</c:v>
                </c:pt>
                <c:pt idx="43">
                  <c:v>250.37734432120666</c:v>
                </c:pt>
                <c:pt idx="44">
                  <c:v>261.945310006184</c:v>
                </c:pt>
                <c:pt idx="45">
                  <c:v>273.50174679153514</c:v>
                </c:pt>
                <c:pt idx="46">
                  <c:v>285.04721070608576</c:v>
                </c:pt>
                <c:pt idx="47">
                  <c:v>296.58220903324576</c:v>
                </c:pt>
                <c:pt idx="48">
                  <c:v>308.10720635475906</c:v>
                </c:pt>
                <c:pt idx="49">
                  <c:v>319.62262964231485</c:v>
                </c:pt>
                <c:pt idx="50">
                  <c:v>331.12887257662896</c:v>
                </c:pt>
                <c:pt idx="51">
                  <c:v>261.04041434217822</c:v>
                </c:pt>
                <c:pt idx="52">
                  <c:v>274.60656174697795</c:v>
                </c:pt>
                <c:pt idx="53">
                  <c:v>288.15765529324972</c:v>
                </c:pt>
                <c:pt idx="54">
                  <c:v>301.69450278359409</c:v>
                </c:pt>
                <c:pt idx="55">
                  <c:v>315.21783358823507</c:v>
                </c:pt>
                <c:pt idx="56">
                  <c:v>328.72830936987799</c:v>
                </c:pt>
                <c:pt idx="57">
                  <c:v>342.2265329523762</c:v>
                </c:pt>
                <c:pt idx="58">
                  <c:v>355.71305571649367</c:v>
                </c:pt>
                <c:pt idx="59">
                  <c:v>369.18838381508658</c:v>
                </c:pt>
                <c:pt idx="60">
                  <c:v>382.65298343324525</c:v>
                </c:pt>
                <c:pt idx="61">
                  <c:v>314.81733022074968</c:v>
                </c:pt>
                <c:pt idx="62">
                  <c:v>330.32872765301551</c:v>
                </c:pt>
                <c:pt idx="63">
                  <c:v>345.82406144357361</c:v>
                </c:pt>
                <c:pt idx="64">
                  <c:v>361.30415262392557</c:v>
                </c:pt>
                <c:pt idx="65">
                  <c:v>376.76974613287081</c:v>
                </c:pt>
                <c:pt idx="66">
                  <c:v>392.22152076799466</c:v>
                </c:pt>
                <c:pt idx="67">
                  <c:v>407.66009748688685</c:v>
                </c:pt>
                <c:pt idx="68">
                  <c:v>423.08604638514606</c:v>
                </c:pt>
                <c:pt idx="69">
                  <c:v>438.49989260360843</c:v>
                </c:pt>
                <c:pt idx="70">
                  <c:v>453.90212136173136</c:v>
                </c:pt>
                <c:pt idx="71">
                  <c:v>387.83657804664409</c:v>
                </c:pt>
                <c:pt idx="72">
                  <c:v>404.77256638639187</c:v>
                </c:pt>
                <c:pt idx="73">
                  <c:v>421.69323961894656</c:v>
                </c:pt>
                <c:pt idx="74">
                  <c:v>438.59929855364607</c:v>
                </c:pt>
                <c:pt idx="75">
                  <c:v>455.49138558575515</c:v>
                </c:pt>
                <c:pt idx="76">
                  <c:v>472.37009159588234</c:v>
                </c:pt>
                <c:pt idx="77">
                  <c:v>489.23596181208933</c:v>
                </c:pt>
                <c:pt idx="78">
                  <c:v>506.08950082174573</c:v>
                </c:pt>
                <c:pt idx="79">
                  <c:v>522.93117688121504</c:v>
                </c:pt>
                <c:pt idx="80">
                  <c:v>539.76142564164627</c:v>
                </c:pt>
                <c:pt idx="81">
                  <c:v>474.45420688971325</c:v>
                </c:pt>
                <c:pt idx="82">
                  <c:v>491.8143485962089</c:v>
                </c:pt>
                <c:pt idx="83">
                  <c:v>509.16150115519235</c:v>
                </c:pt>
                <c:pt idx="84">
                  <c:v>526.49616916569187</c:v>
                </c:pt>
                <c:pt idx="85">
                  <c:v>543.81882130875795</c:v>
                </c:pt>
                <c:pt idx="86">
                  <c:v>561.12989399028811</c:v>
                </c:pt>
                <c:pt idx="87">
                  <c:v>578.42979451115264</c:v>
                </c:pt>
                <c:pt idx="88">
                  <c:v>595.7189038385352</c:v>
                </c:pt>
                <c:pt idx="89">
                  <c:v>612.99757903900297</c:v>
                </c:pt>
                <c:pt idx="90">
                  <c:v>630.26615542315449</c:v>
                </c:pt>
                <c:pt idx="91">
                  <c:v>566.1727153890298</c:v>
                </c:pt>
                <c:pt idx="92">
                  <c:v>584.45749051831808</c:v>
                </c:pt>
                <c:pt idx="93">
                  <c:v>602.73034768336277</c:v>
                </c:pt>
                <c:pt idx="94">
                  <c:v>620.99169878755254</c:v>
                </c:pt>
                <c:pt idx="95">
                  <c:v>639.24192955322633</c:v>
                </c:pt>
                <c:pt idx="96">
                  <c:v>657.48140190092874</c:v>
                </c:pt>
                <c:pt idx="97">
                  <c:v>675.71045605112249</c:v>
                </c:pt>
                <c:pt idx="98">
                  <c:v>693.92941238749461</c:v>
                </c:pt>
                <c:pt idx="99">
                  <c:v>712.13857311456889</c:v>
                </c:pt>
                <c:pt idx="100">
                  <c:v>730.33822373711973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58" t="s">
        <v>291</v>
      </c>
      <c r="C12" s="258"/>
      <c r="D12" s="258"/>
      <c r="E12" s="258"/>
      <c r="F12" s="258"/>
      <c r="G12" s="258"/>
      <c r="H12" s="258"/>
      <c r="I12" s="258"/>
      <c r="J12" s="258"/>
      <c r="K12" s="258"/>
      <c r="L12" s="258"/>
      <c r="M12" s="258"/>
    </row>
    <row r="13" spans="2:13" ht="15" customHeight="1" x14ac:dyDescent="0.25">
      <c r="B13" s="258"/>
      <c r="C13" s="258"/>
      <c r="D13" s="258"/>
      <c r="E13" s="258"/>
      <c r="F13" s="258"/>
      <c r="G13" s="258"/>
      <c r="H13" s="258"/>
      <c r="I13" s="258"/>
      <c r="J13" s="258"/>
      <c r="K13" s="258"/>
      <c r="L13" s="258"/>
      <c r="M13" s="258"/>
    </row>
    <row r="14" spans="2:13" ht="15" customHeight="1" x14ac:dyDescent="0.25">
      <c r="B14" s="258"/>
      <c r="C14" s="258"/>
      <c r="D14" s="258"/>
      <c r="E14" s="258"/>
      <c r="F14" s="258"/>
      <c r="G14" s="258"/>
      <c r="H14" s="258"/>
      <c r="I14" s="258"/>
      <c r="J14" s="258"/>
      <c r="K14" s="258"/>
      <c r="L14" s="258"/>
      <c r="M14" s="258"/>
    </row>
    <row r="15" spans="2:13" ht="18.75" customHeight="1" x14ac:dyDescent="0.25">
      <c r="B15" s="258"/>
      <c r="C15" s="258"/>
      <c r="D15" s="258"/>
      <c r="E15" s="258"/>
      <c r="F15" s="258"/>
      <c r="G15" s="258"/>
      <c r="H15" s="258"/>
      <c r="I15" s="258"/>
      <c r="J15" s="258"/>
      <c r="K15" s="258"/>
      <c r="L15" s="258"/>
      <c r="M15" s="258"/>
    </row>
    <row r="16" spans="2:13" ht="18.75" customHeight="1" x14ac:dyDescent="0.25">
      <c r="B16" s="258"/>
      <c r="C16" s="258"/>
      <c r="D16" s="258"/>
      <c r="E16" s="258"/>
      <c r="F16" s="258"/>
      <c r="G16" s="258"/>
      <c r="H16" s="258"/>
      <c r="I16" s="258"/>
      <c r="J16" s="258"/>
      <c r="K16" s="258"/>
      <c r="L16" s="258"/>
      <c r="M16" s="258"/>
    </row>
    <row r="18" spans="2:13" ht="12" customHeight="1" x14ac:dyDescent="0.25">
      <c r="B18" s="258" t="s">
        <v>292</v>
      </c>
      <c r="C18" s="258"/>
      <c r="D18" s="258"/>
      <c r="E18" s="258"/>
      <c r="F18" s="258"/>
      <c r="G18" s="258"/>
      <c r="H18" s="258"/>
      <c r="I18" s="258"/>
      <c r="J18" s="258"/>
      <c r="K18" s="258"/>
      <c r="L18" s="258"/>
      <c r="M18" s="258"/>
    </row>
    <row r="19" spans="2:13" ht="12" customHeight="1" x14ac:dyDescent="0.25">
      <c r="B19" s="258"/>
      <c r="C19" s="258"/>
      <c r="D19" s="258"/>
      <c r="E19" s="258"/>
      <c r="F19" s="258"/>
      <c r="G19" s="258"/>
      <c r="H19" s="258"/>
      <c r="I19" s="258"/>
      <c r="J19" s="258"/>
      <c r="K19" s="258"/>
      <c r="L19" s="258"/>
      <c r="M19" s="258"/>
    </row>
    <row r="20" spans="2:13" ht="12" customHeight="1" x14ac:dyDescent="0.25">
      <c r="B20" s="258"/>
      <c r="C20" s="258"/>
      <c r="D20" s="258"/>
      <c r="E20" s="258"/>
      <c r="F20" s="258"/>
      <c r="G20" s="258"/>
      <c r="H20" s="258"/>
      <c r="I20" s="258"/>
      <c r="J20" s="258"/>
      <c r="K20" s="258"/>
      <c r="L20" s="258"/>
      <c r="M20" s="258"/>
    </row>
    <row r="21" spans="2:13" ht="12" customHeight="1" x14ac:dyDescent="0.25">
      <c r="B21" s="258"/>
      <c r="C21" s="258"/>
      <c r="D21" s="258"/>
      <c r="E21" s="258"/>
      <c r="F21" s="258"/>
      <c r="G21" s="258"/>
      <c r="H21" s="258"/>
      <c r="I21" s="258"/>
      <c r="J21" s="258"/>
      <c r="K21" s="258"/>
      <c r="L21" s="258"/>
      <c r="M21" s="258"/>
    </row>
    <row r="22" spans="2:13" ht="12" customHeight="1" x14ac:dyDescent="0.25">
      <c r="B22" s="258"/>
      <c r="C22" s="258"/>
      <c r="D22" s="258"/>
      <c r="E22" s="258"/>
      <c r="F22" s="258"/>
      <c r="G22" s="258"/>
      <c r="H22" s="258"/>
      <c r="I22" s="258"/>
      <c r="J22" s="258"/>
      <c r="K22" s="258"/>
      <c r="L22" s="258"/>
      <c r="M22" s="258"/>
    </row>
    <row r="23" spans="2:13" ht="12" customHeight="1" x14ac:dyDescent="0.25">
      <c r="B23" s="258"/>
      <c r="C23" s="258"/>
      <c r="D23" s="258"/>
      <c r="E23" s="258"/>
      <c r="F23" s="258"/>
      <c r="G23" s="258"/>
      <c r="H23" s="258"/>
      <c r="I23" s="258"/>
      <c r="J23" s="258"/>
      <c r="K23" s="258"/>
      <c r="L23" s="258"/>
      <c r="M23" s="258"/>
    </row>
    <row r="24" spans="2:13" ht="12" customHeight="1" x14ac:dyDescent="0.25">
      <c r="B24" s="258"/>
      <c r="C24" s="258"/>
      <c r="D24" s="258"/>
      <c r="E24" s="258"/>
      <c r="F24" s="258"/>
      <c r="G24" s="258"/>
      <c r="H24" s="258"/>
      <c r="I24" s="258"/>
      <c r="J24" s="258"/>
      <c r="K24" s="258"/>
      <c r="L24" s="258"/>
      <c r="M24" s="258"/>
    </row>
    <row r="25" spans="2:13" ht="12" customHeight="1" x14ac:dyDescent="0.25">
      <c r="B25" s="258"/>
      <c r="C25" s="258"/>
      <c r="D25" s="258"/>
      <c r="E25" s="258"/>
      <c r="F25" s="258"/>
      <c r="G25" s="258"/>
      <c r="H25" s="258"/>
      <c r="I25" s="258"/>
      <c r="J25" s="258"/>
      <c r="K25" s="258"/>
      <c r="L25" s="258"/>
      <c r="M25" s="258"/>
    </row>
    <row r="26" spans="2:13" ht="12" customHeight="1" x14ac:dyDescent="0.25">
      <c r="B26" s="258"/>
      <c r="C26" s="258"/>
      <c r="D26" s="258"/>
      <c r="E26" s="258"/>
      <c r="F26" s="258"/>
      <c r="G26" s="258"/>
      <c r="H26" s="258"/>
      <c r="I26" s="258"/>
      <c r="J26" s="258"/>
      <c r="K26" s="258"/>
      <c r="L26" s="258"/>
      <c r="M26" s="258"/>
    </row>
    <row r="27" spans="2:13" ht="12" customHeight="1" x14ac:dyDescent="0.25">
      <c r="B27" s="258"/>
      <c r="C27" s="258"/>
      <c r="D27" s="258"/>
      <c r="E27" s="258"/>
      <c r="F27" s="258"/>
      <c r="G27" s="258"/>
      <c r="H27" s="258"/>
      <c r="I27" s="258"/>
      <c r="J27" s="258"/>
      <c r="K27" s="258"/>
      <c r="L27" s="258"/>
      <c r="M27" s="258"/>
    </row>
    <row r="28" spans="2:13" ht="12" customHeight="1" x14ac:dyDescent="0.25">
      <c r="B28" s="258"/>
      <c r="C28" s="258"/>
      <c r="D28" s="258"/>
      <c r="E28" s="258"/>
      <c r="F28" s="258"/>
      <c r="G28" s="258"/>
      <c r="H28" s="258"/>
      <c r="I28" s="258"/>
      <c r="J28" s="258"/>
      <c r="K28" s="258"/>
      <c r="L28" s="258"/>
      <c r="M28" s="258"/>
    </row>
    <row r="29" spans="2:13" ht="12" customHeight="1" x14ac:dyDescent="0.25">
      <c r="B29" s="258"/>
      <c r="C29" s="258"/>
      <c r="D29" s="258"/>
      <c r="E29" s="258"/>
      <c r="F29" s="258"/>
      <c r="G29" s="258"/>
      <c r="H29" s="258"/>
      <c r="I29" s="258"/>
      <c r="J29" s="258"/>
      <c r="K29" s="258"/>
      <c r="L29" s="258"/>
      <c r="M29" s="258"/>
    </row>
    <row r="30" spans="2:13" ht="12" customHeight="1" x14ac:dyDescent="0.25">
      <c r="B30" s="258"/>
      <c r="C30" s="258"/>
      <c r="D30" s="258"/>
      <c r="E30" s="258"/>
      <c r="F30" s="258"/>
      <c r="G30" s="258"/>
      <c r="H30" s="258"/>
      <c r="I30" s="258"/>
      <c r="J30" s="258"/>
      <c r="K30" s="258"/>
      <c r="L30" s="258"/>
      <c r="M30" s="258"/>
    </row>
    <row r="31" spans="2:13" ht="12" customHeight="1" x14ac:dyDescent="0.25">
      <c r="B31" s="258"/>
      <c r="C31" s="258"/>
      <c r="D31" s="258"/>
      <c r="E31" s="258"/>
      <c r="F31" s="258"/>
      <c r="G31" s="258"/>
      <c r="H31" s="258"/>
      <c r="I31" s="258"/>
      <c r="J31" s="258"/>
      <c r="K31" s="258"/>
      <c r="L31" s="258"/>
      <c r="M31" s="258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zoomScale="80" zoomScaleNormal="80" workbookViewId="0">
      <selection activeCell="E10" sqref="E10"/>
    </sheetView>
  </sheetViews>
  <sheetFormatPr baseColWidth="10" defaultColWidth="11.42578125" defaultRowHeight="15" x14ac:dyDescent="0.25"/>
  <cols>
    <col min="1" max="1" width="13.7109375" style="23" customWidth="1"/>
    <col min="2" max="2" width="36.140625" style="23" customWidth="1"/>
    <col min="3" max="3" width="14.85546875" style="23" bestFit="1" customWidth="1"/>
    <col min="4" max="4" width="16.42578125" style="23" customWidth="1"/>
    <col min="5" max="5" width="23.28515625" style="23" customWidth="1"/>
    <col min="6" max="6" width="28.85546875" style="23" bestFit="1" customWidth="1"/>
    <col min="7" max="8" width="14.7109375" style="23" customWidth="1"/>
    <col min="9" max="9" width="17" style="23" customWidth="1"/>
    <col min="10" max="10" width="13.85546875" style="23" customWidth="1"/>
    <col min="11" max="16384" width="11.42578125" style="23"/>
  </cols>
  <sheetData>
    <row r="1" spans="1:38" x14ac:dyDescent="0.25">
      <c r="A1" s="4"/>
      <c r="B1" s="4"/>
      <c r="C1" s="263" t="s">
        <v>190</v>
      </c>
      <c r="D1" s="263"/>
      <c r="E1" s="263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.75" thickBot="1" x14ac:dyDescent="0.3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7" thickBot="1" x14ac:dyDescent="0.3">
      <c r="A3" s="4"/>
      <c r="B3" s="264" t="s">
        <v>192</v>
      </c>
      <c r="C3" s="265"/>
      <c r="D3" s="265"/>
      <c r="E3" s="265"/>
      <c r="F3" s="266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.25" x14ac:dyDescent="0.25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.25" x14ac:dyDescent="0.25">
      <c r="A5" s="269" t="s">
        <v>231</v>
      </c>
      <c r="B5" s="269"/>
      <c r="C5" s="24">
        <v>8.51</v>
      </c>
      <c r="D5" s="270" t="s">
        <v>229</v>
      </c>
      <c r="E5" s="271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25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.25" x14ac:dyDescent="0.25">
      <c r="A7" s="268" t="s">
        <v>226</v>
      </c>
      <c r="B7" s="268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25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25">
      <c r="A9" s="30" t="s">
        <v>165</v>
      </c>
      <c r="B9" s="31" t="s">
        <v>18</v>
      </c>
      <c r="C9" s="32">
        <v>0.19</v>
      </c>
      <c r="D9" s="33">
        <f t="shared" ref="D9:D18" si="0">C9*$C$5</f>
        <v>1.6169</v>
      </c>
      <c r="E9" s="34">
        <v>80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25">
      <c r="A10" s="30" t="s">
        <v>166</v>
      </c>
      <c r="B10" s="31" t="s">
        <v>12</v>
      </c>
      <c r="C10" s="32">
        <v>0.51</v>
      </c>
      <c r="D10" s="33">
        <f t="shared" si="0"/>
        <v>4.3400999999999996</v>
      </c>
      <c r="E10" s="34">
        <v>120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25">
      <c r="A11" s="30" t="s">
        <v>167</v>
      </c>
      <c r="B11" s="31" t="s">
        <v>164</v>
      </c>
      <c r="C11" s="32">
        <v>0.3</v>
      </c>
      <c r="D11" s="33">
        <f t="shared" si="0"/>
        <v>2.5529999999999999</v>
      </c>
      <c r="E11" s="34">
        <v>100</v>
      </c>
      <c r="F11" s="35" t="str">
        <f t="array" ref="F11">IF(E11="","",IF(INDEX(A:A,MAX(IF(ISNUMBER($A$88:$A$107),ROW($A$88:$A$107),"")))&lt;&gt;E11,"Corrigez : révolution incorrecte","OK"))</f>
        <v>OK</v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25">
      <c r="A12" s="30" t="s">
        <v>168</v>
      </c>
      <c r="B12" s="31"/>
      <c r="C12" s="32"/>
      <c r="D12" s="33">
        <f t="shared" si="0"/>
        <v>0</v>
      </c>
      <c r="E12" s="34"/>
      <c r="F12" s="35" t="str">
        <f t="array" ref="F12">IF(E12="","",IF(INDEX(A:A,MAX(IF(ISNUMBER($A$114:$A$133),ROW($A$114:$A$133),"")))&lt;&gt;E12,"Corrigez : révolution incorrecte","OK"))</f>
        <v/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25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25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25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25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25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25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25">
      <c r="A19" s="78"/>
      <c r="B19" s="36" t="s">
        <v>175</v>
      </c>
      <c r="C19" s="37">
        <f>SUM(C9:C18)</f>
        <v>1</v>
      </c>
      <c r="D19" s="38">
        <f>SUM(D9:D18)</f>
        <v>8.51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25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25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35">
      <c r="A22" s="267" t="s">
        <v>232</v>
      </c>
      <c r="B22" s="267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25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25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25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25">
      <c r="A26" s="41" t="s">
        <v>222</v>
      </c>
      <c r="B26" s="42" t="s">
        <v>221</v>
      </c>
      <c r="C26" s="43">
        <v>0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25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25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25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25">
      <c r="A30" s="268" t="s">
        <v>227</v>
      </c>
      <c r="B30" s="268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25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25">
      <c r="A32" s="46" t="s">
        <v>165</v>
      </c>
      <c r="B32" s="47" t="str">
        <f>IF(B9="","",B9)</f>
        <v>Douglas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25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25">
      <c r="A34" s="4"/>
      <c r="B34" s="85" t="s">
        <v>185</v>
      </c>
      <c r="C34" s="259" t="s">
        <v>186</v>
      </c>
      <c r="D34" s="259"/>
      <c r="E34" s="260" t="s">
        <v>187</v>
      </c>
      <c r="F34" s="261"/>
      <c r="G34" s="261"/>
      <c r="H34" s="262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5" x14ac:dyDescent="0.25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25">
      <c r="A36" s="50">
        <v>15</v>
      </c>
      <c r="B36" s="60">
        <v>52</v>
      </c>
      <c r="C36" s="60"/>
      <c r="D36" s="60">
        <v>0</v>
      </c>
      <c r="E36" s="51"/>
      <c r="F36" s="51"/>
      <c r="G36" s="51"/>
      <c r="H36" s="51"/>
      <c r="I36" s="49">
        <f>IFERROR(B36/A36,"")</f>
        <v>3.4666666666666668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25">
      <c r="A37" s="50">
        <v>20</v>
      </c>
      <c r="B37" s="60">
        <v>128</v>
      </c>
      <c r="C37" s="60">
        <v>1</v>
      </c>
      <c r="D37" s="60">
        <v>41</v>
      </c>
      <c r="E37" s="51"/>
      <c r="F37" s="51">
        <v>0.5</v>
      </c>
      <c r="G37" s="51">
        <v>0.5</v>
      </c>
      <c r="H37" s="51"/>
      <c r="I37" s="53">
        <f t="shared" ref="I37:I55" si="1">IF(A37&lt;&gt;0,(B37-(B36-D36))/(A37-A36),"")</f>
        <v>15.2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25">
      <c r="A38" s="50">
        <v>30</v>
      </c>
      <c r="B38" s="60">
        <v>280</v>
      </c>
      <c r="C38" s="60">
        <v>2</v>
      </c>
      <c r="D38" s="60">
        <v>98</v>
      </c>
      <c r="E38" s="51">
        <v>0.1</v>
      </c>
      <c r="F38" s="51">
        <v>0.45</v>
      </c>
      <c r="G38" s="51">
        <v>0.45</v>
      </c>
      <c r="H38" s="51"/>
      <c r="I38" s="53">
        <f t="shared" si="1"/>
        <v>19.3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25">
      <c r="A39" s="50">
        <v>40</v>
      </c>
      <c r="B39" s="60">
        <v>379</v>
      </c>
      <c r="C39" s="60">
        <v>3</v>
      </c>
      <c r="D39" s="60">
        <v>98</v>
      </c>
      <c r="E39" s="51"/>
      <c r="F39" s="51"/>
      <c r="G39" s="51"/>
      <c r="H39" s="51"/>
      <c r="I39" s="49">
        <f t="shared" si="1"/>
        <v>19.7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25">
      <c r="A40" s="50">
        <v>50</v>
      </c>
      <c r="B40" s="60">
        <v>455</v>
      </c>
      <c r="C40" s="60">
        <v>4</v>
      </c>
      <c r="D40" s="60">
        <v>98</v>
      </c>
      <c r="E40" s="51"/>
      <c r="F40" s="51"/>
      <c r="G40" s="51"/>
      <c r="H40" s="51"/>
      <c r="I40" s="49">
        <f t="shared" si="1"/>
        <v>17.399999999999999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25">
      <c r="A41" s="50">
        <v>60</v>
      </c>
      <c r="B41" s="60">
        <v>505</v>
      </c>
      <c r="C41" s="60">
        <v>5</v>
      </c>
      <c r="D41" s="60">
        <v>76</v>
      </c>
      <c r="E41" s="51"/>
      <c r="F41" s="51"/>
      <c r="G41" s="51"/>
      <c r="H41" s="51"/>
      <c r="I41" s="53">
        <f t="shared" si="1"/>
        <v>14.8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25">
      <c r="A42" s="50">
        <v>70</v>
      </c>
      <c r="B42" s="60">
        <v>550</v>
      </c>
      <c r="C42" s="60">
        <v>6</v>
      </c>
      <c r="D42" s="60">
        <v>61</v>
      </c>
      <c r="E42" s="51"/>
      <c r="F42" s="51"/>
      <c r="G42" s="51"/>
      <c r="H42" s="51"/>
      <c r="I42" s="53">
        <f t="shared" si="1"/>
        <v>12.1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25">
      <c r="A43" s="50">
        <v>80</v>
      </c>
      <c r="B43" s="60">
        <v>582</v>
      </c>
      <c r="C43" s="60">
        <v>7</v>
      </c>
      <c r="D43" s="60">
        <v>582</v>
      </c>
      <c r="E43" s="51"/>
      <c r="F43" s="51"/>
      <c r="G43" s="51"/>
      <c r="H43" s="51"/>
      <c r="I43" s="49">
        <f t="shared" si="1"/>
        <v>9.3000000000000007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25">
      <c r="A44" s="50"/>
      <c r="B44" s="60"/>
      <c r="C44" s="60"/>
      <c r="D44" s="60"/>
      <c r="E44" s="51"/>
      <c r="F44" s="51"/>
      <c r="G44" s="51"/>
      <c r="H44" s="51"/>
      <c r="I44" s="49" t="str">
        <f t="shared" si="1"/>
        <v/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25">
      <c r="A45" s="50"/>
      <c r="B45" s="60"/>
      <c r="C45" s="60"/>
      <c r="D45" s="60"/>
      <c r="E45" s="51"/>
      <c r="F45" s="51"/>
      <c r="G45" s="51"/>
      <c r="H45" s="51"/>
      <c r="I45" s="49" t="str">
        <f t="shared" si="1"/>
        <v/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25">
      <c r="A46" s="50"/>
      <c r="B46" s="60"/>
      <c r="C46" s="60"/>
      <c r="D46" s="60"/>
      <c r="E46" s="51"/>
      <c r="F46" s="51"/>
      <c r="G46" s="51"/>
      <c r="H46" s="51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25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25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25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25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25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25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25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25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25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25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25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25">
      <c r="A58" s="46" t="s">
        <v>166</v>
      </c>
      <c r="B58" s="52" t="str">
        <f>IF(B10="","",B10)</f>
        <v>Chêne pubescent</v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25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25">
      <c r="A60" s="4"/>
      <c r="B60" s="85" t="s">
        <v>185</v>
      </c>
      <c r="C60" s="259" t="s">
        <v>186</v>
      </c>
      <c r="D60" s="259"/>
      <c r="E60" s="260" t="s">
        <v>187</v>
      </c>
      <c r="F60" s="261"/>
      <c r="G60" s="261"/>
      <c r="H60" s="262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5" x14ac:dyDescent="0.25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25">
      <c r="A62" s="60">
        <v>20</v>
      </c>
      <c r="B62" s="60">
        <v>42</v>
      </c>
      <c r="C62" s="60"/>
      <c r="D62" s="60"/>
      <c r="E62" s="51"/>
      <c r="F62" s="51"/>
      <c r="G62" s="51"/>
      <c r="H62" s="257"/>
      <c r="I62" s="53">
        <f>IFERROR(B62/A62,"")</f>
        <v>2.1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25">
      <c r="A63" s="60">
        <v>30</v>
      </c>
      <c r="B63" s="60">
        <v>105</v>
      </c>
      <c r="C63" s="60">
        <v>1</v>
      </c>
      <c r="D63" s="60">
        <f>21+8</f>
        <v>29</v>
      </c>
      <c r="E63" s="51"/>
      <c r="F63" s="51">
        <v>0.25</v>
      </c>
      <c r="G63" s="51">
        <v>0.25</v>
      </c>
      <c r="H63" s="51">
        <v>0.5</v>
      </c>
      <c r="I63" s="49">
        <f>IF(A63&lt;&gt;0,(B63-(B62-D62))/(A63-A62),"")</f>
        <v>6.3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25">
      <c r="A64" s="60">
        <v>40</v>
      </c>
      <c r="B64" s="60">
        <v>158</v>
      </c>
      <c r="C64" s="60">
        <v>2</v>
      </c>
      <c r="D64" s="60">
        <f>21+21</f>
        <v>42</v>
      </c>
      <c r="E64" s="51"/>
      <c r="F64" s="51"/>
      <c r="G64" s="51"/>
      <c r="H64" s="257"/>
      <c r="I64" s="49">
        <f>IF(A64&lt;&gt;0,(B64-(B63-D63))/(A64-A63),"")</f>
        <v>8.1999999999999993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25">
      <c r="A65" s="60">
        <v>50</v>
      </c>
      <c r="B65" s="60">
        <v>199</v>
      </c>
      <c r="C65" s="60">
        <v>3</v>
      </c>
      <c r="D65" s="60">
        <f t="shared" ref="D65:D70" si="2">21+21</f>
        <v>42</v>
      </c>
      <c r="E65" s="51"/>
      <c r="F65" s="51"/>
      <c r="G65" s="51"/>
      <c r="H65" s="257"/>
      <c r="I65" s="49">
        <f>IF(A65&lt;&gt;0,(B65-(B64-D64))/(A65-A64),"")</f>
        <v>8.3000000000000007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25">
      <c r="A66" s="60">
        <v>60</v>
      </c>
      <c r="B66" s="60">
        <v>235</v>
      </c>
      <c r="C66" s="60">
        <v>4</v>
      </c>
      <c r="D66" s="60">
        <f t="shared" si="2"/>
        <v>42</v>
      </c>
      <c r="E66" s="51"/>
      <c r="F66" s="51"/>
      <c r="G66" s="51"/>
      <c r="H66" s="257"/>
      <c r="I66" s="49">
        <f t="shared" ref="I66:I81" si="3">IF(A66&lt;&gt;0,(B66-(B65-D65))/(A66-A65),"")</f>
        <v>7.8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25">
      <c r="A67" s="60">
        <v>70</v>
      </c>
      <c r="B67" s="60">
        <v>263</v>
      </c>
      <c r="C67" s="60">
        <v>5</v>
      </c>
      <c r="D67" s="60">
        <f t="shared" si="2"/>
        <v>42</v>
      </c>
      <c r="E67" s="51"/>
      <c r="F67" s="51"/>
      <c r="G67" s="51"/>
      <c r="H67" s="257"/>
      <c r="I67" s="49">
        <f t="shared" si="3"/>
        <v>7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25">
      <c r="A68" s="60">
        <v>80</v>
      </c>
      <c r="B68" s="60">
        <v>282</v>
      </c>
      <c r="C68" s="60">
        <v>6</v>
      </c>
      <c r="D68" s="60">
        <f t="shared" si="2"/>
        <v>42</v>
      </c>
      <c r="E68" s="51"/>
      <c r="F68" s="51"/>
      <c r="G68" s="51"/>
      <c r="H68" s="257"/>
      <c r="I68" s="49">
        <f t="shared" si="3"/>
        <v>6.1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25">
      <c r="A69" s="60">
        <v>90</v>
      </c>
      <c r="B69" s="60">
        <v>296</v>
      </c>
      <c r="C69" s="60">
        <v>7</v>
      </c>
      <c r="D69" s="60">
        <f t="shared" si="2"/>
        <v>42</v>
      </c>
      <c r="E69" s="51"/>
      <c r="F69" s="51"/>
      <c r="G69" s="51"/>
      <c r="H69" s="257"/>
      <c r="I69" s="49">
        <f t="shared" si="3"/>
        <v>5.6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25">
      <c r="A70" s="60">
        <v>100</v>
      </c>
      <c r="B70" s="60">
        <v>303</v>
      </c>
      <c r="C70" s="60">
        <v>8</v>
      </c>
      <c r="D70" s="60">
        <f t="shared" si="2"/>
        <v>42</v>
      </c>
      <c r="E70" s="51"/>
      <c r="F70" s="51"/>
      <c r="G70" s="51"/>
      <c r="H70" s="257"/>
      <c r="I70" s="49">
        <f t="shared" si="3"/>
        <v>4.9000000000000004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25">
      <c r="A71" s="60">
        <v>110</v>
      </c>
      <c r="B71" s="60">
        <v>305</v>
      </c>
      <c r="C71" s="60">
        <v>9</v>
      </c>
      <c r="D71" s="60">
        <f>20+19</f>
        <v>39</v>
      </c>
      <c r="E71" s="51"/>
      <c r="F71" s="51"/>
      <c r="G71" s="51"/>
      <c r="H71" s="257"/>
      <c r="I71" s="49">
        <f t="shared" si="3"/>
        <v>4.4000000000000004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25">
      <c r="A72" s="60">
        <v>120</v>
      </c>
      <c r="B72" s="60">
        <f>268+17+18</f>
        <v>303</v>
      </c>
      <c r="C72" s="60">
        <v>10</v>
      </c>
      <c r="D72" s="60">
        <f>B72</f>
        <v>303</v>
      </c>
      <c r="E72" s="51"/>
      <c r="F72" s="51"/>
      <c r="G72" s="51"/>
      <c r="H72" s="257"/>
      <c r="I72" s="49">
        <f t="shared" si="3"/>
        <v>3.7</v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25">
      <c r="A73" s="50"/>
      <c r="B73" s="50"/>
      <c r="C73" s="50"/>
      <c r="D73" s="50"/>
      <c r="E73" s="51"/>
      <c r="F73" s="51"/>
      <c r="G73" s="51"/>
      <c r="H73" s="51"/>
      <c r="I73" s="49" t="str">
        <f t="shared" si="3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25">
      <c r="A74" s="50"/>
      <c r="B74" s="50"/>
      <c r="C74" s="50"/>
      <c r="D74" s="50"/>
      <c r="E74" s="51"/>
      <c r="F74" s="51"/>
      <c r="G74" s="51"/>
      <c r="H74" s="51"/>
      <c r="I74" s="49" t="str">
        <f t="shared" si="3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25">
      <c r="A75" s="50"/>
      <c r="B75" s="50"/>
      <c r="C75" s="50"/>
      <c r="D75" s="50"/>
      <c r="E75" s="51"/>
      <c r="F75" s="51"/>
      <c r="G75" s="51"/>
      <c r="H75" s="51"/>
      <c r="I75" s="49" t="str">
        <f t="shared" si="3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25">
      <c r="A76" s="50"/>
      <c r="B76" s="50"/>
      <c r="C76" s="50"/>
      <c r="D76" s="50"/>
      <c r="E76" s="51"/>
      <c r="F76" s="51"/>
      <c r="G76" s="51"/>
      <c r="H76" s="51"/>
      <c r="I76" s="49" t="str">
        <f t="shared" si="3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25">
      <c r="A77" s="50"/>
      <c r="B77" s="50"/>
      <c r="C77" s="50"/>
      <c r="D77" s="50"/>
      <c r="E77" s="51"/>
      <c r="F77" s="51"/>
      <c r="G77" s="51"/>
      <c r="H77" s="51"/>
      <c r="I77" s="49" t="str">
        <f t="shared" si="3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25">
      <c r="A78" s="50"/>
      <c r="B78" s="50"/>
      <c r="C78" s="50"/>
      <c r="D78" s="50"/>
      <c r="E78" s="51"/>
      <c r="F78" s="51"/>
      <c r="G78" s="51"/>
      <c r="H78" s="51"/>
      <c r="I78" s="49" t="str">
        <f t="shared" si="3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25">
      <c r="A79" s="50"/>
      <c r="B79" s="50"/>
      <c r="C79" s="50"/>
      <c r="D79" s="50"/>
      <c r="E79" s="51"/>
      <c r="F79" s="51"/>
      <c r="G79" s="51"/>
      <c r="H79" s="51"/>
      <c r="I79" s="49" t="str">
        <f t="shared" si="3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25">
      <c r="A80" s="50"/>
      <c r="B80" s="50"/>
      <c r="C80" s="50"/>
      <c r="D80" s="50"/>
      <c r="E80" s="51"/>
      <c r="F80" s="51"/>
      <c r="G80" s="51"/>
      <c r="H80" s="51"/>
      <c r="I80" s="49" t="str">
        <f t="shared" si="3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25">
      <c r="A81" s="50"/>
      <c r="B81" s="50"/>
      <c r="C81" s="50"/>
      <c r="D81" s="50"/>
      <c r="E81" s="51"/>
      <c r="F81" s="51"/>
      <c r="G81" s="51"/>
      <c r="H81" s="51"/>
      <c r="I81" s="49" t="str">
        <f t="shared" si="3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25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25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25">
      <c r="A84" s="46" t="s">
        <v>167</v>
      </c>
      <c r="B84" s="52" t="str">
        <f>IF(B11="","",B11)</f>
        <v>Cèdre de l'Atlas</v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25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25">
      <c r="A86" s="4"/>
      <c r="B86" s="85" t="s">
        <v>185</v>
      </c>
      <c r="C86" s="259" t="s">
        <v>186</v>
      </c>
      <c r="D86" s="259"/>
      <c r="E86" s="260" t="s">
        <v>187</v>
      </c>
      <c r="F86" s="261"/>
      <c r="G86" s="261"/>
      <c r="H86" s="262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5" x14ac:dyDescent="0.25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25">
      <c r="A88" s="50">
        <v>20</v>
      </c>
      <c r="B88" s="60">
        <v>158</v>
      </c>
      <c r="C88" s="60">
        <v>1</v>
      </c>
      <c r="D88" s="60">
        <v>12.5</v>
      </c>
      <c r="E88" s="51"/>
      <c r="F88" s="51">
        <v>0.5</v>
      </c>
      <c r="G88" s="51">
        <v>0.5</v>
      </c>
      <c r="H88" s="87"/>
      <c r="I88" s="53">
        <f>IFERROR(B88/A88,"")</f>
        <v>7.9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25">
      <c r="A89" s="50">
        <v>30</v>
      </c>
      <c r="B89" s="60">
        <v>237.5</v>
      </c>
      <c r="C89" s="60">
        <v>2</v>
      </c>
      <c r="D89" s="60">
        <v>45.9</v>
      </c>
      <c r="E89" s="51">
        <v>0.2</v>
      </c>
      <c r="F89" s="51">
        <v>0.4</v>
      </c>
      <c r="G89" s="51">
        <v>0.4</v>
      </c>
      <c r="H89" s="87"/>
      <c r="I89" s="53">
        <f t="shared" ref="I89:I107" si="4">IF(A89&lt;&gt;0,(B89-(B88-D88))/(A89-A88),"")</f>
        <v>9.1999999999999993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25">
      <c r="A90" s="50">
        <v>40</v>
      </c>
      <c r="B90" s="60">
        <v>291.60000000000002</v>
      </c>
      <c r="C90" s="60">
        <v>3</v>
      </c>
      <c r="D90" s="60">
        <v>83.4</v>
      </c>
      <c r="E90" s="87"/>
      <c r="F90" s="87"/>
      <c r="G90" s="87"/>
      <c r="H90" s="87"/>
      <c r="I90" s="53">
        <f t="shared" si="4"/>
        <v>10.000000000000004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25">
      <c r="A91" s="50">
        <v>50</v>
      </c>
      <c r="B91" s="60">
        <v>323.2</v>
      </c>
      <c r="C91" s="60">
        <v>4</v>
      </c>
      <c r="D91" s="60">
        <v>83.4</v>
      </c>
      <c r="E91" s="87"/>
      <c r="F91" s="87"/>
      <c r="G91" s="87"/>
      <c r="H91" s="87"/>
      <c r="I91" s="53">
        <f t="shared" si="4"/>
        <v>11.499999999999996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25">
      <c r="A92" s="50">
        <v>60</v>
      </c>
      <c r="B92" s="60">
        <v>374.79999999999995</v>
      </c>
      <c r="C92" s="60">
        <v>5</v>
      </c>
      <c r="D92" s="60">
        <v>83.4</v>
      </c>
      <c r="E92" s="87"/>
      <c r="F92" s="87"/>
      <c r="G92" s="87"/>
      <c r="H92" s="87"/>
      <c r="I92" s="53">
        <f t="shared" si="4"/>
        <v>13.499999999999996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25">
      <c r="A93" s="50">
        <v>70</v>
      </c>
      <c r="B93" s="60">
        <v>446.4</v>
      </c>
      <c r="C93" s="60">
        <v>6</v>
      </c>
      <c r="D93" s="60">
        <v>83.4</v>
      </c>
      <c r="E93" s="87"/>
      <c r="F93" s="87"/>
      <c r="G93" s="87"/>
      <c r="H93" s="87"/>
      <c r="I93" s="53">
        <f t="shared" si="4"/>
        <v>15.5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25">
      <c r="A94" s="50">
        <v>80</v>
      </c>
      <c r="B94" s="60">
        <v>533</v>
      </c>
      <c r="C94" s="60">
        <v>7</v>
      </c>
      <c r="D94" s="60">
        <v>83.4</v>
      </c>
      <c r="E94" s="87"/>
      <c r="F94" s="87"/>
      <c r="G94" s="87"/>
      <c r="H94" s="87"/>
      <c r="I94" s="53">
        <f t="shared" si="4"/>
        <v>17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25">
      <c r="A95" s="60">
        <v>90</v>
      </c>
      <c r="B95" s="60">
        <v>624.6</v>
      </c>
      <c r="C95" s="60">
        <v>8</v>
      </c>
      <c r="D95" s="60">
        <v>83.4</v>
      </c>
      <c r="E95" s="87"/>
      <c r="F95" s="87"/>
      <c r="G95" s="87"/>
      <c r="H95" s="87"/>
      <c r="I95" s="53">
        <f t="shared" si="4"/>
        <v>17.5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25">
      <c r="A96" s="60">
        <v>100</v>
      </c>
      <c r="B96" s="60">
        <v>726.2</v>
      </c>
      <c r="C96" s="60">
        <v>9</v>
      </c>
      <c r="D96" s="60">
        <v>726.2</v>
      </c>
      <c r="E96" s="87"/>
      <c r="F96" s="87"/>
      <c r="G96" s="87"/>
      <c r="H96" s="87"/>
      <c r="I96" s="53">
        <f t="shared" si="4"/>
        <v>18.5</v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25">
      <c r="A97" s="60"/>
      <c r="B97" s="60"/>
      <c r="C97" s="60"/>
      <c r="D97" s="60"/>
      <c r="E97" s="87"/>
      <c r="F97" s="87"/>
      <c r="G97" s="87"/>
      <c r="H97" s="87"/>
      <c r="I97" s="53" t="str">
        <f t="shared" si="4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25">
      <c r="A98" s="60"/>
      <c r="B98" s="60"/>
      <c r="C98" s="60"/>
      <c r="D98" s="60"/>
      <c r="E98" s="87"/>
      <c r="F98" s="87"/>
      <c r="G98" s="87"/>
      <c r="H98" s="87"/>
      <c r="I98" s="53" t="str">
        <f t="shared" si="4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25">
      <c r="A99" s="60"/>
      <c r="B99" s="60"/>
      <c r="C99" s="60"/>
      <c r="D99" s="60"/>
      <c r="E99" s="87"/>
      <c r="F99" s="87"/>
      <c r="G99" s="87"/>
      <c r="H99" s="87"/>
      <c r="I99" s="53" t="str">
        <f t="shared" si="4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25">
      <c r="A100" s="60"/>
      <c r="B100" s="60"/>
      <c r="C100" s="60"/>
      <c r="D100" s="60"/>
      <c r="E100" s="65"/>
      <c r="F100" s="65"/>
      <c r="G100" s="65"/>
      <c r="H100" s="65"/>
      <c r="I100" s="53" t="str">
        <f t="shared" si="4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25">
      <c r="A101" s="60"/>
      <c r="B101" s="60"/>
      <c r="C101" s="60"/>
      <c r="D101" s="60"/>
      <c r="E101" s="65"/>
      <c r="F101" s="65"/>
      <c r="G101" s="65"/>
      <c r="H101" s="65"/>
      <c r="I101" s="53" t="str">
        <f t="shared" si="4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25">
      <c r="A102" s="60"/>
      <c r="B102" s="50"/>
      <c r="C102" s="60"/>
      <c r="D102" s="50"/>
      <c r="E102" s="54"/>
      <c r="F102" s="54"/>
      <c r="G102" s="54"/>
      <c r="H102" s="54"/>
      <c r="I102" s="53" t="str">
        <f t="shared" si="4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25">
      <c r="A103" s="60"/>
      <c r="B103" s="50"/>
      <c r="C103" s="60"/>
      <c r="D103" s="50"/>
      <c r="E103" s="54"/>
      <c r="F103" s="54"/>
      <c r="G103" s="54"/>
      <c r="H103" s="54"/>
      <c r="I103" s="53" t="str">
        <f t="shared" si="4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25">
      <c r="A104" s="60"/>
      <c r="B104" s="50"/>
      <c r="C104" s="60"/>
      <c r="D104" s="50"/>
      <c r="E104" s="54"/>
      <c r="F104" s="54"/>
      <c r="G104" s="54"/>
      <c r="H104" s="54"/>
      <c r="I104" s="53" t="str">
        <f t="shared" si="4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25">
      <c r="A105" s="50"/>
      <c r="B105" s="50"/>
      <c r="C105" s="50"/>
      <c r="D105" s="50"/>
      <c r="E105" s="54"/>
      <c r="F105" s="54"/>
      <c r="G105" s="54"/>
      <c r="H105" s="54"/>
      <c r="I105" s="53" t="str">
        <f t="shared" si="4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25">
      <c r="A106" s="50"/>
      <c r="B106" s="50"/>
      <c r="C106" s="50"/>
      <c r="D106" s="50"/>
      <c r="E106" s="54"/>
      <c r="F106" s="54"/>
      <c r="G106" s="54"/>
      <c r="H106" s="54"/>
      <c r="I106" s="53" t="str">
        <f t="shared" si="4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25">
      <c r="A107" s="50"/>
      <c r="B107" s="50"/>
      <c r="C107" s="50"/>
      <c r="D107" s="50"/>
      <c r="E107" s="54"/>
      <c r="F107" s="54"/>
      <c r="G107" s="54"/>
      <c r="H107" s="54"/>
      <c r="I107" s="53" t="str">
        <f t="shared" si="4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25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25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25">
      <c r="A110" s="46" t="s">
        <v>168</v>
      </c>
      <c r="B110" s="52" t="str">
        <f>IF(B12="","",B12)</f>
        <v/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25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25">
      <c r="A112" s="4"/>
      <c r="B112" s="85" t="s">
        <v>185</v>
      </c>
      <c r="C112" s="259" t="s">
        <v>186</v>
      </c>
      <c r="D112" s="259"/>
      <c r="E112" s="260" t="s">
        <v>187</v>
      </c>
      <c r="F112" s="261"/>
      <c r="G112" s="261"/>
      <c r="H112" s="262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5" x14ac:dyDescent="0.25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25">
      <c r="A114" s="50"/>
      <c r="B114" s="60"/>
      <c r="C114" s="50"/>
      <c r="D114" s="60"/>
      <c r="E114" s="51"/>
      <c r="F114" s="51"/>
      <c r="G114" s="51"/>
      <c r="H114" s="51"/>
      <c r="I114" s="53" t="str">
        <f>IFERROR(B114/A114,"")</f>
        <v/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25">
      <c r="A115" s="50"/>
      <c r="B115" s="60"/>
      <c r="C115" s="50"/>
      <c r="D115" s="60"/>
      <c r="E115" s="51"/>
      <c r="F115" s="51"/>
      <c r="G115" s="51"/>
      <c r="H115" s="51"/>
      <c r="I115" s="53" t="str">
        <f t="shared" ref="I115:I133" si="5">IF(A115&lt;&gt;0,(B115-(B114-D114))/(A115-A114),"")</f>
        <v/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25">
      <c r="A116" s="50"/>
      <c r="B116" s="60"/>
      <c r="C116" s="50"/>
      <c r="D116" s="60"/>
      <c r="E116" s="51"/>
      <c r="F116" s="51"/>
      <c r="G116" s="51"/>
      <c r="H116" s="51"/>
      <c r="I116" s="53" t="str">
        <f t="shared" si="5"/>
        <v/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25">
      <c r="A117" s="50"/>
      <c r="B117" s="60"/>
      <c r="C117" s="50"/>
      <c r="D117" s="60"/>
      <c r="E117" s="51"/>
      <c r="F117" s="51"/>
      <c r="G117" s="51"/>
      <c r="H117" s="51"/>
      <c r="I117" s="53" t="str">
        <f t="shared" si="5"/>
        <v/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25">
      <c r="A118" s="50"/>
      <c r="B118" s="60"/>
      <c r="C118" s="50"/>
      <c r="D118" s="60"/>
      <c r="E118" s="51"/>
      <c r="F118" s="51"/>
      <c r="G118" s="51"/>
      <c r="H118" s="51"/>
      <c r="I118" s="53" t="str">
        <f t="shared" si="5"/>
        <v/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25">
      <c r="A119" s="50"/>
      <c r="B119" s="60"/>
      <c r="C119" s="50"/>
      <c r="D119" s="60"/>
      <c r="E119" s="51"/>
      <c r="F119" s="51"/>
      <c r="G119" s="51"/>
      <c r="H119" s="51"/>
      <c r="I119" s="53" t="str">
        <f t="shared" si="5"/>
        <v/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25">
      <c r="A120" s="60"/>
      <c r="B120" s="60"/>
      <c r="C120" s="60"/>
      <c r="D120" s="60"/>
      <c r="E120" s="87"/>
      <c r="F120" s="87"/>
      <c r="G120" s="87"/>
      <c r="H120" s="87"/>
      <c r="I120" s="53" t="str">
        <f t="shared" si="5"/>
        <v/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25">
      <c r="A121" s="60"/>
      <c r="B121" s="60"/>
      <c r="C121" s="60"/>
      <c r="D121" s="60"/>
      <c r="E121" s="87"/>
      <c r="F121" s="87"/>
      <c r="G121" s="87"/>
      <c r="H121" s="87"/>
      <c r="I121" s="53" t="str">
        <f t="shared" si="5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25">
      <c r="A122" s="60"/>
      <c r="B122" s="60"/>
      <c r="C122" s="60"/>
      <c r="D122" s="60"/>
      <c r="E122" s="87"/>
      <c r="F122" s="87"/>
      <c r="G122" s="87"/>
      <c r="H122" s="87"/>
      <c r="I122" s="53" t="str">
        <f t="shared" si="5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25">
      <c r="A123" s="60"/>
      <c r="B123" s="60"/>
      <c r="C123" s="60"/>
      <c r="D123" s="60"/>
      <c r="E123" s="87"/>
      <c r="F123" s="87"/>
      <c r="G123" s="87"/>
      <c r="H123" s="87"/>
      <c r="I123" s="53" t="str">
        <f t="shared" si="5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25">
      <c r="A124" s="60"/>
      <c r="B124" s="60"/>
      <c r="C124" s="60"/>
      <c r="D124" s="60"/>
      <c r="E124" s="87"/>
      <c r="F124" s="87"/>
      <c r="G124" s="87"/>
      <c r="H124" s="87"/>
      <c r="I124" s="53" t="str">
        <f t="shared" si="5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25">
      <c r="A125" s="60"/>
      <c r="B125" s="60"/>
      <c r="C125" s="60"/>
      <c r="D125" s="60"/>
      <c r="E125" s="87"/>
      <c r="F125" s="87"/>
      <c r="G125" s="87"/>
      <c r="H125" s="87"/>
      <c r="I125" s="53" t="str">
        <f t="shared" si="5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25">
      <c r="A126" s="60"/>
      <c r="B126" s="60"/>
      <c r="C126" s="60"/>
      <c r="D126" s="60"/>
      <c r="E126" s="65"/>
      <c r="F126" s="65"/>
      <c r="G126" s="65"/>
      <c r="H126" s="65"/>
      <c r="I126" s="53" t="str">
        <f t="shared" si="5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25">
      <c r="A127" s="60"/>
      <c r="B127" s="60"/>
      <c r="C127" s="60"/>
      <c r="D127" s="60"/>
      <c r="E127" s="65"/>
      <c r="F127" s="65"/>
      <c r="G127" s="65"/>
      <c r="H127" s="65"/>
      <c r="I127" s="53" t="str">
        <f t="shared" si="5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25">
      <c r="A128" s="50"/>
      <c r="B128" s="50"/>
      <c r="C128" s="50"/>
      <c r="D128" s="50"/>
      <c r="E128" s="54"/>
      <c r="F128" s="54"/>
      <c r="G128" s="54"/>
      <c r="H128" s="54"/>
      <c r="I128" s="53" t="str">
        <f t="shared" si="5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25">
      <c r="A129" s="50"/>
      <c r="B129" s="50"/>
      <c r="C129" s="50"/>
      <c r="D129" s="50"/>
      <c r="E129" s="54"/>
      <c r="F129" s="54"/>
      <c r="G129" s="54"/>
      <c r="H129" s="54"/>
      <c r="I129" s="53" t="str">
        <f t="shared" si="5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25">
      <c r="A130" s="50"/>
      <c r="B130" s="50"/>
      <c r="C130" s="50"/>
      <c r="D130" s="50"/>
      <c r="E130" s="54"/>
      <c r="F130" s="54"/>
      <c r="G130" s="54"/>
      <c r="H130" s="54"/>
      <c r="I130" s="53" t="str">
        <f t="shared" si="5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25">
      <c r="A131" s="50"/>
      <c r="B131" s="50"/>
      <c r="C131" s="50"/>
      <c r="D131" s="50"/>
      <c r="E131" s="54"/>
      <c r="F131" s="54"/>
      <c r="G131" s="54"/>
      <c r="H131" s="54"/>
      <c r="I131" s="53" t="str">
        <f t="shared" si="5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25">
      <c r="A132" s="50"/>
      <c r="B132" s="50"/>
      <c r="C132" s="50"/>
      <c r="D132" s="50"/>
      <c r="E132" s="54"/>
      <c r="F132" s="54"/>
      <c r="G132" s="54"/>
      <c r="H132" s="54"/>
      <c r="I132" s="53" t="str">
        <f t="shared" si="5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25">
      <c r="A133" s="50"/>
      <c r="B133" s="50"/>
      <c r="C133" s="50"/>
      <c r="D133" s="50"/>
      <c r="E133" s="54"/>
      <c r="F133" s="54"/>
      <c r="G133" s="54"/>
      <c r="H133" s="54"/>
      <c r="I133" s="53" t="str">
        <f t="shared" si="5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25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25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25">
      <c r="A136" s="46" t="s">
        <v>169</v>
      </c>
      <c r="B136" s="52" t="str">
        <f>IF(B13="","",B13)</f>
        <v/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25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25">
      <c r="A138" s="4"/>
      <c r="B138" s="85" t="s">
        <v>185</v>
      </c>
      <c r="C138" s="259" t="s">
        <v>186</v>
      </c>
      <c r="D138" s="259"/>
      <c r="E138" s="260" t="s">
        <v>187</v>
      </c>
      <c r="F138" s="261"/>
      <c r="G138" s="261"/>
      <c r="H138" s="262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5" x14ac:dyDescent="0.25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25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25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6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25">
      <c r="A142" s="50"/>
      <c r="B142" s="60"/>
      <c r="C142" s="50"/>
      <c r="D142" s="60"/>
      <c r="E142" s="51"/>
      <c r="F142" s="51"/>
      <c r="G142" s="51"/>
      <c r="H142" s="51"/>
      <c r="I142" s="57" t="str">
        <f t="shared" si="6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25">
      <c r="A143" s="50"/>
      <c r="B143" s="60"/>
      <c r="C143" s="50"/>
      <c r="D143" s="60"/>
      <c r="E143" s="51"/>
      <c r="F143" s="51"/>
      <c r="G143" s="51"/>
      <c r="H143" s="51"/>
      <c r="I143" s="57" t="str">
        <f t="shared" si="6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25">
      <c r="A144" s="50"/>
      <c r="B144" s="60"/>
      <c r="C144" s="50"/>
      <c r="D144" s="60"/>
      <c r="E144" s="51"/>
      <c r="F144" s="51"/>
      <c r="G144" s="51"/>
      <c r="H144" s="51"/>
      <c r="I144" s="57" t="str">
        <f t="shared" si="6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25">
      <c r="A145" s="50"/>
      <c r="B145" s="60"/>
      <c r="C145" s="50"/>
      <c r="D145" s="60"/>
      <c r="E145" s="51"/>
      <c r="F145" s="51"/>
      <c r="G145" s="51"/>
      <c r="H145" s="51"/>
      <c r="I145" s="57" t="str">
        <f t="shared" si="6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25">
      <c r="A146" s="50"/>
      <c r="B146" s="60"/>
      <c r="C146" s="50"/>
      <c r="D146" s="60"/>
      <c r="E146" s="51"/>
      <c r="F146" s="51"/>
      <c r="G146" s="51"/>
      <c r="H146" s="51"/>
      <c r="I146" s="57" t="str">
        <f t="shared" si="6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25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25">
      <c r="A148" s="50"/>
      <c r="B148" s="60"/>
      <c r="C148" s="50"/>
      <c r="D148" s="60"/>
      <c r="E148" s="51"/>
      <c r="F148" s="51"/>
      <c r="G148" s="51"/>
      <c r="H148" s="51"/>
      <c r="I148" s="57" t="str">
        <f t="shared" si="6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25">
      <c r="A149" s="50"/>
      <c r="B149" s="60"/>
      <c r="C149" s="50"/>
      <c r="D149" s="60"/>
      <c r="E149" s="51"/>
      <c r="F149" s="51"/>
      <c r="G149" s="51"/>
      <c r="H149" s="51"/>
      <c r="I149" s="57" t="str">
        <f t="shared" si="6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25">
      <c r="A150" s="50"/>
      <c r="B150" s="60"/>
      <c r="C150" s="50"/>
      <c r="D150" s="60"/>
      <c r="E150" s="51"/>
      <c r="F150" s="51"/>
      <c r="G150" s="51"/>
      <c r="H150" s="51"/>
      <c r="I150" s="57" t="str">
        <f t="shared" si="6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25">
      <c r="A151" s="50"/>
      <c r="B151" s="60"/>
      <c r="C151" s="50"/>
      <c r="D151" s="60"/>
      <c r="E151" s="51"/>
      <c r="F151" s="51"/>
      <c r="G151" s="51"/>
      <c r="H151" s="51"/>
      <c r="I151" s="57" t="str">
        <f t="shared" si="6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25">
      <c r="A152" s="50"/>
      <c r="B152" s="60"/>
      <c r="C152" s="50"/>
      <c r="D152" s="60"/>
      <c r="E152" s="54"/>
      <c r="F152" s="54"/>
      <c r="G152" s="54"/>
      <c r="H152" s="54"/>
      <c r="I152" s="57" t="str">
        <f t="shared" si="6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25">
      <c r="A153" s="50"/>
      <c r="B153" s="60"/>
      <c r="C153" s="50"/>
      <c r="D153" s="60"/>
      <c r="E153" s="54"/>
      <c r="F153" s="54"/>
      <c r="G153" s="54"/>
      <c r="H153" s="54"/>
      <c r="I153" s="57" t="str">
        <f t="shared" si="6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25">
      <c r="A154" s="55"/>
      <c r="B154" s="56"/>
      <c r="C154" s="50"/>
      <c r="D154" s="50"/>
      <c r="E154" s="54"/>
      <c r="F154" s="54"/>
      <c r="G154" s="54"/>
      <c r="H154" s="54"/>
      <c r="I154" s="57" t="str">
        <f t="shared" si="6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25">
      <c r="A155" s="55"/>
      <c r="B155" s="56"/>
      <c r="C155" s="50"/>
      <c r="D155" s="50"/>
      <c r="E155" s="54"/>
      <c r="F155" s="54"/>
      <c r="G155" s="54"/>
      <c r="H155" s="54"/>
      <c r="I155" s="57" t="str">
        <f t="shared" si="6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25">
      <c r="A156" s="55"/>
      <c r="B156" s="56"/>
      <c r="C156" s="50"/>
      <c r="D156" s="50"/>
      <c r="E156" s="54"/>
      <c r="F156" s="54"/>
      <c r="G156" s="54"/>
      <c r="H156" s="54"/>
      <c r="I156" s="57" t="str">
        <f t="shared" si="6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25">
      <c r="A157" s="55"/>
      <c r="B157" s="56"/>
      <c r="C157" s="50"/>
      <c r="D157" s="50"/>
      <c r="E157" s="54"/>
      <c r="F157" s="54"/>
      <c r="G157" s="54"/>
      <c r="H157" s="54"/>
      <c r="I157" s="57" t="str">
        <f t="shared" si="6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25">
      <c r="A158" s="55"/>
      <c r="B158" s="56"/>
      <c r="C158" s="50"/>
      <c r="D158" s="50"/>
      <c r="E158" s="54"/>
      <c r="F158" s="54"/>
      <c r="G158" s="54"/>
      <c r="H158" s="54"/>
      <c r="I158" s="57" t="str">
        <f t="shared" si="6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25">
      <c r="A159" s="55"/>
      <c r="B159" s="56"/>
      <c r="C159" s="50"/>
      <c r="D159" s="58"/>
      <c r="E159" s="54"/>
      <c r="F159" s="54"/>
      <c r="G159" s="54"/>
      <c r="H159" s="54"/>
      <c r="I159" s="57" t="str">
        <f t="shared" si="6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25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25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25">
      <c r="A162" s="46" t="s">
        <v>170</v>
      </c>
      <c r="B162" s="52" t="str">
        <f>IF(B14="","",B14)</f>
        <v/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25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25">
      <c r="A164" s="4"/>
      <c r="B164" s="85" t="s">
        <v>185</v>
      </c>
      <c r="C164" s="259" t="s">
        <v>186</v>
      </c>
      <c r="D164" s="259"/>
      <c r="E164" s="260" t="s">
        <v>187</v>
      </c>
      <c r="F164" s="261"/>
      <c r="G164" s="261"/>
      <c r="H164" s="262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5" x14ac:dyDescent="0.25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25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25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7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25">
      <c r="A168" s="50"/>
      <c r="B168" s="60"/>
      <c r="C168" s="60"/>
      <c r="D168" s="60"/>
      <c r="E168" s="51"/>
      <c r="F168" s="51"/>
      <c r="G168" s="51"/>
      <c r="H168" s="51"/>
      <c r="I168" s="49" t="str">
        <f t="shared" si="7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25">
      <c r="A169" s="50"/>
      <c r="B169" s="60"/>
      <c r="C169" s="60"/>
      <c r="D169" s="60"/>
      <c r="E169" s="51"/>
      <c r="F169" s="51"/>
      <c r="G169" s="51"/>
      <c r="H169" s="51"/>
      <c r="I169" s="49" t="str">
        <f t="shared" si="7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25">
      <c r="A170" s="50"/>
      <c r="B170" s="60"/>
      <c r="C170" s="60"/>
      <c r="D170" s="60"/>
      <c r="E170" s="51"/>
      <c r="F170" s="51"/>
      <c r="G170" s="51"/>
      <c r="H170" s="51"/>
      <c r="I170" s="49" t="str">
        <f t="shared" si="7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25">
      <c r="A171" s="50"/>
      <c r="B171" s="60"/>
      <c r="C171" s="60"/>
      <c r="D171" s="60"/>
      <c r="E171" s="51"/>
      <c r="F171" s="51"/>
      <c r="G171" s="51"/>
      <c r="H171" s="51"/>
      <c r="I171" s="49" t="str">
        <f t="shared" si="7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25">
      <c r="A172" s="50"/>
      <c r="B172" s="60"/>
      <c r="C172" s="60"/>
      <c r="D172" s="60"/>
      <c r="E172" s="51"/>
      <c r="F172" s="51"/>
      <c r="G172" s="51"/>
      <c r="H172" s="51"/>
      <c r="I172" s="49" t="str">
        <f t="shared" si="7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25">
      <c r="A173" s="50"/>
      <c r="B173" s="50"/>
      <c r="C173" s="50"/>
      <c r="D173" s="50"/>
      <c r="E173" s="51"/>
      <c r="F173" s="51"/>
      <c r="G173" s="51"/>
      <c r="H173" s="51"/>
      <c r="I173" s="49" t="str">
        <f t="shared" si="7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25">
      <c r="A174" s="50"/>
      <c r="B174" s="50"/>
      <c r="C174" s="50"/>
      <c r="D174" s="50"/>
      <c r="E174" s="51"/>
      <c r="F174" s="51"/>
      <c r="G174" s="51"/>
      <c r="H174" s="51"/>
      <c r="I174" s="49" t="str">
        <f t="shared" si="7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25">
      <c r="A175" s="50"/>
      <c r="B175" s="50"/>
      <c r="C175" s="50"/>
      <c r="D175" s="50"/>
      <c r="E175" s="51"/>
      <c r="F175" s="51"/>
      <c r="G175" s="51"/>
      <c r="H175" s="51"/>
      <c r="I175" s="49" t="str">
        <f t="shared" si="7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25">
      <c r="A176" s="50"/>
      <c r="B176" s="50"/>
      <c r="C176" s="50"/>
      <c r="D176" s="50"/>
      <c r="E176" s="51"/>
      <c r="F176" s="51"/>
      <c r="G176" s="51"/>
      <c r="H176" s="51"/>
      <c r="I176" s="49" t="str">
        <f t="shared" si="7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25">
      <c r="A177" s="50"/>
      <c r="B177" s="50"/>
      <c r="C177" s="50"/>
      <c r="D177" s="50"/>
      <c r="E177" s="51"/>
      <c r="F177" s="51"/>
      <c r="G177" s="51"/>
      <c r="H177" s="51"/>
      <c r="I177" s="49" t="str">
        <f t="shared" si="7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25">
      <c r="A178" s="50"/>
      <c r="B178" s="50"/>
      <c r="C178" s="50"/>
      <c r="D178" s="50"/>
      <c r="E178" s="51"/>
      <c r="F178" s="51"/>
      <c r="G178" s="51"/>
      <c r="H178" s="51"/>
      <c r="I178" s="49" t="str">
        <f t="shared" si="7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25">
      <c r="A179" s="50"/>
      <c r="B179" s="50"/>
      <c r="C179" s="50"/>
      <c r="D179" s="50"/>
      <c r="E179" s="51"/>
      <c r="F179" s="51"/>
      <c r="G179" s="51"/>
      <c r="H179" s="51"/>
      <c r="I179" s="49" t="str">
        <f t="shared" si="7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25">
      <c r="A180" s="50"/>
      <c r="B180" s="50"/>
      <c r="C180" s="50"/>
      <c r="D180" s="50"/>
      <c r="E180" s="51"/>
      <c r="F180" s="51"/>
      <c r="G180" s="51"/>
      <c r="H180" s="51"/>
      <c r="I180" s="49" t="str">
        <f t="shared" si="7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25">
      <c r="A181" s="50"/>
      <c r="B181" s="50"/>
      <c r="C181" s="50"/>
      <c r="D181" s="50"/>
      <c r="E181" s="51"/>
      <c r="F181" s="51"/>
      <c r="G181" s="51"/>
      <c r="H181" s="51"/>
      <c r="I181" s="49" t="str">
        <f t="shared" si="7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25">
      <c r="A182" s="50"/>
      <c r="B182" s="50"/>
      <c r="C182" s="50"/>
      <c r="D182" s="50"/>
      <c r="E182" s="51"/>
      <c r="F182" s="51"/>
      <c r="G182" s="51"/>
      <c r="H182" s="51"/>
      <c r="I182" s="49" t="str">
        <f t="shared" si="7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25">
      <c r="A183" s="50"/>
      <c r="B183" s="50"/>
      <c r="C183" s="50"/>
      <c r="D183" s="50"/>
      <c r="E183" s="51"/>
      <c r="F183" s="51"/>
      <c r="G183" s="51"/>
      <c r="H183" s="51"/>
      <c r="I183" s="49" t="str">
        <f t="shared" si="7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25">
      <c r="A184" s="50"/>
      <c r="B184" s="50"/>
      <c r="C184" s="50"/>
      <c r="D184" s="50"/>
      <c r="E184" s="51"/>
      <c r="F184" s="51"/>
      <c r="G184" s="51"/>
      <c r="H184" s="51"/>
      <c r="I184" s="49" t="str">
        <f t="shared" si="7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25">
      <c r="A185" s="50"/>
      <c r="B185" s="50"/>
      <c r="C185" s="50"/>
      <c r="D185" s="50"/>
      <c r="E185" s="51"/>
      <c r="F185" s="51"/>
      <c r="G185" s="51"/>
      <c r="H185" s="51"/>
      <c r="I185" s="49" t="str">
        <f t="shared" si="7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25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25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25">
      <c r="A188" s="46" t="s">
        <v>171</v>
      </c>
      <c r="B188" s="52" t="str">
        <f>IF(B15="","",B15)</f>
        <v/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25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25">
      <c r="A190" s="4"/>
      <c r="B190" s="85" t="s">
        <v>185</v>
      </c>
      <c r="C190" s="259" t="s">
        <v>186</v>
      </c>
      <c r="D190" s="259"/>
      <c r="E190" s="260" t="s">
        <v>187</v>
      </c>
      <c r="F190" s="261"/>
      <c r="G190" s="261"/>
      <c r="H190" s="262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5" x14ac:dyDescent="0.25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25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25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8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25">
      <c r="A194" s="50"/>
      <c r="B194" s="60"/>
      <c r="C194" s="60"/>
      <c r="D194" s="60"/>
      <c r="E194" s="51"/>
      <c r="F194" s="51"/>
      <c r="G194" s="51"/>
      <c r="H194" s="51"/>
      <c r="I194" s="49" t="str">
        <f t="shared" si="8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25">
      <c r="A195" s="50"/>
      <c r="B195" s="60"/>
      <c r="C195" s="60"/>
      <c r="D195" s="60"/>
      <c r="E195" s="51"/>
      <c r="F195" s="51"/>
      <c r="G195" s="51"/>
      <c r="H195" s="51"/>
      <c r="I195" s="49" t="str">
        <f t="shared" si="8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25">
      <c r="A196" s="50"/>
      <c r="B196" s="60"/>
      <c r="C196" s="60"/>
      <c r="D196" s="60"/>
      <c r="E196" s="51"/>
      <c r="F196" s="51"/>
      <c r="G196" s="51"/>
      <c r="H196" s="51"/>
      <c r="I196" s="49" t="str">
        <f t="shared" si="8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25">
      <c r="A197" s="50"/>
      <c r="B197" s="60"/>
      <c r="C197" s="60"/>
      <c r="D197" s="60"/>
      <c r="E197" s="51"/>
      <c r="F197" s="51"/>
      <c r="G197" s="51"/>
      <c r="H197" s="51"/>
      <c r="I197" s="49" t="str">
        <f t="shared" si="8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25">
      <c r="A198" s="50"/>
      <c r="B198" s="60"/>
      <c r="C198" s="60"/>
      <c r="D198" s="60"/>
      <c r="E198" s="51"/>
      <c r="F198" s="51"/>
      <c r="G198" s="51"/>
      <c r="H198" s="51"/>
      <c r="I198" s="49" t="str">
        <f t="shared" si="8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25">
      <c r="A199" s="50"/>
      <c r="B199" s="50"/>
      <c r="C199" s="50"/>
      <c r="D199" s="50"/>
      <c r="E199" s="51"/>
      <c r="F199" s="51"/>
      <c r="G199" s="51"/>
      <c r="H199" s="51"/>
      <c r="I199" s="49" t="str">
        <f t="shared" si="8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25">
      <c r="A200" s="50"/>
      <c r="B200" s="50"/>
      <c r="C200" s="50"/>
      <c r="D200" s="50"/>
      <c r="E200" s="51"/>
      <c r="F200" s="51"/>
      <c r="G200" s="51"/>
      <c r="H200" s="51"/>
      <c r="I200" s="49" t="str">
        <f t="shared" si="8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25">
      <c r="A201" s="50"/>
      <c r="B201" s="50"/>
      <c r="C201" s="50"/>
      <c r="D201" s="50"/>
      <c r="E201" s="51"/>
      <c r="F201" s="51"/>
      <c r="G201" s="51"/>
      <c r="H201" s="51"/>
      <c r="I201" s="49" t="str">
        <f t="shared" si="8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25">
      <c r="A202" s="50"/>
      <c r="B202" s="50"/>
      <c r="C202" s="50"/>
      <c r="D202" s="50"/>
      <c r="E202" s="51"/>
      <c r="F202" s="51"/>
      <c r="G202" s="51"/>
      <c r="H202" s="51"/>
      <c r="I202" s="49" t="str">
        <f t="shared" si="8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25">
      <c r="A203" s="50"/>
      <c r="B203" s="50"/>
      <c r="C203" s="50"/>
      <c r="D203" s="50"/>
      <c r="E203" s="51"/>
      <c r="F203" s="51"/>
      <c r="G203" s="51"/>
      <c r="H203" s="51"/>
      <c r="I203" s="49" t="str">
        <f t="shared" si="8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25">
      <c r="A204" s="50"/>
      <c r="B204" s="50"/>
      <c r="C204" s="50"/>
      <c r="D204" s="50"/>
      <c r="E204" s="51"/>
      <c r="F204" s="51"/>
      <c r="G204" s="51"/>
      <c r="H204" s="51"/>
      <c r="I204" s="49" t="str">
        <f t="shared" si="8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25">
      <c r="A205" s="50"/>
      <c r="B205" s="50"/>
      <c r="C205" s="50"/>
      <c r="D205" s="50"/>
      <c r="E205" s="51"/>
      <c r="F205" s="51"/>
      <c r="G205" s="51"/>
      <c r="H205" s="51"/>
      <c r="I205" s="49" t="str">
        <f t="shared" si="8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25">
      <c r="A206" s="50"/>
      <c r="B206" s="50"/>
      <c r="C206" s="50"/>
      <c r="D206" s="50"/>
      <c r="E206" s="51"/>
      <c r="F206" s="51"/>
      <c r="G206" s="51"/>
      <c r="H206" s="51"/>
      <c r="I206" s="49" t="str">
        <f t="shared" si="8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25">
      <c r="A207" s="50"/>
      <c r="B207" s="50"/>
      <c r="C207" s="50"/>
      <c r="D207" s="50"/>
      <c r="E207" s="51"/>
      <c r="F207" s="51"/>
      <c r="G207" s="51"/>
      <c r="H207" s="51"/>
      <c r="I207" s="49" t="str">
        <f t="shared" si="8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25">
      <c r="A208" s="50"/>
      <c r="B208" s="50"/>
      <c r="C208" s="50"/>
      <c r="D208" s="50"/>
      <c r="E208" s="51"/>
      <c r="F208" s="51"/>
      <c r="G208" s="51"/>
      <c r="H208" s="51"/>
      <c r="I208" s="49" t="str">
        <f t="shared" si="8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25">
      <c r="A209" s="50"/>
      <c r="B209" s="50"/>
      <c r="C209" s="50"/>
      <c r="D209" s="50"/>
      <c r="E209" s="51"/>
      <c r="F209" s="51"/>
      <c r="G209" s="51"/>
      <c r="H209" s="51"/>
      <c r="I209" s="49" t="str">
        <f t="shared" si="8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25">
      <c r="A210" s="50"/>
      <c r="B210" s="50"/>
      <c r="C210" s="50"/>
      <c r="D210" s="50"/>
      <c r="E210" s="51"/>
      <c r="F210" s="51"/>
      <c r="G210" s="51"/>
      <c r="H210" s="51"/>
      <c r="I210" s="49" t="str">
        <f t="shared" si="8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25">
      <c r="A211" s="50"/>
      <c r="B211" s="50"/>
      <c r="C211" s="50"/>
      <c r="D211" s="50"/>
      <c r="E211" s="51"/>
      <c r="F211" s="51"/>
      <c r="G211" s="51"/>
      <c r="H211" s="51"/>
      <c r="I211" s="49" t="str">
        <f t="shared" si="8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25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25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25">
      <c r="A214" s="46" t="s">
        <v>172</v>
      </c>
      <c r="B214" s="52" t="str">
        <f>IF(B16="","",B16)</f>
        <v/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25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25">
      <c r="A216" s="4"/>
      <c r="B216" s="85" t="s">
        <v>185</v>
      </c>
      <c r="C216" s="259" t="s">
        <v>186</v>
      </c>
      <c r="D216" s="259"/>
      <c r="E216" s="260" t="s">
        <v>187</v>
      </c>
      <c r="F216" s="261"/>
      <c r="G216" s="261"/>
      <c r="H216" s="262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5" x14ac:dyDescent="0.25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25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25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9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25">
      <c r="A220" s="50"/>
      <c r="B220" s="60"/>
      <c r="C220" s="50"/>
      <c r="D220" s="60"/>
      <c r="E220" s="63"/>
      <c r="F220" s="63"/>
      <c r="G220" s="63"/>
      <c r="H220" s="63"/>
      <c r="I220" s="53" t="str">
        <f t="shared" si="9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25">
      <c r="A221" s="55"/>
      <c r="B221" s="55"/>
      <c r="C221" s="55"/>
      <c r="D221" s="55"/>
      <c r="E221" s="63"/>
      <c r="F221" s="63"/>
      <c r="G221" s="63"/>
      <c r="H221" s="63"/>
      <c r="I221" s="53" t="str">
        <f t="shared" si="9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25">
      <c r="A222" s="55"/>
      <c r="B222" s="55"/>
      <c r="C222" s="55"/>
      <c r="D222" s="55"/>
      <c r="E222" s="63"/>
      <c r="F222" s="63"/>
      <c r="G222" s="63"/>
      <c r="H222" s="63"/>
      <c r="I222" s="53" t="str">
        <f t="shared" si="9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25">
      <c r="A223" s="55"/>
      <c r="B223" s="55"/>
      <c r="C223" s="55"/>
      <c r="D223" s="55"/>
      <c r="E223" s="63"/>
      <c r="F223" s="63"/>
      <c r="G223" s="63"/>
      <c r="H223" s="63"/>
      <c r="I223" s="53" t="str">
        <f t="shared" si="9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25">
      <c r="A224" s="55"/>
      <c r="B224" s="55"/>
      <c r="C224" s="55"/>
      <c r="D224" s="55"/>
      <c r="E224" s="63"/>
      <c r="F224" s="63"/>
      <c r="G224" s="63"/>
      <c r="H224" s="63"/>
      <c r="I224" s="53" t="str">
        <f t="shared" si="9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25">
      <c r="A225" s="55"/>
      <c r="B225" s="55"/>
      <c r="C225" s="55"/>
      <c r="D225" s="55"/>
      <c r="E225" s="63"/>
      <c r="F225" s="63"/>
      <c r="G225" s="63"/>
      <c r="H225" s="63"/>
      <c r="I225" s="53" t="str">
        <f t="shared" si="9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25">
      <c r="A226" s="55"/>
      <c r="B226" s="55"/>
      <c r="C226" s="55"/>
      <c r="D226" s="55"/>
      <c r="E226" s="63"/>
      <c r="F226" s="63"/>
      <c r="G226" s="63"/>
      <c r="H226" s="63"/>
      <c r="I226" s="53" t="str">
        <f t="shared" si="9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25">
      <c r="A227" s="55"/>
      <c r="B227" s="55"/>
      <c r="C227" s="55"/>
      <c r="D227" s="55"/>
      <c r="E227" s="63"/>
      <c r="F227" s="63"/>
      <c r="G227" s="63"/>
      <c r="H227" s="63"/>
      <c r="I227" s="53" t="str">
        <f t="shared" si="9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25">
      <c r="A228" s="55"/>
      <c r="B228" s="55"/>
      <c r="C228" s="55"/>
      <c r="D228" s="55"/>
      <c r="E228" s="63"/>
      <c r="F228" s="63"/>
      <c r="G228" s="63"/>
      <c r="H228" s="63"/>
      <c r="I228" s="53" t="str">
        <f t="shared" si="9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25">
      <c r="A229" s="55"/>
      <c r="B229" s="55"/>
      <c r="C229" s="55"/>
      <c r="D229" s="55"/>
      <c r="E229" s="63"/>
      <c r="F229" s="63"/>
      <c r="G229" s="63"/>
      <c r="H229" s="63"/>
      <c r="I229" s="53" t="str">
        <f t="shared" si="9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25">
      <c r="A230" s="55"/>
      <c r="B230" s="55"/>
      <c r="C230" s="55"/>
      <c r="D230" s="55"/>
      <c r="E230" s="64"/>
      <c r="F230" s="64"/>
      <c r="G230" s="64"/>
      <c r="H230" s="64"/>
      <c r="I230" s="53" t="str">
        <f t="shared" si="9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25">
      <c r="A231" s="88"/>
      <c r="B231" s="60"/>
      <c r="C231" s="88"/>
      <c r="D231" s="60"/>
      <c r="E231" s="54"/>
      <c r="F231" s="54"/>
      <c r="G231" s="54"/>
      <c r="H231" s="54"/>
      <c r="I231" s="53" t="str">
        <f t="shared" si="9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25">
      <c r="A232" s="50"/>
      <c r="B232" s="50"/>
      <c r="C232" s="50"/>
      <c r="D232" s="50"/>
      <c r="E232" s="54"/>
      <c r="F232" s="54"/>
      <c r="G232" s="54"/>
      <c r="H232" s="54"/>
      <c r="I232" s="53" t="str">
        <f t="shared" si="9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25">
      <c r="A233" s="50"/>
      <c r="B233" s="50"/>
      <c r="C233" s="50"/>
      <c r="D233" s="50"/>
      <c r="E233" s="54"/>
      <c r="F233" s="54"/>
      <c r="G233" s="54"/>
      <c r="H233" s="54"/>
      <c r="I233" s="53" t="str">
        <f t="shared" si="9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25">
      <c r="A234" s="50"/>
      <c r="B234" s="50"/>
      <c r="C234" s="50"/>
      <c r="D234" s="50"/>
      <c r="E234" s="54"/>
      <c r="F234" s="54"/>
      <c r="G234" s="54"/>
      <c r="H234" s="54"/>
      <c r="I234" s="53" t="str">
        <f t="shared" si="9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25">
      <c r="A235" s="50"/>
      <c r="B235" s="50"/>
      <c r="C235" s="50"/>
      <c r="D235" s="50"/>
      <c r="E235" s="54"/>
      <c r="F235" s="54"/>
      <c r="G235" s="54"/>
      <c r="H235" s="54"/>
      <c r="I235" s="53" t="str">
        <f t="shared" si="9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25">
      <c r="A236" s="50"/>
      <c r="B236" s="50"/>
      <c r="C236" s="50"/>
      <c r="D236" s="50"/>
      <c r="E236" s="54"/>
      <c r="F236" s="54"/>
      <c r="G236" s="54"/>
      <c r="H236" s="54"/>
      <c r="I236" s="53" t="str">
        <f t="shared" si="9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25">
      <c r="A237" s="50"/>
      <c r="B237" s="50"/>
      <c r="C237" s="50"/>
      <c r="D237" s="50"/>
      <c r="E237" s="54"/>
      <c r="F237" s="54"/>
      <c r="G237" s="54"/>
      <c r="H237" s="54"/>
      <c r="I237" s="53" t="str">
        <f t="shared" si="9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25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25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25">
      <c r="A240" s="46" t="s">
        <v>173</v>
      </c>
      <c r="B240" s="52" t="str">
        <f>IF(B17="","",B17)</f>
        <v/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25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25">
      <c r="A242" s="4"/>
      <c r="B242" s="85" t="s">
        <v>185</v>
      </c>
      <c r="C242" s="259" t="s">
        <v>186</v>
      </c>
      <c r="D242" s="259"/>
      <c r="E242" s="260" t="s">
        <v>187</v>
      </c>
      <c r="F242" s="261"/>
      <c r="G242" s="261"/>
      <c r="H242" s="262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5" x14ac:dyDescent="0.25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25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25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25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25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10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25">
      <c r="A248" s="50"/>
      <c r="B248" s="60"/>
      <c r="C248" s="60"/>
      <c r="D248" s="60"/>
      <c r="E248" s="63"/>
      <c r="F248" s="63"/>
      <c r="G248" s="63"/>
      <c r="H248" s="63"/>
      <c r="I248" s="53" t="str">
        <f t="shared" si="10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25">
      <c r="A249" s="50"/>
      <c r="B249" s="60"/>
      <c r="C249" s="60"/>
      <c r="D249" s="60"/>
      <c r="E249" s="63"/>
      <c r="F249" s="63"/>
      <c r="G249" s="63"/>
      <c r="H249" s="63"/>
      <c r="I249" s="53" t="str">
        <f t="shared" si="10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25">
      <c r="A250" s="50"/>
      <c r="B250" s="60"/>
      <c r="C250" s="60"/>
      <c r="D250" s="60"/>
      <c r="E250" s="63"/>
      <c r="F250" s="63"/>
      <c r="G250" s="63"/>
      <c r="H250" s="63"/>
      <c r="I250" s="53" t="str">
        <f t="shared" si="10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25">
      <c r="A251" s="55"/>
      <c r="B251" s="55"/>
      <c r="C251" s="55"/>
      <c r="D251" s="55"/>
      <c r="E251" s="63"/>
      <c r="F251" s="63"/>
      <c r="G251" s="63"/>
      <c r="H251" s="63"/>
      <c r="I251" s="53" t="str">
        <f t="shared" si="10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25">
      <c r="A252" s="55"/>
      <c r="B252" s="55"/>
      <c r="C252" s="55"/>
      <c r="D252" s="55"/>
      <c r="E252" s="63"/>
      <c r="F252" s="63"/>
      <c r="G252" s="63"/>
      <c r="H252" s="63"/>
      <c r="I252" s="53" t="str">
        <f t="shared" si="10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25">
      <c r="A253" s="55"/>
      <c r="B253" s="55"/>
      <c r="C253" s="55"/>
      <c r="D253" s="55"/>
      <c r="E253" s="63"/>
      <c r="F253" s="63"/>
      <c r="G253" s="63"/>
      <c r="H253" s="63"/>
      <c r="I253" s="53" t="str">
        <f t="shared" si="10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25">
      <c r="A254" s="55"/>
      <c r="B254" s="55"/>
      <c r="C254" s="55"/>
      <c r="D254" s="55"/>
      <c r="E254" s="63"/>
      <c r="F254" s="63"/>
      <c r="G254" s="63"/>
      <c r="H254" s="63"/>
      <c r="I254" s="53" t="str">
        <f t="shared" si="10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25">
      <c r="A255" s="55"/>
      <c r="B255" s="55"/>
      <c r="C255" s="55"/>
      <c r="D255" s="55"/>
      <c r="E255" s="63"/>
      <c r="F255" s="63"/>
      <c r="G255" s="63"/>
      <c r="H255" s="63"/>
      <c r="I255" s="53" t="str">
        <f t="shared" si="10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25">
      <c r="A256" s="55"/>
      <c r="B256" s="55"/>
      <c r="C256" s="55"/>
      <c r="D256" s="55"/>
      <c r="E256" s="64"/>
      <c r="F256" s="64"/>
      <c r="G256" s="64"/>
      <c r="H256" s="64"/>
      <c r="I256" s="53" t="str">
        <f t="shared" si="10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25">
      <c r="A257" s="88"/>
      <c r="B257" s="60"/>
      <c r="C257" s="88"/>
      <c r="D257" s="60"/>
      <c r="E257" s="54"/>
      <c r="F257" s="54"/>
      <c r="G257" s="54"/>
      <c r="H257" s="54"/>
      <c r="I257" s="53" t="str">
        <f t="shared" si="10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25">
      <c r="A258" s="50"/>
      <c r="B258" s="50"/>
      <c r="C258" s="50"/>
      <c r="D258" s="50"/>
      <c r="E258" s="54"/>
      <c r="F258" s="54"/>
      <c r="G258" s="54"/>
      <c r="H258" s="54"/>
      <c r="I258" s="53" t="str">
        <f t="shared" si="10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25">
      <c r="A259" s="50"/>
      <c r="B259" s="50"/>
      <c r="C259" s="50"/>
      <c r="D259" s="50"/>
      <c r="E259" s="54"/>
      <c r="F259" s="54"/>
      <c r="G259" s="54"/>
      <c r="H259" s="54"/>
      <c r="I259" s="53" t="str">
        <f t="shared" si="10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25">
      <c r="A260" s="50"/>
      <c r="B260" s="50"/>
      <c r="C260" s="50"/>
      <c r="D260" s="50"/>
      <c r="E260" s="54"/>
      <c r="F260" s="54"/>
      <c r="G260" s="54"/>
      <c r="H260" s="54"/>
      <c r="I260" s="53" t="str">
        <f t="shared" si="10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25">
      <c r="A261" s="50"/>
      <c r="B261" s="50"/>
      <c r="C261" s="50"/>
      <c r="D261" s="50"/>
      <c r="E261" s="54"/>
      <c r="F261" s="54"/>
      <c r="G261" s="54"/>
      <c r="H261" s="54"/>
      <c r="I261" s="53" t="str">
        <f t="shared" si="10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25">
      <c r="A262" s="50"/>
      <c r="B262" s="50"/>
      <c r="C262" s="50"/>
      <c r="D262" s="50"/>
      <c r="E262" s="54"/>
      <c r="F262" s="54"/>
      <c r="G262" s="54"/>
      <c r="H262" s="54"/>
      <c r="I262" s="53" t="str">
        <f t="shared" si="10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25">
      <c r="A263" s="50"/>
      <c r="B263" s="50"/>
      <c r="C263" s="50"/>
      <c r="D263" s="50"/>
      <c r="E263" s="54"/>
      <c r="F263" s="54"/>
      <c r="G263" s="54"/>
      <c r="H263" s="54"/>
      <c r="I263" s="53" t="str">
        <f t="shared" si="10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25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25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25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25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25">
      <c r="A268" s="4"/>
      <c r="B268" s="85" t="s">
        <v>185</v>
      </c>
      <c r="C268" s="259" t="s">
        <v>186</v>
      </c>
      <c r="D268" s="259"/>
      <c r="E268" s="260" t="s">
        <v>187</v>
      </c>
      <c r="F268" s="261"/>
      <c r="G268" s="261"/>
      <c r="H268" s="262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5" x14ac:dyDescent="0.25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25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25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25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1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25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1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25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1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25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1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25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1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25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1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25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1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25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1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25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1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25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1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25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1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25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1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25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1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25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1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25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1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25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1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25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1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25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1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25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25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25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25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25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25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25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25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25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25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25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25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25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25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25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25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25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25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25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25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25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25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25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25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25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25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25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25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25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25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25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25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25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25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25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25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25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25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25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25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25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25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25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25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25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25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25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25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25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25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25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25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25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25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25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25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25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25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25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25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25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25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25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25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25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25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25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25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25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25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25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25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25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25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25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25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25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25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25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25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25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25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25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25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25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25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25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25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25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25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25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25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25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25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25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25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25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25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25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25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25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25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25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25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25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25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25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25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25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25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25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25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25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25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25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25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25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25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25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25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25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25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25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25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25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25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25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25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25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25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25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25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25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25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25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25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25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25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G14" sqref="G14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7" thickBot="1" x14ac:dyDescent="0.45">
      <c r="A2" s="4"/>
      <c r="B2" s="273" t="s">
        <v>191</v>
      </c>
      <c r="C2" s="274"/>
      <c r="D2" s="274"/>
      <c r="E2" s="274"/>
      <c r="F2" s="274"/>
      <c r="G2" s="275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25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25">
      <c r="A4" s="4"/>
      <c r="B4" s="272"/>
      <c r="C4" s="272"/>
      <c r="D4" s="272"/>
      <c r="E4" s="272"/>
      <c r="F4" s="272"/>
      <c r="G4" s="272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25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25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25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25">
      <c r="A8" s="105">
        <v>1</v>
      </c>
      <c r="B8" s="61">
        <v>0</v>
      </c>
      <c r="C8" s="49" t="s">
        <v>177</v>
      </c>
      <c r="D8" s="23"/>
      <c r="E8" s="105">
        <v>4</v>
      </c>
      <c r="F8" s="61">
        <v>1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25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25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1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25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2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25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25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25">
      <c r="A15" s="23"/>
      <c r="B15" s="26" t="s">
        <v>295</v>
      </c>
      <c r="C15" s="4"/>
      <c r="D15" s="23"/>
      <c r="E15" s="4"/>
      <c r="F15" s="4"/>
      <c r="G15" s="2" t="s">
        <v>149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25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25">
      <c r="A17" s="23"/>
      <c r="B17" s="61">
        <v>0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25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25">
      <c r="A19" s="23"/>
      <c r="B19" s="106">
        <f>SUM(B16:B18)</f>
        <v>0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25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25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25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25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25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25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25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25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25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2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2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2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2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2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2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2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2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25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25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25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25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25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25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25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25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25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25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25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25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25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25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25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25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25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25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25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25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25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25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25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25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25">
      <c r="C104" s="4"/>
      <c r="F104" s="4"/>
    </row>
    <row r="105" spans="3:35" x14ac:dyDescent="0.25">
      <c r="C105" s="4"/>
      <c r="F105" s="4"/>
    </row>
    <row r="106" spans="3:35" x14ac:dyDescent="0.25">
      <c r="C106" s="4"/>
      <c r="F106" s="4"/>
    </row>
    <row r="107" spans="3:35" x14ac:dyDescent="0.25">
      <c r="C107" s="4"/>
      <c r="F107" s="4"/>
    </row>
    <row r="108" spans="3:35" x14ac:dyDescent="0.25">
      <c r="C108" s="4"/>
      <c r="F108" s="4"/>
    </row>
    <row r="109" spans="3:35" x14ac:dyDescent="0.25">
      <c r="C109" s="4"/>
      <c r="F109" s="4"/>
    </row>
    <row r="110" spans="3:35" x14ac:dyDescent="0.25">
      <c r="C110" s="4"/>
      <c r="F110" s="4"/>
    </row>
    <row r="111" spans="3:35" x14ac:dyDescent="0.25">
      <c r="C111" s="4"/>
      <c r="F111" s="4"/>
    </row>
    <row r="112" spans="3:35" x14ac:dyDescent="0.25">
      <c r="C112" s="4"/>
      <c r="F112" s="4"/>
    </row>
    <row r="113" spans="3:6" x14ac:dyDescent="0.25">
      <c r="C113" s="4"/>
      <c r="F113" s="4"/>
    </row>
    <row r="114" spans="3:6" x14ac:dyDescent="0.25">
      <c r="C114" s="4"/>
      <c r="F114" s="4"/>
    </row>
    <row r="115" spans="3:6" x14ac:dyDescent="0.25">
      <c r="C115" s="4"/>
      <c r="F115" s="4"/>
    </row>
    <row r="116" spans="3:6" x14ac:dyDescent="0.25">
      <c r="C116" s="4"/>
      <c r="F116" s="4"/>
    </row>
    <row r="117" spans="3:6" x14ac:dyDescent="0.25">
      <c r="C117" s="4"/>
      <c r="F117" s="4"/>
    </row>
    <row r="118" spans="3:6" x14ac:dyDescent="0.25">
      <c r="C118" s="4"/>
      <c r="F118" s="4"/>
    </row>
    <row r="119" spans="3:6" x14ac:dyDescent="0.25">
      <c r="C119" s="4"/>
      <c r="F119" s="4"/>
    </row>
    <row r="120" spans="3:6" x14ac:dyDescent="0.25">
      <c r="C120" s="4"/>
      <c r="F120" s="4"/>
    </row>
    <row r="121" spans="3:6" x14ac:dyDescent="0.25">
      <c r="C121" s="4"/>
      <c r="F121" s="4"/>
    </row>
    <row r="122" spans="3:6" x14ac:dyDescent="0.25">
      <c r="C122" s="4"/>
      <c r="F122" s="4"/>
    </row>
    <row r="123" spans="3:6" x14ac:dyDescent="0.25">
      <c r="C123" s="4"/>
      <c r="F123" s="4"/>
    </row>
    <row r="124" spans="3:6" x14ac:dyDescent="0.25">
      <c r="C124" s="4"/>
      <c r="F124" s="4"/>
    </row>
    <row r="125" spans="3:6" x14ac:dyDescent="0.25">
      <c r="C125" s="4"/>
      <c r="F125" s="4"/>
    </row>
    <row r="126" spans="3:6" x14ac:dyDescent="0.25">
      <c r="C126" s="4"/>
      <c r="F126" s="4"/>
    </row>
    <row r="127" spans="3:6" x14ac:dyDescent="0.25">
      <c r="C127" s="4"/>
      <c r="F127" s="4"/>
    </row>
    <row r="128" spans="3:6" x14ac:dyDescent="0.25">
      <c r="C128" s="4"/>
      <c r="F128" s="4"/>
    </row>
    <row r="129" spans="3:6" x14ac:dyDescent="0.25">
      <c r="C129" s="4"/>
      <c r="F129" s="4"/>
    </row>
    <row r="130" spans="3:6" x14ac:dyDescent="0.25">
      <c r="C130" s="4"/>
      <c r="F130" s="4"/>
    </row>
    <row r="131" spans="3:6" x14ac:dyDescent="0.25">
      <c r="C131" s="4"/>
      <c r="F131" s="4"/>
    </row>
    <row r="132" spans="3:6" x14ac:dyDescent="0.25">
      <c r="F132" s="4"/>
    </row>
    <row r="133" spans="3:6" x14ac:dyDescent="0.25">
      <c r="F133" s="4"/>
    </row>
    <row r="134" spans="3:6" x14ac:dyDescent="0.25">
      <c r="F134" s="4"/>
    </row>
    <row r="135" spans="3:6" x14ac:dyDescent="0.25">
      <c r="F135" s="4"/>
    </row>
    <row r="136" spans="3:6" x14ac:dyDescent="0.25">
      <c r="F136" s="4"/>
    </row>
    <row r="137" spans="3:6" x14ac:dyDescent="0.25">
      <c r="F137" s="4"/>
    </row>
    <row r="138" spans="3:6" x14ac:dyDescent="0.25">
      <c r="F138" s="4"/>
    </row>
    <row r="139" spans="3:6" x14ac:dyDescent="0.25">
      <c r="F139" s="4"/>
    </row>
    <row r="140" spans="3:6" x14ac:dyDescent="0.25">
      <c r="F140" s="4"/>
    </row>
    <row r="141" spans="3:6" x14ac:dyDescent="0.25">
      <c r="F141" s="4"/>
    </row>
    <row r="142" spans="3:6" x14ac:dyDescent="0.25">
      <c r="F142" s="4"/>
    </row>
    <row r="143" spans="3:6" x14ac:dyDescent="0.25">
      <c r="F143" s="4"/>
    </row>
    <row r="144" spans="3:6" x14ac:dyDescent="0.25">
      <c r="F144" s="4"/>
    </row>
    <row r="145" spans="6:6" x14ac:dyDescent="0.25">
      <c r="F145" s="4"/>
    </row>
    <row r="146" spans="6:6" x14ac:dyDescent="0.25">
      <c r="F146" s="4"/>
    </row>
    <row r="147" spans="6:6" x14ac:dyDescent="0.25">
      <c r="F147" s="4"/>
    </row>
    <row r="148" spans="6:6" x14ac:dyDescent="0.25">
      <c r="F148" s="4"/>
    </row>
    <row r="149" spans="6:6" x14ac:dyDescent="0.25">
      <c r="F149" s="4"/>
    </row>
    <row r="150" spans="6:6" x14ac:dyDescent="0.25">
      <c r="F150" s="4"/>
    </row>
    <row r="151" spans="6:6" x14ac:dyDescent="0.25">
      <c r="F151" s="4"/>
    </row>
    <row r="152" spans="6:6" x14ac:dyDescent="0.25">
      <c r="F152" s="4"/>
    </row>
    <row r="153" spans="6:6" x14ac:dyDescent="0.25">
      <c r="F153" s="4"/>
    </row>
    <row r="154" spans="6:6" x14ac:dyDescent="0.25">
      <c r="F154" s="4"/>
    </row>
    <row r="155" spans="6:6" x14ac:dyDescent="0.25">
      <c r="F155" s="4"/>
    </row>
    <row r="156" spans="6:6" x14ac:dyDescent="0.25">
      <c r="F156" s="4"/>
    </row>
    <row r="157" spans="6:6" x14ac:dyDescent="0.25">
      <c r="F157" s="4"/>
    </row>
    <row r="158" spans="6:6" x14ac:dyDescent="0.25">
      <c r="F158" s="4"/>
    </row>
    <row r="159" spans="6:6" x14ac:dyDescent="0.25">
      <c r="F159" s="4"/>
    </row>
    <row r="160" spans="6:6" x14ac:dyDescent="0.25">
      <c r="F160" s="4"/>
    </row>
    <row r="161" spans="6:6" x14ac:dyDescent="0.25">
      <c r="F161" s="4"/>
    </row>
    <row r="162" spans="6:6" x14ac:dyDescent="0.25">
      <c r="F162" s="4"/>
    </row>
    <row r="163" spans="6:6" x14ac:dyDescent="0.25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4" bestFit="1" customWidth="1"/>
    <col min="2" max="4" width="11.42578125" style="4"/>
    <col min="5" max="5" width="9.5703125" style="4" customWidth="1"/>
    <col min="6" max="7" width="11.42578125" style="4"/>
    <col min="8" max="8" width="10.7109375" style="4" customWidth="1"/>
    <col min="9" max="9" width="9.42578125" style="4" customWidth="1"/>
    <col min="10" max="11" width="10.5703125" style="4" bestFit="1" customWidth="1"/>
    <col min="12" max="12" width="14" style="4" bestFit="1" customWidth="1"/>
    <col min="13" max="13" width="14" style="4" customWidth="1"/>
    <col min="14" max="23" width="11.42578125" style="4"/>
    <col min="24" max="24" width="11.7109375" style="4" bestFit="1" customWidth="1"/>
    <col min="25" max="25" width="14.5703125" style="4" bestFit="1" customWidth="1"/>
    <col min="26" max="26" width="12.42578125" style="4" bestFit="1" customWidth="1"/>
    <col min="27" max="27" width="9.7109375" style="4" bestFit="1" customWidth="1"/>
    <col min="28" max="28" width="11" style="4" bestFit="1" customWidth="1"/>
    <col min="29" max="29" width="9.42578125" style="4" bestFit="1" customWidth="1"/>
    <col min="30" max="31" width="9.42578125" style="4" customWidth="1"/>
    <col min="32" max="32" width="11.42578125" style="4"/>
    <col min="33" max="34" width="14" style="4" bestFit="1" customWidth="1"/>
    <col min="35" max="35" width="10.5703125" style="4" bestFit="1" customWidth="1"/>
    <col min="36" max="36" width="9.42578125" style="4" bestFit="1" customWidth="1"/>
    <col min="37" max="38" width="10.5703125" style="4" bestFit="1" customWidth="1"/>
    <col min="39" max="41" width="10.5703125" style="4" customWidth="1"/>
    <col min="42" max="42" width="9" style="4" bestFit="1" customWidth="1"/>
    <col min="43" max="43" width="10.5703125" style="4" bestFit="1" customWidth="1"/>
    <col min="44" max="44" width="9.28515625" style="4" bestFit="1" customWidth="1"/>
    <col min="45" max="45" width="11.7109375" style="4" bestFit="1" customWidth="1"/>
    <col min="46" max="46" width="8.42578125" style="4" bestFit="1" customWidth="1"/>
    <col min="47" max="47" width="9.42578125" style="4" bestFit="1" customWidth="1"/>
    <col min="48" max="48" width="9.7109375" style="4" bestFit="1" customWidth="1"/>
    <col min="49" max="49" width="11" style="4" bestFit="1" customWidth="1"/>
    <col min="50" max="50" width="9.42578125" style="4" bestFit="1" customWidth="1"/>
    <col min="51" max="52" width="9.42578125" style="4" customWidth="1"/>
    <col min="53" max="53" width="10.5703125" style="4" bestFit="1" customWidth="1"/>
    <col min="54" max="54" width="14.28515625" style="4" customWidth="1"/>
    <col min="55" max="55" width="14" style="4" customWidth="1"/>
    <col min="56" max="56" width="10.5703125" style="4" bestFit="1" customWidth="1"/>
    <col min="57" max="57" width="9.42578125" style="4" bestFit="1" customWidth="1"/>
    <col min="58" max="59" width="10.5703125" style="4" bestFit="1" customWidth="1"/>
    <col min="60" max="62" width="10.5703125" style="4" customWidth="1"/>
    <col min="63" max="63" width="9" style="4" bestFit="1" customWidth="1"/>
    <col min="64" max="64" width="10.5703125" style="4" bestFit="1" customWidth="1"/>
    <col min="65" max="65" width="9.28515625" style="4" bestFit="1" customWidth="1"/>
    <col min="66" max="66" width="11.7109375" style="4" bestFit="1" customWidth="1"/>
    <col min="67" max="67" width="8.42578125" style="4" bestFit="1" customWidth="1"/>
    <col min="68" max="68" width="9.42578125" style="4" bestFit="1" customWidth="1"/>
    <col min="69" max="69" width="9.7109375" style="4" bestFit="1" customWidth="1"/>
    <col min="70" max="70" width="11" style="4" bestFit="1" customWidth="1"/>
    <col min="71" max="71" width="9.42578125" style="4" bestFit="1" customWidth="1"/>
    <col min="72" max="73" width="9.42578125" style="4" customWidth="1"/>
    <col min="74" max="74" width="10.5703125" style="4" bestFit="1" customWidth="1"/>
    <col min="75" max="75" width="14" style="4" bestFit="1" customWidth="1"/>
    <col min="76" max="76" width="13.85546875" style="4" customWidth="1"/>
    <col min="77" max="77" width="10.5703125" style="4" bestFit="1" customWidth="1"/>
    <col min="78" max="78" width="9.42578125" style="4" bestFit="1" customWidth="1"/>
    <col min="79" max="80" width="10.5703125" style="4" bestFit="1" customWidth="1"/>
    <col min="81" max="83" width="10.5703125" style="4" customWidth="1"/>
    <col min="84" max="84" width="11.42578125" style="4"/>
    <col min="85" max="85" width="10.5703125" style="4" bestFit="1" customWidth="1"/>
    <col min="86" max="86" width="9.28515625" style="4" bestFit="1" customWidth="1"/>
    <col min="87" max="87" width="11.7109375" style="4" bestFit="1" customWidth="1"/>
    <col min="88" max="88" width="8.42578125" style="4" bestFit="1" customWidth="1"/>
    <col min="89" max="89" width="9.42578125" style="4" bestFit="1" customWidth="1"/>
    <col min="90" max="90" width="9.7109375" style="4" bestFit="1" customWidth="1"/>
    <col min="91" max="91" width="11" style="4" bestFit="1" customWidth="1"/>
    <col min="92" max="92" width="9.42578125" style="4" bestFit="1" customWidth="1"/>
    <col min="93" max="94" width="9.42578125" style="4" customWidth="1"/>
    <col min="95" max="95" width="11.42578125" style="4"/>
    <col min="96" max="97" width="14" style="4" customWidth="1"/>
    <col min="98" max="98" width="10.5703125" style="4" bestFit="1" customWidth="1"/>
    <col min="99" max="99" width="9.42578125" style="4" bestFit="1" customWidth="1"/>
    <col min="100" max="101" width="10.5703125" style="4" bestFit="1" customWidth="1"/>
    <col min="102" max="104" width="10.5703125" style="4" customWidth="1"/>
    <col min="105" max="105" width="9" style="4" bestFit="1" customWidth="1"/>
    <col min="106" max="106" width="10.5703125" style="4" bestFit="1" customWidth="1"/>
    <col min="107" max="107" width="9.28515625" style="4" bestFit="1" customWidth="1"/>
    <col min="108" max="108" width="11.7109375" style="4" bestFit="1" customWidth="1"/>
    <col min="109" max="109" width="8.42578125" style="4" bestFit="1" customWidth="1"/>
    <col min="110" max="110" width="9.42578125" style="4" bestFit="1" customWidth="1"/>
    <col min="111" max="111" width="9.7109375" style="4" bestFit="1" customWidth="1"/>
    <col min="112" max="112" width="11" style="4" bestFit="1" customWidth="1"/>
    <col min="113" max="113" width="9.42578125" style="4" bestFit="1" customWidth="1"/>
    <col min="114" max="115" width="9.42578125" style="4" customWidth="1"/>
    <col min="116" max="116" width="10.5703125" style="4" bestFit="1" customWidth="1"/>
    <col min="117" max="117" width="14.28515625" style="4" customWidth="1"/>
    <col min="118" max="118" width="14" style="4" bestFit="1" customWidth="1"/>
    <col min="119" max="119" width="10.5703125" style="4" bestFit="1" customWidth="1"/>
    <col min="120" max="120" width="9.42578125" style="4" bestFit="1" customWidth="1"/>
    <col min="121" max="122" width="10.5703125" style="4" bestFit="1" customWidth="1"/>
    <col min="123" max="125" width="10.5703125" style="4" customWidth="1"/>
    <col min="126" max="126" width="9" style="4" bestFit="1" customWidth="1"/>
    <col min="127" max="127" width="10.5703125" style="4" bestFit="1" customWidth="1"/>
    <col min="128" max="128" width="9.28515625" style="4" bestFit="1" customWidth="1"/>
    <col min="129" max="129" width="11.7109375" style="4" bestFit="1" customWidth="1"/>
    <col min="130" max="130" width="8.42578125" style="4" bestFit="1" customWidth="1"/>
    <col min="131" max="131" width="9.42578125" style="4" bestFit="1" customWidth="1"/>
    <col min="132" max="132" width="9.7109375" style="4" bestFit="1" customWidth="1"/>
    <col min="133" max="133" width="11" style="4" bestFit="1" customWidth="1"/>
    <col min="134" max="134" width="9.42578125" style="4" bestFit="1" customWidth="1"/>
    <col min="135" max="136" width="9.42578125" style="4" customWidth="1"/>
    <col min="137" max="137" width="10.5703125" style="4" bestFit="1" customWidth="1"/>
    <col min="138" max="139" width="14" style="4" customWidth="1"/>
    <col min="140" max="140" width="10.5703125" style="4" bestFit="1" customWidth="1"/>
    <col min="141" max="141" width="9.42578125" style="4" bestFit="1" customWidth="1"/>
    <col min="142" max="143" width="10.5703125" style="4" bestFit="1" customWidth="1"/>
    <col min="144" max="146" width="10.5703125" style="4" customWidth="1"/>
    <col min="147" max="147" width="9" style="4" bestFit="1" customWidth="1"/>
    <col min="148" max="148" width="10.5703125" style="4" bestFit="1" customWidth="1"/>
    <col min="149" max="149" width="9.28515625" style="4" bestFit="1" customWidth="1"/>
    <col min="150" max="150" width="11.7109375" style="4" bestFit="1" customWidth="1"/>
    <col min="151" max="151" width="8.42578125" style="4" bestFit="1" customWidth="1"/>
    <col min="152" max="152" width="9.42578125" style="4" bestFit="1" customWidth="1"/>
    <col min="153" max="153" width="9.7109375" style="4" bestFit="1" customWidth="1"/>
    <col min="154" max="154" width="11" style="4" bestFit="1" customWidth="1"/>
    <col min="155" max="155" width="9.42578125" style="4" bestFit="1" customWidth="1"/>
    <col min="156" max="157" width="9.42578125" style="4" customWidth="1"/>
    <col min="158" max="158" width="11.42578125" style="4"/>
    <col min="159" max="160" width="14" style="4" bestFit="1" customWidth="1"/>
    <col min="161" max="161" width="10.5703125" style="4" bestFit="1" customWidth="1"/>
    <col min="162" max="162" width="9.42578125" style="4" bestFit="1" customWidth="1"/>
    <col min="163" max="164" width="10.5703125" style="4" bestFit="1" customWidth="1"/>
    <col min="165" max="167" width="10.5703125" style="4" customWidth="1"/>
    <col min="168" max="168" width="9" style="4" bestFit="1" customWidth="1"/>
    <col min="169" max="169" width="10.5703125" style="4" bestFit="1" customWidth="1"/>
    <col min="170" max="170" width="9.28515625" style="4" bestFit="1" customWidth="1"/>
    <col min="171" max="171" width="11.7109375" style="4" bestFit="1" customWidth="1"/>
    <col min="172" max="172" width="8.140625" style="4" bestFit="1" customWidth="1"/>
    <col min="173" max="173" width="9.42578125" style="4" bestFit="1" customWidth="1"/>
    <col min="174" max="174" width="9.7109375" style="4" bestFit="1" customWidth="1"/>
    <col min="175" max="175" width="11" style="4" bestFit="1" customWidth="1"/>
    <col min="176" max="176" width="9.42578125" style="4" bestFit="1" customWidth="1"/>
    <col min="177" max="178" width="9.42578125" style="4" customWidth="1"/>
    <col min="179" max="179" width="10.5703125" style="4" bestFit="1" customWidth="1"/>
    <col min="180" max="181" width="14" style="4" bestFit="1" customWidth="1"/>
    <col min="182" max="182" width="10.5703125" style="4" bestFit="1" customWidth="1"/>
    <col min="183" max="183" width="9.42578125" style="4" bestFit="1" customWidth="1"/>
    <col min="184" max="185" width="10.5703125" style="4" bestFit="1" customWidth="1"/>
    <col min="186" max="188" width="10.5703125" style="4" customWidth="1"/>
    <col min="189" max="189" width="9" style="4" bestFit="1" customWidth="1"/>
    <col min="190" max="190" width="10.5703125" style="4" bestFit="1" customWidth="1"/>
    <col min="191" max="191" width="9.28515625" style="4" bestFit="1" customWidth="1"/>
    <col min="192" max="192" width="11.42578125" style="4"/>
    <col min="193" max="193" width="8.42578125" style="4" bestFit="1" customWidth="1"/>
    <col min="194" max="194" width="9.42578125" style="4" bestFit="1" customWidth="1"/>
    <col min="195" max="195" width="9.7109375" style="4" bestFit="1" customWidth="1"/>
    <col min="196" max="196" width="11" style="4" bestFit="1" customWidth="1"/>
    <col min="197" max="197" width="9.42578125" style="4" bestFit="1" customWidth="1"/>
    <col min="198" max="199" width="9.42578125" style="4" customWidth="1"/>
    <col min="200" max="200" width="10.5703125" style="4" bestFit="1" customWidth="1"/>
    <col min="201" max="201" width="14" style="4" customWidth="1"/>
    <col min="202" max="202" width="14.28515625" style="4" customWidth="1"/>
    <col min="203" max="203" width="10.5703125" style="4" bestFit="1" customWidth="1"/>
    <col min="204" max="204" width="9.42578125" style="4" bestFit="1" customWidth="1"/>
    <col min="205" max="206" width="10.5703125" style="4" bestFit="1" customWidth="1"/>
    <col min="207" max="209" width="10.5703125" style="4" customWidth="1"/>
    <col min="210" max="210" width="9" style="4" bestFit="1" customWidth="1"/>
    <col min="211" max="211" width="10.5703125" style="4" bestFit="1" customWidth="1"/>
    <col min="212" max="212" width="9.28515625" style="4" bestFit="1" customWidth="1"/>
    <col min="213" max="213" width="11.7109375" style="4" bestFit="1" customWidth="1"/>
    <col min="214" max="214" width="8.42578125" style="4" bestFit="1" customWidth="1"/>
    <col min="215" max="215" width="9.42578125" style="4" bestFit="1" customWidth="1"/>
    <col min="216" max="216" width="9.7109375" style="4" bestFit="1" customWidth="1"/>
    <col min="217" max="217" width="11" style="4" bestFit="1" customWidth="1"/>
    <col min="218" max="218" width="9.42578125" style="4" bestFit="1" customWidth="1"/>
    <col min="219" max="16384" width="11.42578125" style="4"/>
  </cols>
  <sheetData>
    <row r="1" spans="1:218" ht="27" thickBot="1" x14ac:dyDescent="0.45">
      <c r="B1" s="279" t="s">
        <v>176</v>
      </c>
      <c r="C1" s="280"/>
      <c r="D1" s="280"/>
      <c r="E1" s="280"/>
      <c r="F1" s="280"/>
      <c r="G1" s="280"/>
      <c r="H1" s="281"/>
      <c r="I1" s="276" t="str">
        <f>IF('Données projet'!$B$9="","",'Données projet'!$B$9)</f>
        <v>Douglas</v>
      </c>
      <c r="J1" s="277"/>
      <c r="K1" s="277"/>
      <c r="L1" s="277"/>
      <c r="M1" s="277"/>
      <c r="N1" s="277"/>
      <c r="O1" s="277"/>
      <c r="P1" s="277"/>
      <c r="Q1" s="277"/>
      <c r="R1" s="277"/>
      <c r="S1" s="277"/>
      <c r="T1" s="277"/>
      <c r="U1" s="277"/>
      <c r="V1" s="277"/>
      <c r="W1" s="277"/>
      <c r="X1" s="277"/>
      <c r="Y1" s="277"/>
      <c r="Z1" s="277"/>
      <c r="AA1" s="277"/>
      <c r="AB1" s="277"/>
      <c r="AC1" s="278"/>
      <c r="AD1" s="277" t="str">
        <f>IF('Données projet'!$B$10="","",'Données projet'!$B$10)</f>
        <v>Chêne pubescent</v>
      </c>
      <c r="AE1" s="277"/>
      <c r="AF1" s="277"/>
      <c r="AG1" s="277"/>
      <c r="AH1" s="277"/>
      <c r="AI1" s="277"/>
      <c r="AJ1" s="277"/>
      <c r="AK1" s="277"/>
      <c r="AL1" s="277"/>
      <c r="AM1" s="277"/>
      <c r="AN1" s="277"/>
      <c r="AO1" s="277"/>
      <c r="AP1" s="277"/>
      <c r="AQ1" s="277"/>
      <c r="AR1" s="277"/>
      <c r="AS1" s="277"/>
      <c r="AT1" s="277"/>
      <c r="AU1" s="277"/>
      <c r="AV1" s="277"/>
      <c r="AW1" s="277"/>
      <c r="AX1" s="278"/>
      <c r="AY1" s="276" t="str">
        <f>IF('Données projet'!$B$11="","",'Données projet'!$B$11)</f>
        <v>Cèdre de l'Atlas</v>
      </c>
      <c r="AZ1" s="277"/>
      <c r="BA1" s="277"/>
      <c r="BB1" s="277"/>
      <c r="BC1" s="277"/>
      <c r="BD1" s="277"/>
      <c r="BE1" s="277"/>
      <c r="BF1" s="277"/>
      <c r="BG1" s="277"/>
      <c r="BH1" s="277"/>
      <c r="BI1" s="277"/>
      <c r="BJ1" s="277"/>
      <c r="BK1" s="277"/>
      <c r="BL1" s="277"/>
      <c r="BM1" s="277"/>
      <c r="BN1" s="277"/>
      <c r="BO1" s="277"/>
      <c r="BP1" s="277"/>
      <c r="BQ1" s="277"/>
      <c r="BR1" s="277"/>
      <c r="BS1" s="278"/>
      <c r="BT1" s="276" t="str">
        <f>IF('Données projet'!$B$12="","",'Données projet'!$B$12)</f>
        <v/>
      </c>
      <c r="BU1" s="277"/>
      <c r="BV1" s="277"/>
      <c r="BW1" s="277"/>
      <c r="BX1" s="277"/>
      <c r="BY1" s="277"/>
      <c r="BZ1" s="277"/>
      <c r="CA1" s="277"/>
      <c r="CB1" s="277"/>
      <c r="CC1" s="277"/>
      <c r="CD1" s="277"/>
      <c r="CE1" s="277"/>
      <c r="CF1" s="277"/>
      <c r="CG1" s="277"/>
      <c r="CH1" s="277"/>
      <c r="CI1" s="277"/>
      <c r="CJ1" s="277"/>
      <c r="CK1" s="277"/>
      <c r="CL1" s="277"/>
      <c r="CM1" s="277"/>
      <c r="CN1" s="278"/>
      <c r="CO1" s="276" t="str">
        <f>IF('Données projet'!$B$13="","",'Données projet'!$B$13)</f>
        <v/>
      </c>
      <c r="CP1" s="277"/>
      <c r="CQ1" s="277"/>
      <c r="CR1" s="277"/>
      <c r="CS1" s="277"/>
      <c r="CT1" s="277"/>
      <c r="CU1" s="277"/>
      <c r="CV1" s="277"/>
      <c r="CW1" s="277"/>
      <c r="CX1" s="277"/>
      <c r="CY1" s="277"/>
      <c r="CZ1" s="277"/>
      <c r="DA1" s="277"/>
      <c r="DB1" s="277"/>
      <c r="DC1" s="277"/>
      <c r="DD1" s="277"/>
      <c r="DE1" s="277"/>
      <c r="DF1" s="277"/>
      <c r="DG1" s="277"/>
      <c r="DH1" s="277"/>
      <c r="DI1" s="278"/>
      <c r="DJ1" s="276" t="str">
        <f>IF('Données projet'!$B$14="","",'Données projet'!$B$14)</f>
        <v/>
      </c>
      <c r="DK1" s="277"/>
      <c r="DL1" s="277"/>
      <c r="DM1" s="277"/>
      <c r="DN1" s="277"/>
      <c r="DO1" s="277"/>
      <c r="DP1" s="277"/>
      <c r="DQ1" s="277"/>
      <c r="DR1" s="277"/>
      <c r="DS1" s="277"/>
      <c r="DT1" s="277"/>
      <c r="DU1" s="277"/>
      <c r="DV1" s="277"/>
      <c r="DW1" s="277"/>
      <c r="DX1" s="277"/>
      <c r="DY1" s="277"/>
      <c r="DZ1" s="277"/>
      <c r="EA1" s="277"/>
      <c r="EB1" s="277"/>
      <c r="EC1" s="277"/>
      <c r="ED1" s="278"/>
      <c r="EE1" s="276" t="str">
        <f>IF('Données projet'!$B$15="","",'Données projet'!$B$15)</f>
        <v/>
      </c>
      <c r="EF1" s="277"/>
      <c r="EG1" s="277"/>
      <c r="EH1" s="277"/>
      <c r="EI1" s="277"/>
      <c r="EJ1" s="277"/>
      <c r="EK1" s="277"/>
      <c r="EL1" s="277"/>
      <c r="EM1" s="277"/>
      <c r="EN1" s="277"/>
      <c r="EO1" s="277"/>
      <c r="EP1" s="277"/>
      <c r="EQ1" s="277"/>
      <c r="ER1" s="277"/>
      <c r="ES1" s="277"/>
      <c r="ET1" s="277"/>
      <c r="EU1" s="277"/>
      <c r="EV1" s="277"/>
      <c r="EW1" s="277"/>
      <c r="EX1" s="277"/>
      <c r="EY1" s="278"/>
      <c r="EZ1" s="276" t="str">
        <f>IF('Données projet'!$B$16="","",'Données projet'!$B$16)</f>
        <v/>
      </c>
      <c r="FA1" s="277"/>
      <c r="FB1" s="277"/>
      <c r="FC1" s="277"/>
      <c r="FD1" s="277"/>
      <c r="FE1" s="277"/>
      <c r="FF1" s="277"/>
      <c r="FG1" s="277"/>
      <c r="FH1" s="277"/>
      <c r="FI1" s="277"/>
      <c r="FJ1" s="277"/>
      <c r="FK1" s="277"/>
      <c r="FL1" s="277"/>
      <c r="FM1" s="277"/>
      <c r="FN1" s="277"/>
      <c r="FO1" s="277"/>
      <c r="FP1" s="277"/>
      <c r="FQ1" s="277"/>
      <c r="FR1" s="277"/>
      <c r="FS1" s="277"/>
      <c r="FT1" s="278"/>
      <c r="FU1" s="276" t="str">
        <f>IF('Données projet'!$B$17="","",'Données projet'!$B$17)</f>
        <v/>
      </c>
      <c r="FV1" s="277"/>
      <c r="FW1" s="277"/>
      <c r="FX1" s="277"/>
      <c r="FY1" s="277"/>
      <c r="FZ1" s="277"/>
      <c r="GA1" s="277"/>
      <c r="GB1" s="277"/>
      <c r="GC1" s="277"/>
      <c r="GD1" s="277"/>
      <c r="GE1" s="277"/>
      <c r="GF1" s="277"/>
      <c r="GG1" s="277"/>
      <c r="GH1" s="277"/>
      <c r="GI1" s="277"/>
      <c r="GJ1" s="277"/>
      <c r="GK1" s="277"/>
      <c r="GL1" s="277"/>
      <c r="GM1" s="277"/>
      <c r="GN1" s="277"/>
      <c r="GO1" s="278"/>
      <c r="GP1" s="276" t="str">
        <f>IF('Données projet'!$B$18="","",'Données projet'!$B$18)</f>
        <v/>
      </c>
      <c r="GQ1" s="277"/>
      <c r="GR1" s="277"/>
      <c r="GS1" s="277"/>
      <c r="GT1" s="277"/>
      <c r="GU1" s="277"/>
      <c r="GV1" s="277"/>
      <c r="GW1" s="277"/>
      <c r="GX1" s="277"/>
      <c r="GY1" s="277"/>
      <c r="GZ1" s="277"/>
      <c r="HA1" s="277"/>
      <c r="HB1" s="277"/>
      <c r="HC1" s="277"/>
      <c r="HD1" s="277"/>
      <c r="HE1" s="277"/>
      <c r="HF1" s="277"/>
      <c r="HG1" s="277"/>
      <c r="HH1" s="277"/>
      <c r="HI1" s="277"/>
      <c r="HJ1" s="278"/>
    </row>
    <row r="2" spans="1:218" ht="75.75" thickBot="1" x14ac:dyDescent="0.3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25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10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293.33333333333331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293.33333333333331</v>
      </c>
      <c r="S3" s="59">
        <f ca="1">AVERAGE(OFFSET($R$3,0,0,'Données projet'!$E$9+1,1))-AVERAGE(OFFSET($H$3,0,0,'Données projet'!$E$9+1,1))</f>
        <v>279.98352834501759</v>
      </c>
      <c r="T3" s="59">
        <f>IF('Données projet'!E9&gt;30,$R$33-$H$33,LOOKUP('Données projet'!$E$9,$A$3:$A$203,R3:R203)-LOOKUP('Données projet'!$E$9,$A$3:$A$203,$H$3:$H$203))</f>
        <v>281.30062655265488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293.33333333333331</v>
      </c>
      <c r="AN3" s="59">
        <f ca="1">AVERAGE(OFFSET($AM$3,0,0,'Données projet'!$E$10+1,1))-AVERAGE(OFFSET($H$3,0,0,'Données projet'!$E$10+1,1))</f>
        <v>279.20364724206644</v>
      </c>
      <c r="AO3" s="59">
        <f>IF('Données projet'!E10&gt;30,$AM$33-$H$33,LOOKUP('Données projet'!$E$10,$A$3:$A$203,AM3:AM203)-LOOKUP('Données projet'!$E$10,$A$3:$A$203,$H$3:$H$203))</f>
        <v>173.99850582760712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293.33333333333331</v>
      </c>
      <c r="BI3" s="59">
        <f ca="1">AVERAGE(OFFSET($BH$3,0,0,'Données projet'!$E$11+1,1))-AVERAGE(OFFSET($H$3,0,0,'Données projet'!$E$11+1,1))</f>
        <v>215.23235148064941</v>
      </c>
      <c r="BJ3" s="59">
        <f>IF('Données projet'!E11&gt;30,$BH$33-$H$33,LOOKUP('Données projet'!$E$11,$A$3:$A$203,BH3:BH203)-LOOKUP('Données projet'!$E$11,$A$3:$A$203,$H$3:$H$203))</f>
        <v>184.07239726900434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 t="e">
        <f>BY3*VLOOKUP('Données projet'!$B$12,Paramètres!$A$1:$I$89,3,0)*VLOOKUP('Données projet'!$B$12,Paramètres!$A$1:$I$89,5,0)</f>
        <v>#N/A</v>
      </c>
      <c r="CA3" s="12">
        <v>0</v>
      </c>
      <c r="CB3" s="14" t="e">
        <f>(BZ3+CA3)*0.475*44/12</f>
        <v>#N/A</v>
      </c>
      <c r="CC3" s="59" t="e">
        <f>CB3+(BT3+BU3)*44/12</f>
        <v>#N/A</v>
      </c>
      <c r="CD3" s="59" t="e">
        <f ca="1">AVERAGE(OFFSET($CC$3,0,0,'Données projet'!$E$12+1,1))-AVERAGE(OFFSET($H$3,0,0,'Données projet'!$E$12+1,1))</f>
        <v>#N/A</v>
      </c>
      <c r="CE3" s="59" t="e">
        <f>IF('Données projet'!E12&gt;30,$CC$33-$H$33,LOOKUP('Données projet'!$E$12,$A$3:$A$203,CC3:CC203)-LOOKUP('Données projet'!$E$12,$A$3:$A$203,$H$3:$H$203))</f>
        <v>#N/A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25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0.88919999999999999</v>
      </c>
      <c r="D4" s="11">
        <f>IFERROR(EXP(-1.0587+0.8836*LN(C4)+0.284),0)</f>
        <v>0.41542055579923082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10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10.07075516757301</v>
      </c>
      <c r="H4" s="67">
        <f t="shared" ref="H4:H67" si="1">(B4+E4+F4)*44/12+(C4+D4)*0.475*44/12</f>
        <v>295.60554746801699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3.4666666666666668</v>
      </c>
      <c r="N4" s="13">
        <f>IF('Données projet'!$A$36&gt;35,N3+M4-V3,IF(A4&lt;'Données projet'!$A$36,$K$205^A4,IF(A4='Données projet'!$A$36,'Données projet'!$B$36,N3+M4-V3)))</f>
        <v>1.3013682980565777</v>
      </c>
      <c r="O4" s="13">
        <f>N4*VLOOKUP('Données projet'!$B$9,Paramètres!$A$1:$I$89,3,0)*VLOOKUP('Données projet'!$B$9,Paramètres!$A$1:$I$89,5,0)</f>
        <v>0.72746487861362696</v>
      </c>
      <c r="P4" s="13">
        <f>EXP(-1.0587+0.8836*LN(O4)+0.284)</f>
        <v>0.34789579163386686</v>
      </c>
      <c r="Q4" s="20">
        <f t="shared" ref="Q4:Q34" si="2">(O4+P4)*0.475*44/12</f>
        <v>1.8729198340143851</v>
      </c>
      <c r="R4" s="59">
        <f t="shared" si="0"/>
        <v>295.20625316734771</v>
      </c>
      <c r="S4" s="59">
        <f ca="1">AVERAGE(OFFSET($R$3,0,0,'Données projet'!$E$9+1,1))-AVERAGE(OFFSET($H$3,0,0,'Données projet'!$E$9+1,1))</f>
        <v>279.98352834501759</v>
      </c>
      <c r="T4" s="59">
        <f>$T$3</f>
        <v>281.30062655265488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2.1</v>
      </c>
      <c r="AI4" s="13">
        <f>IF('Données projet'!$A$62&gt;35,AI3+AH4-AQ3,IF(A4&lt;'Données projet'!$A$62,$AF$205^A4,IF(A4='Données projet'!$A$62,'Données projet'!$B$62,AI3+AH4-AQ3)))</f>
        <v>1.2054868146447177</v>
      </c>
      <c r="AJ4" s="13">
        <f>AI4*VLOOKUP('Données projet'!$B$10,Paramètres!$A$1:$I$89,3,0)*VLOOKUP('Données projet'!$B$10,Paramètres!$A$1:$I$89,5,0)</f>
        <v>1.2223636300497438</v>
      </c>
      <c r="AK4" s="13">
        <f>EXP(-1.0587+0.8836*LN(AJ4)+0.284)</f>
        <v>0.55030360208821416</v>
      </c>
      <c r="AL4" s="20">
        <f t="shared" ref="AL4:AL67" si="4">(AJ4+AK4)*0.475*44/12</f>
        <v>3.0873954293069432</v>
      </c>
      <c r="AM4" s="59">
        <f t="shared" ref="AM4:AM67" si="5">AL4+(AD4+AE4)*44/12</f>
        <v>296.42072876264024</v>
      </c>
      <c r="AN4" s="59">
        <f ca="1">AVERAGE(OFFSET($AM$3,0,0,'Données projet'!$E$10+1,1))-AVERAGE(OFFSET($H$3,0,0,'Données projet'!$E$10+1,1))</f>
        <v>279.20364724206644</v>
      </c>
      <c r="AO4" s="59">
        <f>$AO$3</f>
        <v>173.99850582760712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7.9</v>
      </c>
      <c r="BD4" s="12">
        <f>IF('Données projet'!$A$88&gt;35,BD3+BC4-BL3,IF(A4&lt;'Données projet'!$A$88,$BA$205^A4,IF(A4='Données projet'!$A$88,'Données projet'!$B$88,BD3+BC4-BL3)))</f>
        <v>1.2880503926580862</v>
      </c>
      <c r="BE4" s="13">
        <f>BD4*VLOOKUP('Données projet'!$B$11,Paramètres!$A$1:$I$89,3,0)*VLOOKUP('Données projet'!$B$11,Paramètres!$A$1:$I$89,5,0)</f>
        <v>0.60280758376398436</v>
      </c>
      <c r="BF4" s="13">
        <f>EXP(-1.0587+0.8836*LN(BE4)+0.284)</f>
        <v>0.29465781953181042</v>
      </c>
      <c r="BG4" s="20">
        <f t="shared" ref="BG4:BG67" si="7">(BE4+BF4)*0.475*44/12</f>
        <v>1.5630855774068424</v>
      </c>
      <c r="BH4" s="59">
        <f t="shared" ref="BH4:BH67" si="8">BG4+(AY4+AZ4)*44/12</f>
        <v>294.89641891074018</v>
      </c>
      <c r="BI4" s="59">
        <f ca="1">AVERAGE(OFFSET($BH$3,0,0,'Données projet'!$E$11+1,1))-AVERAGE(OFFSET($H$3,0,0,'Données projet'!$E$11+1,1))</f>
        <v>215.23235148064941</v>
      </c>
      <c r="BJ4" s="59">
        <f>$BJ$3</f>
        <v>184.07239726900434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</v>
      </c>
      <c r="BY4" s="12">
        <f>IF('Données projet'!$A$114&gt;35,BY3+BX4-CG3,IF(A4&lt;'Données projet'!$A$114,$BV$205^A4,IF(A4='Données projet'!$A$114,'Données projet'!$B$114,BY3+BX4-CG3)))</f>
        <v>0</v>
      </c>
      <c r="BZ4" s="13" t="e">
        <f>BY4*VLOOKUP('Données projet'!$B$12,Paramètres!$A$1:$I$89,3,0)*VLOOKUP('Données projet'!$B$12,Paramètres!$A$1:$I$89,5,0)</f>
        <v>#N/A</v>
      </c>
      <c r="CA4" s="13" t="e">
        <f>EXP(-1.0587+0.8836*LN(BZ4)+0.284)</f>
        <v>#N/A</v>
      </c>
      <c r="CB4" s="20" t="e">
        <f t="shared" ref="CB4:CB67" si="10">(BZ4+CA4)*0.475*44/12</f>
        <v>#N/A</v>
      </c>
      <c r="CC4" s="59" t="e">
        <f t="shared" ref="CC4:CC67" si="11">CB4+(BT4+BU4)*44/12</f>
        <v>#N/A</v>
      </c>
      <c r="CD4" s="59" t="e">
        <f ca="1">AVERAGE(OFFSET($CC$3,0,0,'Données projet'!$E$12+1,1))-AVERAGE(OFFSET($H$3,0,0,'Données projet'!$E$12+1,1))</f>
        <v>#N/A</v>
      </c>
      <c r="CE4" s="59" t="e">
        <f>$CE$3</f>
        <v>#N/A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 t="e">
        <f>EXP(-LN(2)/35)*CK3+(1-EXP(-LN(2)/35))/(LN(2)/35)*CG4*CH4*VLOOKUP('Données projet'!$B$12,Paramètres!$A$1:$I$89,3,0)*0.475*44/12</f>
        <v>#N/A</v>
      </c>
      <c r="CL4" s="21" t="e">
        <f>EXP(-LN(2)/25)*CL3+(1-EXP(-LN(2)/25))/(LN(2)/25)*Calculateur!CG4*Calculateur!CI4*VLOOKUP('Données projet'!$B$12,Paramètres!$A$1:$I$89,3,0)*0.475*44/12</f>
        <v>#N/A</v>
      </c>
      <c r="CM4" s="21" t="e">
        <f>EXP(-LN(2)/2)*CM3+(1-EXP(-LN(2)/2))/(LN(2)/2)*CG4*CJ4*VLOOKUP('Données projet'!$B$12,Paramètres!$A$1:$I$89,3,0)*0.475*44/12</f>
        <v>#N/A</v>
      </c>
      <c r="CN4" s="22" t="e">
        <f t="shared" ref="CN4:CN67" si="12">SUM(CK4:CM4)</f>
        <v>#N/A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25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1.7784</v>
      </c>
      <c r="D5" s="11">
        <f t="shared" ref="D5:D68" si="32">IFERROR(EXP(-1.0587+0.8836*LN(C5)+0.284),0)</f>
        <v>0.76643986660078545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10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19.644377917620098</v>
      </c>
      <c r="H5" s="67">
        <f t="shared" si="1"/>
        <v>297.76559610099633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3.4666666666666668</v>
      </c>
      <c r="N5" s="13">
        <f>IF('Données projet'!$A$36&gt;35,N4+M5-V4,IF(A5&lt;'Données projet'!$A$36,$K$205^A5,IF(A5='Données projet'!$A$36,'Données projet'!$B$36,N4+M5-V4)))</f>
        <v>1.6935594471866737</v>
      </c>
      <c r="O5" s="13">
        <f>N5*VLOOKUP('Données projet'!$B$9,Paramètres!$A$1:$I$89,3,0)*VLOOKUP('Données projet'!$B$9,Paramètres!$A$1:$I$89,5,0)</f>
        <v>0.94669973097735072</v>
      </c>
      <c r="P5" s="13">
        <f t="shared" ref="P5:P68" si="33">EXP(-1.0587+0.8836*LN(O5)+0.284)</f>
        <v>0.43906944176018564</v>
      </c>
      <c r="Q5" s="20">
        <f t="shared" si="2"/>
        <v>2.4135479758512086</v>
      </c>
      <c r="R5" s="59">
        <f t="shared" si="0"/>
        <v>295.74688130918452</v>
      </c>
      <c r="S5" s="59">
        <f ca="1">AVERAGE(OFFSET($R$3,0,0,'Données projet'!$E$9+1,1))-AVERAGE(OFFSET($H$3,0,0,'Données projet'!$E$9+1,1))</f>
        <v>279.98352834501759</v>
      </c>
      <c r="T5" s="59">
        <f t="shared" ref="T5:T68" si="34">$T$3</f>
        <v>281.30062655265488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2.1</v>
      </c>
      <c r="AI5" s="13">
        <f>IF('Données projet'!$A$62&gt;35,AI4+AH5-AQ4,IF(A5&lt;'Données projet'!$A$62,$AF$205^A5,IF(A5='Données projet'!$A$62,'Données projet'!$B$62,AI4+AH5-AQ4)))</f>
        <v>1.4531984602822681</v>
      </c>
      <c r="AJ5" s="13">
        <f>AI5*VLOOKUP('Données projet'!$B$10,Paramètres!$A$1:$I$89,3,0)*VLOOKUP('Données projet'!$B$10,Paramètres!$A$1:$I$89,5,0)</f>
        <v>1.47354323872622</v>
      </c>
      <c r="AK5" s="13">
        <f t="shared" ref="AK5:AK68" si="35">EXP(-1.0587+0.8836*LN(AJ5)+0.284)</f>
        <v>0.64910881835703094</v>
      </c>
      <c r="AL5" s="20">
        <f t="shared" si="4"/>
        <v>3.6969523327533285</v>
      </c>
      <c r="AM5" s="59">
        <f t="shared" si="5"/>
        <v>297.03028566608663</v>
      </c>
      <c r="AN5" s="59">
        <f ca="1">AVERAGE(OFFSET($AM$3,0,0,'Données projet'!$E$10+1,1))-AVERAGE(OFFSET($H$3,0,0,'Données projet'!$E$10+1,1))</f>
        <v>279.20364724206644</v>
      </c>
      <c r="AO5" s="59">
        <f t="shared" ref="AO5:AO68" si="36">$AO$3</f>
        <v>173.99850582760712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7.9</v>
      </c>
      <c r="BD5" s="12">
        <f>IF('Données projet'!$A$88&gt;35,BD4+BC5-BL4,IF(A5&lt;'Données projet'!$A$88,$BA$205^A5,IF(A5='Données projet'!$A$88,'Données projet'!$B$88,BD4+BC5-BL4)))</f>
        <v>1.6590738140266501</v>
      </c>
      <c r="BE5" s="13">
        <f>BD5*VLOOKUP('Données projet'!$B$11,Paramètres!$A$1:$I$89,3,0)*VLOOKUP('Données projet'!$B$11,Paramètres!$A$1:$I$89,5,0)</f>
        <v>0.77644654496447219</v>
      </c>
      <c r="BF5" s="13">
        <f t="shared" ref="BF5:BF68" si="37">EXP(-1.0587+0.8836*LN(BE5)+0.284)</f>
        <v>0.36851455096495994</v>
      </c>
      <c r="BG5" s="20">
        <f t="shared" si="7"/>
        <v>1.9941405754104276</v>
      </c>
      <c r="BH5" s="59">
        <f t="shared" si="8"/>
        <v>295.32747390874374</v>
      </c>
      <c r="BI5" s="59">
        <f ca="1">AVERAGE(OFFSET($BH$3,0,0,'Données projet'!$E$11+1,1))-AVERAGE(OFFSET($H$3,0,0,'Données projet'!$E$11+1,1))</f>
        <v>215.23235148064941</v>
      </c>
      <c r="BJ5" s="59">
        <f t="shared" ref="BJ5:BJ68" si="38">$BJ$3</f>
        <v>184.07239726900434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</v>
      </c>
      <c r="BY5" s="12">
        <f>IF('Données projet'!$A$114&gt;35,BY4+BX5-CG4,IF(A5&lt;'Données projet'!$A$114,$BV$205^A5,IF(A5='Données projet'!$A$114,'Données projet'!$B$114,BY4+BX5-CG4)))</f>
        <v>0</v>
      </c>
      <c r="BZ5" s="13" t="e">
        <f>BY5*VLOOKUP('Données projet'!$B$12,Paramètres!$A$1:$I$89,3,0)*VLOOKUP('Données projet'!$B$12,Paramètres!$A$1:$I$89,5,0)</f>
        <v>#N/A</v>
      </c>
      <c r="CA5" s="13" t="e">
        <f t="shared" ref="CA5:CA68" si="39">EXP(-1.0587+0.8836*LN(BZ5)+0.284)</f>
        <v>#N/A</v>
      </c>
      <c r="CB5" s="20" t="e">
        <f t="shared" si="10"/>
        <v>#N/A</v>
      </c>
      <c r="CC5" s="59" t="e">
        <f t="shared" si="11"/>
        <v>#N/A</v>
      </c>
      <c r="CD5" s="59" t="e">
        <f ca="1">AVERAGE(OFFSET($CC$3,0,0,'Données projet'!$E$12+1,1))-AVERAGE(OFFSET($H$3,0,0,'Données projet'!$E$12+1,1))</f>
        <v>#N/A</v>
      </c>
      <c r="CE5" s="59" t="e">
        <f t="shared" ref="CE5:CE68" si="40">$CE$3</f>
        <v>#N/A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 t="e">
        <f>EXP(-LN(2)/35)*CK4+(1-EXP(-LN(2)/35))/(LN(2)/35)*CG5*CH5*VLOOKUP('Données projet'!$B$12,Paramètres!$A$1:$I$89,3,0)*0.475*44/12</f>
        <v>#N/A</v>
      </c>
      <c r="CL5" s="21" t="e">
        <f>EXP(-LN(2)/25)*CL4+(1-EXP(-LN(2)/25))/(LN(2)/25)*Calculateur!CG5*Calculateur!CI5*VLOOKUP('Données projet'!$B$12,Paramètres!$A$1:$I$89,3,0)*0.475*44/12</f>
        <v>#N/A</v>
      </c>
      <c r="CM5" s="21" t="e">
        <f>EXP(-LN(2)/2)*CM4+(1-EXP(-LN(2)/2))/(LN(2)/2)*CG5*CJ5*VLOOKUP('Données projet'!$B$12,Paramètres!$A$1:$I$89,3,0)*0.475*44/12</f>
        <v>#N/A</v>
      </c>
      <c r="CN5" s="22" t="e">
        <f t="shared" si="12"/>
        <v>#N/A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25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2.6676000000000002</v>
      </c>
      <c r="D6" s="11">
        <f t="shared" si="32"/>
        <v>1.0966608080083624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10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29.057451851292623</v>
      </c>
      <c r="H6" s="67">
        <f t="shared" si="1"/>
        <v>299.88942090728119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3.4666666666666668</v>
      </c>
      <c r="N6" s="13">
        <f>IF('Données projet'!$A$36&gt;35,N5+M6-V5,IF(A6&lt;'Données projet'!$A$36,$K$205^A6,IF(A6='Données projet'!$A$36,'Données projet'!$B$36,N5+M6-V5)))</f>
        <v>2.2039445754429603</v>
      </c>
      <c r="O6" s="13">
        <f>N6*VLOOKUP('Données projet'!$B$9,Paramètres!$A$1:$I$89,3,0)*VLOOKUP('Données projet'!$B$9,Paramètres!$A$1:$I$89,5,0)</f>
        <v>1.2320050176726147</v>
      </c>
      <c r="P6" s="13">
        <f t="shared" si="33"/>
        <v>0.55413712762150624</v>
      </c>
      <c r="Q6" s="20">
        <f t="shared" si="2"/>
        <v>3.1108642363872612</v>
      </c>
      <c r="R6" s="59">
        <f t="shared" si="0"/>
        <v>296.44419756972059</v>
      </c>
      <c r="S6" s="59">
        <f ca="1">AVERAGE(OFFSET($R$3,0,0,'Données projet'!$E$9+1,1))-AVERAGE(OFFSET($H$3,0,0,'Données projet'!$E$9+1,1))</f>
        <v>279.98352834501759</v>
      </c>
      <c r="T6" s="59">
        <f t="shared" si="34"/>
        <v>281.30062655265488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2.1</v>
      </c>
      <c r="AI6" s="13">
        <f>IF('Données projet'!$A$62&gt;35,AI5+AH6-AQ5,IF(A6&lt;'Données projet'!$A$62,$AF$205^A6,IF(A6='Données projet'!$A$62,'Données projet'!$B$62,AI5+AH6-AQ5)))</f>
        <v>1.7518115829322798</v>
      </c>
      <c r="AJ6" s="13">
        <f>AI6*VLOOKUP('Données projet'!$B$10,Paramètres!$A$1:$I$89,3,0)*VLOOKUP('Données projet'!$B$10,Paramètres!$A$1:$I$89,5,0)</f>
        <v>1.7763369450933317</v>
      </c>
      <c r="AK6" s="13">
        <f t="shared" si="35"/>
        <v>0.76565418883323866</v>
      </c>
      <c r="AL6" s="20">
        <f t="shared" si="4"/>
        <v>4.4273012249221102</v>
      </c>
      <c r="AM6" s="59">
        <f t="shared" si="5"/>
        <v>297.76063455825545</v>
      </c>
      <c r="AN6" s="59">
        <f ca="1">AVERAGE(OFFSET($AM$3,0,0,'Données projet'!$E$10+1,1))-AVERAGE(OFFSET($H$3,0,0,'Données projet'!$E$10+1,1))</f>
        <v>279.20364724206644</v>
      </c>
      <c r="AO6" s="59">
        <f t="shared" si="36"/>
        <v>173.99850582760712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7.9</v>
      </c>
      <c r="BD6" s="12">
        <f>IF('Données projet'!$A$88&gt;35,BD5+BC6-BL5,IF(A6&lt;'Données projet'!$A$88,$BA$205^A6,IF(A6='Données projet'!$A$88,'Données projet'!$B$88,BD5+BC6-BL5)))</f>
        <v>2.1369706776057753</v>
      </c>
      <c r="BE6" s="13">
        <f>BD6*VLOOKUP('Données projet'!$B$11,Paramètres!$A$1:$I$89,3,0)*VLOOKUP('Données projet'!$B$11,Paramètres!$A$1:$I$89,5,0)</f>
        <v>1.0001022771195029</v>
      </c>
      <c r="BF6" s="13">
        <f t="shared" si="37"/>
        <v>0.46088365986243646</v>
      </c>
      <c r="BG6" s="20">
        <f t="shared" si="7"/>
        <v>2.5445505069102112</v>
      </c>
      <c r="BH6" s="59">
        <f t="shared" si="8"/>
        <v>295.8778838402435</v>
      </c>
      <c r="BI6" s="59">
        <f ca="1">AVERAGE(OFFSET($BH$3,0,0,'Données projet'!$E$11+1,1))-AVERAGE(OFFSET($H$3,0,0,'Données projet'!$E$11+1,1))</f>
        <v>215.23235148064941</v>
      </c>
      <c r="BJ6" s="59">
        <f t="shared" si="38"/>
        <v>184.07239726900434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</v>
      </c>
      <c r="BY6" s="12">
        <f>IF('Données projet'!$A$114&gt;35,BY5+BX6-CG5,IF(A6&lt;'Données projet'!$A$114,$BV$205^A6,IF(A6='Données projet'!$A$114,'Données projet'!$B$114,BY5+BX6-CG5)))</f>
        <v>0</v>
      </c>
      <c r="BZ6" s="13" t="e">
        <f>BY6*VLOOKUP('Données projet'!$B$12,Paramètres!$A$1:$I$89,3,0)*VLOOKUP('Données projet'!$B$12,Paramètres!$A$1:$I$89,5,0)</f>
        <v>#N/A</v>
      </c>
      <c r="CA6" s="13" t="e">
        <f t="shared" si="39"/>
        <v>#N/A</v>
      </c>
      <c r="CB6" s="20" t="e">
        <f t="shared" si="10"/>
        <v>#N/A</v>
      </c>
      <c r="CC6" s="59" t="e">
        <f t="shared" si="11"/>
        <v>#N/A</v>
      </c>
      <c r="CD6" s="59" t="e">
        <f ca="1">AVERAGE(OFFSET($CC$3,0,0,'Données projet'!$E$12+1,1))-AVERAGE(OFFSET($H$3,0,0,'Données projet'!$E$12+1,1))</f>
        <v>#N/A</v>
      </c>
      <c r="CE6" s="59" t="e">
        <f t="shared" si="40"/>
        <v>#N/A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 t="e">
        <f>EXP(-LN(2)/35)*CK5+(1-EXP(-LN(2)/35))/(LN(2)/35)*CG6*CH6*VLOOKUP('Données projet'!$B$12,Paramètres!$A$1:$I$89,3,0)*0.475*44/12</f>
        <v>#N/A</v>
      </c>
      <c r="CL6" s="21" t="e">
        <f>EXP(-LN(2)/25)*CL5+(1-EXP(-LN(2)/25))/(LN(2)/25)*Calculateur!CG6*Calculateur!CI6*VLOOKUP('Données projet'!$B$12,Paramètres!$A$1:$I$89,3,0)*0.475*44/12</f>
        <v>#N/A</v>
      </c>
      <c r="CM6" s="21" t="e">
        <f>EXP(-LN(2)/2)*CM5+(1-EXP(-LN(2)/2))/(LN(2)/2)*CG6*CJ6*VLOOKUP('Données projet'!$B$12,Paramètres!$A$1:$I$89,3,0)*0.475*44/12</f>
        <v>#N/A</v>
      </c>
      <c r="CN6" s="22" t="e">
        <f t="shared" si="12"/>
        <v>#N/A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25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3.5568</v>
      </c>
      <c r="D7" s="11">
        <f t="shared" si="32"/>
        <v>1.4140611505968179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10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38.37155975899298</v>
      </c>
      <c r="H7" s="67">
        <f t="shared" si="1"/>
        <v>301.9909165039561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3.4666666666666668</v>
      </c>
      <c r="N7" s="13">
        <f>IF('Données projet'!$A$36&gt;35,N6+M7-V6,IF(A7&lt;'Données projet'!$A$36,$K$205^A7,IF(A7='Données projet'!$A$36,'Données projet'!$B$36,N6+M7-V6)))</f>
        <v>2.8681436011552317</v>
      </c>
      <c r="O7" s="13">
        <f>N7*VLOOKUP('Données projet'!$B$9,Paramètres!$A$1:$I$89,3,0)*VLOOKUP('Données projet'!$B$9,Paramètres!$A$1:$I$89,5,0)</f>
        <v>1.6032922730457746</v>
      </c>
      <c r="P7" s="13">
        <f t="shared" si="33"/>
        <v>0.69936080037273529</v>
      </c>
      <c r="Q7" s="20">
        <f t="shared" si="2"/>
        <v>4.0104541028705709</v>
      </c>
      <c r="R7" s="59">
        <f t="shared" si="0"/>
        <v>297.34378743620391</v>
      </c>
      <c r="S7" s="59">
        <f ca="1">AVERAGE(OFFSET($R$3,0,0,'Données projet'!$E$9+1,1))-AVERAGE(OFFSET($H$3,0,0,'Données projet'!$E$9+1,1))</f>
        <v>279.98352834501759</v>
      </c>
      <c r="T7" s="59">
        <f t="shared" si="34"/>
        <v>281.30062655265488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2.1</v>
      </c>
      <c r="AI7" s="13">
        <f>IF('Données projet'!$A$62&gt;35,AI6+AH7-AQ6,IF(A7&lt;'Données projet'!$A$62,$AF$205^A7,IF(A7='Données projet'!$A$62,'Données projet'!$B$62,AI6+AH7-AQ6)))</f>
        <v>2.1117857649667546</v>
      </c>
      <c r="AJ7" s="13">
        <f>AI7*VLOOKUP('Données projet'!$B$10,Paramètres!$A$1:$I$89,3,0)*VLOOKUP('Données projet'!$B$10,Paramètres!$A$1:$I$89,5,0)</f>
        <v>2.1413507656762891</v>
      </c>
      <c r="AK7" s="13">
        <f t="shared" si="35"/>
        <v>0.9031249003236328</v>
      </c>
      <c r="AL7" s="20">
        <f t="shared" si="4"/>
        <v>5.3024617849498643</v>
      </c>
      <c r="AM7" s="59">
        <f t="shared" si="5"/>
        <v>298.63579511828317</v>
      </c>
      <c r="AN7" s="59">
        <f ca="1">AVERAGE(OFFSET($AM$3,0,0,'Données projet'!$E$10+1,1))-AVERAGE(OFFSET($H$3,0,0,'Données projet'!$E$10+1,1))</f>
        <v>279.20364724206644</v>
      </c>
      <c r="AO7" s="59">
        <f t="shared" si="36"/>
        <v>173.99850582760712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7.9</v>
      </c>
      <c r="BD7" s="12">
        <f>IF('Données projet'!$A$88&gt;35,BD6+BC7-BL6,IF(A7&lt;'Données projet'!$A$88,$BA$205^A7,IF(A7='Données projet'!$A$88,'Données projet'!$B$88,BD6+BC7-BL6)))</f>
        <v>2.7525259203889356</v>
      </c>
      <c r="BE7" s="13">
        <f>BD7*VLOOKUP('Données projet'!$B$11,Paramètres!$A$1:$I$89,3,0)*VLOOKUP('Données projet'!$B$11,Paramètres!$A$1:$I$89,5,0)</f>
        <v>1.2881821307420218</v>
      </c>
      <c r="BF7" s="13">
        <f t="shared" si="37"/>
        <v>0.57640532069082717</v>
      </c>
      <c r="BG7" s="20">
        <f t="shared" si="7"/>
        <v>3.2474898112455457</v>
      </c>
      <c r="BH7" s="59">
        <f t="shared" si="8"/>
        <v>296.58082314457886</v>
      </c>
      <c r="BI7" s="59">
        <f ca="1">AVERAGE(OFFSET($BH$3,0,0,'Données projet'!$E$11+1,1))-AVERAGE(OFFSET($H$3,0,0,'Données projet'!$E$11+1,1))</f>
        <v>215.23235148064941</v>
      </c>
      <c r="BJ7" s="59">
        <f t="shared" si="38"/>
        <v>184.07239726900434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</v>
      </c>
      <c r="BY7" s="12">
        <f>IF('Données projet'!$A$114&gt;35,BY6+BX7-CG6,IF(A7&lt;'Données projet'!$A$114,$BV$205^A7,IF(A7='Données projet'!$A$114,'Données projet'!$B$114,BY6+BX7-CG6)))</f>
        <v>0</v>
      </c>
      <c r="BZ7" s="13" t="e">
        <f>BY7*VLOOKUP('Données projet'!$B$12,Paramètres!$A$1:$I$89,3,0)*VLOOKUP('Données projet'!$B$12,Paramètres!$A$1:$I$89,5,0)</f>
        <v>#N/A</v>
      </c>
      <c r="CA7" s="13" t="e">
        <f t="shared" si="39"/>
        <v>#N/A</v>
      </c>
      <c r="CB7" s="20" t="e">
        <f t="shared" si="10"/>
        <v>#N/A</v>
      </c>
      <c r="CC7" s="59" t="e">
        <f t="shared" si="11"/>
        <v>#N/A</v>
      </c>
      <c r="CD7" s="59" t="e">
        <f ca="1">AVERAGE(OFFSET($CC$3,0,0,'Données projet'!$E$12+1,1))-AVERAGE(OFFSET($H$3,0,0,'Données projet'!$E$12+1,1))</f>
        <v>#N/A</v>
      </c>
      <c r="CE7" s="59" t="e">
        <f t="shared" si="40"/>
        <v>#N/A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 t="e">
        <f>EXP(-LN(2)/35)*CK6+(1-EXP(-LN(2)/35))/(LN(2)/35)*CG7*CH7*VLOOKUP('Données projet'!$B$12,Paramètres!$A$1:$I$89,3,0)*0.475*44/12</f>
        <v>#N/A</v>
      </c>
      <c r="CL7" s="21" t="e">
        <f>EXP(-LN(2)/25)*CL6+(1-EXP(-LN(2)/25))/(LN(2)/25)*Calculateur!CG7*Calculateur!CI7*VLOOKUP('Données projet'!$B$12,Paramètres!$A$1:$I$89,3,0)*0.475*44/12</f>
        <v>#N/A</v>
      </c>
      <c r="CM7" s="21" t="e">
        <f>EXP(-LN(2)/2)*CM6+(1-EXP(-LN(2)/2))/(LN(2)/2)*CG7*CJ7*VLOOKUP('Données projet'!$B$12,Paramètres!$A$1:$I$89,3,0)*0.475*44/12</f>
        <v>#N/A</v>
      </c>
      <c r="CN7" s="22" t="e">
        <f t="shared" si="12"/>
        <v>#N/A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25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4.4459999999999997</v>
      </c>
      <c r="D8" s="11">
        <f t="shared" si="32"/>
        <v>1.7222566815192897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10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47.614612980148905</v>
      </c>
      <c r="H8" s="67">
        <f t="shared" si="1"/>
        <v>304.07638038697939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3.4666666666666668</v>
      </c>
      <c r="N8" s="13">
        <f>IF('Données projet'!$A$36&gt;35,N7+M8-V7,IF(A8&lt;'Données projet'!$A$36,$K$205^A8,IF(A8='Données projet'!$A$36,'Données projet'!$B$36,N7+M8-V7)))</f>
        <v>3.7325111568172478</v>
      </c>
      <c r="O8" s="13">
        <f>N8*VLOOKUP('Données projet'!$B$9,Paramètres!$A$1:$I$89,3,0)*VLOOKUP('Données projet'!$B$9,Paramètres!$A$1:$I$89,5,0)</f>
        <v>2.0864737366608415</v>
      </c>
      <c r="P8" s="13">
        <f t="shared" si="33"/>
        <v>0.88264349150787802</v>
      </c>
      <c r="Q8" s="20">
        <f t="shared" si="2"/>
        <v>5.171212505727186</v>
      </c>
      <c r="R8" s="59">
        <f t="shared" si="0"/>
        <v>298.50454583906048</v>
      </c>
      <c r="S8" s="59">
        <f ca="1">AVERAGE(OFFSET($R$3,0,0,'Données projet'!$E$9+1,1))-AVERAGE(OFFSET($H$3,0,0,'Données projet'!$E$9+1,1))</f>
        <v>279.98352834501759</v>
      </c>
      <c r="T8" s="59">
        <f t="shared" si="34"/>
        <v>281.30062655265488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2.1</v>
      </c>
      <c r="AI8" s="13">
        <f>IF('Données projet'!$A$62&gt;35,AI7+AH8-AQ7,IF(A8&lt;'Données projet'!$A$62,$AF$205^A8,IF(A8='Données projet'!$A$62,'Données projet'!$B$62,AI7+AH8-AQ7)))</f>
        <v>2.5457298950218314</v>
      </c>
      <c r="AJ8" s="13">
        <f>AI8*VLOOKUP('Données projet'!$B$10,Paramètres!$A$1:$I$89,3,0)*VLOOKUP('Données projet'!$B$10,Paramètres!$A$1:$I$89,5,0)</f>
        <v>2.5813701135521372</v>
      </c>
      <c r="AK8" s="13">
        <f t="shared" si="35"/>
        <v>1.0652780295337991</v>
      </c>
      <c r="AL8" s="20">
        <f t="shared" si="4"/>
        <v>6.3512455158746723</v>
      </c>
      <c r="AM8" s="59">
        <f t="shared" si="5"/>
        <v>299.68457884920798</v>
      </c>
      <c r="AN8" s="59">
        <f ca="1">AVERAGE(OFFSET($AM$3,0,0,'Données projet'!$E$10+1,1))-AVERAGE(OFFSET($H$3,0,0,'Données projet'!$E$10+1,1))</f>
        <v>279.20364724206644</v>
      </c>
      <c r="AO8" s="59">
        <f t="shared" si="36"/>
        <v>173.99850582760712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7.9</v>
      </c>
      <c r="BD8" s="12">
        <f>IF('Données projet'!$A$88&gt;35,BD7+BC8-BL7,IF(A8&lt;'Données projet'!$A$88,$BA$205^A8,IF(A8='Données projet'!$A$88,'Données projet'!$B$88,BD7+BC8-BL7)))</f>
        <v>3.5453920925585285</v>
      </c>
      <c r="BE8" s="13">
        <f>BD8*VLOOKUP('Données projet'!$B$11,Paramètres!$A$1:$I$89,3,0)*VLOOKUP('Données projet'!$B$11,Paramètres!$A$1:$I$89,5,0)</f>
        <v>1.6592434993173915</v>
      </c>
      <c r="BF8" s="13">
        <f t="shared" si="37"/>
        <v>0.72088277944126433</v>
      </c>
      <c r="BG8" s="20">
        <f t="shared" si="7"/>
        <v>4.1453866021713255</v>
      </c>
      <c r="BH8" s="59">
        <f t="shared" si="8"/>
        <v>297.47871993550461</v>
      </c>
      <c r="BI8" s="59">
        <f ca="1">AVERAGE(OFFSET($BH$3,0,0,'Données projet'!$E$11+1,1))-AVERAGE(OFFSET($H$3,0,0,'Données projet'!$E$11+1,1))</f>
        <v>215.23235148064941</v>
      </c>
      <c r="BJ8" s="59">
        <f t="shared" si="38"/>
        <v>184.07239726900434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</v>
      </c>
      <c r="BY8" s="12">
        <f>IF('Données projet'!$A$114&gt;35,BY7+BX8-CG7,IF(A8&lt;'Données projet'!$A$114,$BV$205^A8,IF(A8='Données projet'!$A$114,'Données projet'!$B$114,BY7+BX8-CG7)))</f>
        <v>0</v>
      </c>
      <c r="BZ8" s="13" t="e">
        <f>BY8*VLOOKUP('Données projet'!$B$12,Paramètres!$A$1:$I$89,3,0)*VLOOKUP('Données projet'!$B$12,Paramètres!$A$1:$I$89,5,0)</f>
        <v>#N/A</v>
      </c>
      <c r="CA8" s="13" t="e">
        <f t="shared" si="39"/>
        <v>#N/A</v>
      </c>
      <c r="CB8" s="20" t="e">
        <f t="shared" si="10"/>
        <v>#N/A</v>
      </c>
      <c r="CC8" s="59" t="e">
        <f t="shared" si="11"/>
        <v>#N/A</v>
      </c>
      <c r="CD8" s="59" t="e">
        <f ca="1">AVERAGE(OFFSET($CC$3,0,0,'Données projet'!$E$12+1,1))-AVERAGE(OFFSET($H$3,0,0,'Données projet'!$E$12+1,1))</f>
        <v>#N/A</v>
      </c>
      <c r="CE8" s="59" t="e">
        <f t="shared" si="40"/>
        <v>#N/A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 t="e">
        <f>EXP(-LN(2)/35)*CK7+(1-EXP(-LN(2)/35))/(LN(2)/35)*CG8*CH8*VLOOKUP('Données projet'!$B$12,Paramètres!$A$1:$I$89,3,0)*0.475*44/12</f>
        <v>#N/A</v>
      </c>
      <c r="CL8" s="21" t="e">
        <f>EXP(-LN(2)/25)*CL7+(1-EXP(-LN(2)/25))/(LN(2)/25)*Calculateur!CG8*Calculateur!CI8*VLOOKUP('Données projet'!$B$12,Paramètres!$A$1:$I$89,3,0)*0.475*44/12</f>
        <v>#N/A</v>
      </c>
      <c r="CM8" s="21" t="e">
        <f>EXP(-LN(2)/2)*CM7+(1-EXP(-LN(2)/2))/(LN(2)/2)*CG8*CJ8*VLOOKUP('Données projet'!$B$12,Paramètres!$A$1:$I$89,3,0)*0.475*44/12</f>
        <v>#N/A</v>
      </c>
      <c r="CN8" s="22" t="e">
        <f t="shared" si="12"/>
        <v>#N/A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25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5.3351999999999995</v>
      </c>
      <c r="D9" s="11">
        <f t="shared" si="32"/>
        <v>2.0233099967312578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10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56.802533308100926</v>
      </c>
      <c r="H9" s="67">
        <f t="shared" si="1"/>
        <v>306.1494049109736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3.4666666666666668</v>
      </c>
      <c r="N9" s="13">
        <f>IF('Données projet'!$A$36&gt;35,N8+M9-V8,IF(A9&lt;'Données projet'!$A$36,$K$205^A9,IF(A9='Données projet'!$A$36,'Données projet'!$B$36,N8+M9-V8)))</f>
        <v>4.8573716916244498</v>
      </c>
      <c r="O9" s="13">
        <f>N9*VLOOKUP('Données projet'!$B$9,Paramètres!$A$1:$I$89,3,0)*VLOOKUP('Données projet'!$B$9,Paramètres!$A$1:$I$89,5,0)</f>
        <v>2.7152707756180678</v>
      </c>
      <c r="P9" s="13">
        <f t="shared" si="33"/>
        <v>1.1139593936148635</v>
      </c>
      <c r="Q9" s="20">
        <f t="shared" si="2"/>
        <v>6.6692425447473553</v>
      </c>
      <c r="R9" s="59">
        <f t="shared" si="0"/>
        <v>300.00257587808068</v>
      </c>
      <c r="S9" s="59">
        <f ca="1">AVERAGE(OFFSET($R$3,0,0,'Données projet'!$E$9+1,1))-AVERAGE(OFFSET($H$3,0,0,'Données projet'!$E$9+1,1))</f>
        <v>279.98352834501759</v>
      </c>
      <c r="T9" s="59">
        <f t="shared" si="34"/>
        <v>281.30062655265488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2.1</v>
      </c>
      <c r="AI9" s="13">
        <f>IF('Données projet'!$A$62&gt;35,AI8+AH9-AQ8,IF(A9&lt;'Données projet'!$A$62,$AF$205^A9,IF(A9='Données projet'!$A$62,'Données projet'!$B$62,AI8+AH9-AQ8)))</f>
        <v>3.0688438220956993</v>
      </c>
      <c r="AJ9" s="13">
        <f>AI9*VLOOKUP('Données projet'!$B$10,Paramètres!$A$1:$I$89,3,0)*VLOOKUP('Données projet'!$B$10,Paramètres!$A$1:$I$89,5,0)</f>
        <v>3.111807635605039</v>
      </c>
      <c r="AK9" s="13">
        <f t="shared" si="35"/>
        <v>1.2565452240335246</v>
      </c>
      <c r="AL9" s="20">
        <f t="shared" si="4"/>
        <v>7.6082145638704972</v>
      </c>
      <c r="AM9" s="59">
        <f t="shared" si="5"/>
        <v>300.9415478972038</v>
      </c>
      <c r="AN9" s="59">
        <f ca="1">AVERAGE(OFFSET($AM$3,0,0,'Données projet'!$E$10+1,1))-AVERAGE(OFFSET($H$3,0,0,'Données projet'!$E$10+1,1))</f>
        <v>279.20364724206644</v>
      </c>
      <c r="AO9" s="59">
        <f t="shared" si="36"/>
        <v>173.99850582760712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7.9</v>
      </c>
      <c r="BD9" s="12">
        <f>IF('Données projet'!$A$88&gt;35,BD8+BC9-BL8,IF(A9&lt;'Données projet'!$A$88,$BA$205^A9,IF(A9='Données projet'!$A$88,'Données projet'!$B$88,BD8+BC9-BL8)))</f>
        <v>4.566643676946887</v>
      </c>
      <c r="BE9" s="13">
        <f>BD9*VLOOKUP('Données projet'!$B$11,Paramètres!$A$1:$I$89,3,0)*VLOOKUP('Données projet'!$B$11,Paramètres!$A$1:$I$89,5,0)</f>
        <v>2.1371892408111433</v>
      </c>
      <c r="BF9" s="13">
        <f t="shared" si="37"/>
        <v>0.9015738804633705</v>
      </c>
      <c r="BG9" s="20">
        <f t="shared" si="7"/>
        <v>5.292512436219778</v>
      </c>
      <c r="BH9" s="59">
        <f t="shared" si="8"/>
        <v>298.62584576955311</v>
      </c>
      <c r="BI9" s="59">
        <f ca="1">AVERAGE(OFFSET($BH$3,0,0,'Données projet'!$E$11+1,1))-AVERAGE(OFFSET($H$3,0,0,'Données projet'!$E$11+1,1))</f>
        <v>215.23235148064941</v>
      </c>
      <c r="BJ9" s="59">
        <f t="shared" si="38"/>
        <v>184.07239726900434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</v>
      </c>
      <c r="BY9" s="12">
        <f>IF('Données projet'!$A$114&gt;35,BY8+BX9-CG8,IF(A9&lt;'Données projet'!$A$114,$BV$205^A9,IF(A9='Données projet'!$A$114,'Données projet'!$B$114,BY8+BX9-CG8)))</f>
        <v>0</v>
      </c>
      <c r="BZ9" s="13" t="e">
        <f>BY9*VLOOKUP('Données projet'!$B$12,Paramètres!$A$1:$I$89,3,0)*VLOOKUP('Données projet'!$B$12,Paramètres!$A$1:$I$89,5,0)</f>
        <v>#N/A</v>
      </c>
      <c r="CA9" s="13" t="e">
        <f t="shared" si="39"/>
        <v>#N/A</v>
      </c>
      <c r="CB9" s="20" t="e">
        <f t="shared" si="10"/>
        <v>#N/A</v>
      </c>
      <c r="CC9" s="59" t="e">
        <f t="shared" si="11"/>
        <v>#N/A</v>
      </c>
      <c r="CD9" s="59" t="e">
        <f ca="1">AVERAGE(OFFSET($CC$3,0,0,'Données projet'!$E$12+1,1))-AVERAGE(OFFSET($H$3,0,0,'Données projet'!$E$12+1,1))</f>
        <v>#N/A</v>
      </c>
      <c r="CE9" s="59" t="e">
        <f t="shared" si="40"/>
        <v>#N/A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 t="e">
        <f>EXP(-LN(2)/35)*CK8+(1-EXP(-LN(2)/35))/(LN(2)/35)*CG9*CH9*VLOOKUP('Données projet'!$B$12,Paramètres!$A$1:$I$89,3,0)*0.475*44/12</f>
        <v>#N/A</v>
      </c>
      <c r="CL9" s="21" t="e">
        <f>EXP(-LN(2)/25)*CL8+(1-EXP(-LN(2)/25))/(LN(2)/25)*Calculateur!CG9*Calculateur!CI9*VLOOKUP('Données projet'!$B$12,Paramètres!$A$1:$I$89,3,0)*0.475*44/12</f>
        <v>#N/A</v>
      </c>
      <c r="CM9" s="21" t="e">
        <f>EXP(-LN(2)/2)*CM8+(1-EXP(-LN(2)/2))/(LN(2)/2)*CG9*CJ9*VLOOKUP('Données projet'!$B$12,Paramètres!$A$1:$I$89,3,0)*0.475*44/12</f>
        <v>#N/A</v>
      </c>
      <c r="CN9" s="22" t="e">
        <f t="shared" si="12"/>
        <v>#N/A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25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6.2243999999999993</v>
      </c>
      <c r="D10" s="11">
        <f t="shared" si="32"/>
        <v>2.3185507720937846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10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65.945584907390625</v>
      </c>
      <c r="H10" s="67">
        <f t="shared" si="1"/>
        <v>308.2123059280633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3.4666666666666668</v>
      </c>
      <c r="N10" s="13">
        <f>IF('Données projet'!$A$36&gt;35,N9+M10-V9,IF(A10&lt;'Données projet'!$A$36,$K$205^A10,IF(A10='Données projet'!$A$36,'Données projet'!$B$36,N9+M10-V9)))</f>
        <v>6.3212295313575106</v>
      </c>
      <c r="O10" s="13">
        <f>N10*VLOOKUP('Données projet'!$B$9,Paramètres!$A$1:$I$89,3,0)*VLOOKUP('Données projet'!$B$9,Paramètres!$A$1:$I$89,5,0)</f>
        <v>3.5335673080288488</v>
      </c>
      <c r="P10" s="13">
        <f t="shared" si="33"/>
        <v>1.405896653135541</v>
      </c>
      <c r="Q10" s="20">
        <f t="shared" si="2"/>
        <v>8.6028997323613137</v>
      </c>
      <c r="R10" s="59">
        <f t="shared" si="0"/>
        <v>301.93623306569464</v>
      </c>
      <c r="S10" s="59">
        <f ca="1">AVERAGE(OFFSET($R$3,0,0,'Données projet'!$E$9+1,1))-AVERAGE(OFFSET($H$3,0,0,'Données projet'!$E$9+1,1))</f>
        <v>279.98352834501759</v>
      </c>
      <c r="T10" s="59">
        <f t="shared" si="34"/>
        <v>281.30062655265488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2.1</v>
      </c>
      <c r="AI10" s="13">
        <f>IF('Données projet'!$A$62&gt;35,AI9+AH10-AQ9,IF(A10&lt;'Données projet'!$A$62,$AF$205^A10,IF(A10='Données projet'!$A$62,'Données projet'!$B$62,AI9+AH10-AQ9)))</f>
        <v>3.6994507637402658</v>
      </c>
      <c r="AJ10" s="13">
        <f>AI10*VLOOKUP('Données projet'!$B$10,Paramètres!$A$1:$I$89,3,0)*VLOOKUP('Données projet'!$B$10,Paramètres!$A$1:$I$89,5,0)</f>
        <v>3.7512430744326299</v>
      </c>
      <c r="AK10" s="13">
        <f t="shared" si="35"/>
        <v>1.4821538192545303</v>
      </c>
      <c r="AL10" s="20">
        <f t="shared" si="4"/>
        <v>9.1148329231718037</v>
      </c>
      <c r="AM10" s="59">
        <f t="shared" si="5"/>
        <v>302.44816625650515</v>
      </c>
      <c r="AN10" s="59">
        <f ca="1">AVERAGE(OFFSET($AM$3,0,0,'Données projet'!$E$10+1,1))-AVERAGE(OFFSET($H$3,0,0,'Données projet'!$E$10+1,1))</f>
        <v>279.20364724206644</v>
      </c>
      <c r="AO10" s="59">
        <f t="shared" si="36"/>
        <v>173.99850582760712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7.9</v>
      </c>
      <c r="BD10" s="12">
        <f>IF('Données projet'!$A$88&gt;35,BD9+BC10-BL9,IF(A10&lt;'Données projet'!$A$88,$BA$205^A10,IF(A10='Données projet'!$A$88,'Données projet'!$B$88,BD9+BC10-BL9)))</f>
        <v>5.8820671812210037</v>
      </c>
      <c r="BE10" s="13">
        <f>BD10*VLOOKUP('Données projet'!$B$11,Paramètres!$A$1:$I$89,3,0)*VLOOKUP('Données projet'!$B$11,Paramètres!$A$1:$I$89,5,0)</f>
        <v>2.7528074408114294</v>
      </c>
      <c r="BF10" s="13">
        <f t="shared" si="37"/>
        <v>1.1275556652411438</v>
      </c>
      <c r="BG10" s="20">
        <f t="shared" si="7"/>
        <v>6.7582990763748976</v>
      </c>
      <c r="BH10" s="59">
        <f t="shared" si="8"/>
        <v>300.09163240970821</v>
      </c>
      <c r="BI10" s="59">
        <f ca="1">AVERAGE(OFFSET($BH$3,0,0,'Données projet'!$E$11+1,1))-AVERAGE(OFFSET($H$3,0,0,'Données projet'!$E$11+1,1))</f>
        <v>215.23235148064941</v>
      </c>
      <c r="BJ10" s="59">
        <f t="shared" si="38"/>
        <v>184.07239726900434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</v>
      </c>
      <c r="BY10" s="12">
        <f>IF('Données projet'!$A$114&gt;35,BY9+BX10-CG9,IF(A10&lt;'Données projet'!$A$114,$BV$205^A10,IF(A10='Données projet'!$A$114,'Données projet'!$B$114,BY9+BX10-CG9)))</f>
        <v>0</v>
      </c>
      <c r="BZ10" s="13" t="e">
        <f>BY10*VLOOKUP('Données projet'!$B$12,Paramètres!$A$1:$I$89,3,0)*VLOOKUP('Données projet'!$B$12,Paramètres!$A$1:$I$89,5,0)</f>
        <v>#N/A</v>
      </c>
      <c r="CA10" s="13" t="e">
        <f t="shared" si="39"/>
        <v>#N/A</v>
      </c>
      <c r="CB10" s="20" t="e">
        <f t="shared" si="10"/>
        <v>#N/A</v>
      </c>
      <c r="CC10" s="59" t="e">
        <f t="shared" si="11"/>
        <v>#N/A</v>
      </c>
      <c r="CD10" s="59" t="e">
        <f ca="1">AVERAGE(OFFSET($CC$3,0,0,'Données projet'!$E$12+1,1))-AVERAGE(OFFSET($H$3,0,0,'Données projet'!$E$12+1,1))</f>
        <v>#N/A</v>
      </c>
      <c r="CE10" s="59" t="e">
        <f t="shared" si="40"/>
        <v>#N/A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 t="e">
        <f>EXP(-LN(2)/35)*CK9+(1-EXP(-LN(2)/35))/(LN(2)/35)*CG10*CH10*VLOOKUP('Données projet'!$B$12,Paramètres!$A$1:$I$89,3,0)*0.475*44/12</f>
        <v>#N/A</v>
      </c>
      <c r="CL10" s="21" t="e">
        <f>EXP(-LN(2)/25)*CL9+(1-EXP(-LN(2)/25))/(LN(2)/25)*Calculateur!CG10*Calculateur!CI10*VLOOKUP('Données projet'!$B$12,Paramètres!$A$1:$I$89,3,0)*0.475*44/12</f>
        <v>#N/A</v>
      </c>
      <c r="CM10" s="21" t="e">
        <f>EXP(-LN(2)/2)*CM9+(1-EXP(-LN(2)/2))/(LN(2)/2)*CG10*CJ10*VLOOKUP('Données projet'!$B$12,Paramètres!$A$1:$I$89,3,0)*0.475*44/12</f>
        <v>#N/A</v>
      </c>
      <c r="CN10" s="22" t="e">
        <f t="shared" si="12"/>
        <v>#N/A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25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7.113599999999999</v>
      </c>
      <c r="D11" s="11">
        <f t="shared" si="32"/>
        <v>2.6089051793396716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10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75.050917173850095</v>
      </c>
      <c r="H11" s="67">
        <f t="shared" si="1"/>
        <v>310.26669652068324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3.4666666666666668</v>
      </c>
      <c r="N11" s="13">
        <f>IF('Données projet'!$A$36&gt;35,N10+M11-V10,IF(A11&lt;'Données projet'!$A$36,$K$205^A11,IF(A11='Données projet'!$A$36,'Données projet'!$B$36,N10+M11-V10)))</f>
        <v>8.2262477168477002</v>
      </c>
      <c r="O11" s="13">
        <f>N11*VLOOKUP('Données projet'!$B$9,Paramètres!$A$1:$I$89,3,0)*VLOOKUP('Données projet'!$B$9,Paramètres!$A$1:$I$89,5,0)</f>
        <v>4.598472473717865</v>
      </c>
      <c r="P11" s="13">
        <f t="shared" si="33"/>
        <v>1.7743424137604424</v>
      </c>
      <c r="Q11" s="20">
        <f t="shared" si="2"/>
        <v>11.099319262358051</v>
      </c>
      <c r="R11" s="59">
        <f t="shared" si="0"/>
        <v>304.43265259569137</v>
      </c>
      <c r="S11" s="59">
        <f ca="1">AVERAGE(OFFSET($R$3,0,0,'Données projet'!$E$9+1,1))-AVERAGE(OFFSET($H$3,0,0,'Données projet'!$E$9+1,1))</f>
        <v>279.98352834501759</v>
      </c>
      <c r="T11" s="59">
        <f t="shared" si="34"/>
        <v>281.30062655265488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2.1</v>
      </c>
      <c r="AI11" s="13">
        <f>IF('Données projet'!$A$62&gt;35,AI10+AH11-AQ10,IF(A11&lt;'Données projet'!$A$62,$AF$205^A11,IF(A11='Données projet'!$A$62,'Données projet'!$B$62,AI10+AH11-AQ10)))</f>
        <v>4.4596391171162209</v>
      </c>
      <c r="AJ11" s="13">
        <f>AI11*VLOOKUP('Données projet'!$B$10,Paramètres!$A$1:$I$89,3,0)*VLOOKUP('Données projet'!$B$10,Paramètres!$A$1:$I$89,5,0)</f>
        <v>4.5220740647558486</v>
      </c>
      <c r="AK11" s="13">
        <f t="shared" si="35"/>
        <v>1.7482697016499746</v>
      </c>
      <c r="AL11" s="20">
        <f t="shared" si="4"/>
        <v>10.92084872649014</v>
      </c>
      <c r="AM11" s="59">
        <f t="shared" si="5"/>
        <v>304.25418205982345</v>
      </c>
      <c r="AN11" s="59">
        <f ca="1">AVERAGE(OFFSET($AM$3,0,0,'Données projet'!$E$10+1,1))-AVERAGE(OFFSET($H$3,0,0,'Données projet'!$E$10+1,1))</f>
        <v>279.20364724206644</v>
      </c>
      <c r="AO11" s="59">
        <f t="shared" si="36"/>
        <v>173.99850582760712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7.9</v>
      </c>
      <c r="BD11" s="12">
        <f>IF('Données projet'!$A$88&gt;35,BD10+BC11-BL10,IF(A11&lt;'Données projet'!$A$88,$BA$205^A11,IF(A11='Données projet'!$A$88,'Données projet'!$B$88,BD10+BC11-BL10)))</f>
        <v>7.5763989424129567</v>
      </c>
      <c r="BE11" s="13">
        <f>BD11*VLOOKUP('Données projet'!$B$11,Paramètres!$A$1:$I$89,3,0)*VLOOKUP('Données projet'!$B$11,Paramètres!$A$1:$I$89,5,0)</f>
        <v>3.5457547050492639</v>
      </c>
      <c r="BF11" s="13">
        <f t="shared" si="37"/>
        <v>1.4101803587787649</v>
      </c>
      <c r="BG11" s="20">
        <f t="shared" si="7"/>
        <v>8.631586902833817</v>
      </c>
      <c r="BH11" s="59">
        <f t="shared" si="8"/>
        <v>301.96492023616713</v>
      </c>
      <c r="BI11" s="59">
        <f ca="1">AVERAGE(OFFSET($BH$3,0,0,'Données projet'!$E$11+1,1))-AVERAGE(OFFSET($H$3,0,0,'Données projet'!$E$11+1,1))</f>
        <v>215.23235148064941</v>
      </c>
      <c r="BJ11" s="59">
        <f t="shared" si="38"/>
        <v>184.07239726900434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</v>
      </c>
      <c r="BY11" s="12">
        <f>IF('Données projet'!$A$114&gt;35,BY10+BX11-CG10,IF(A11&lt;'Données projet'!$A$114,$BV$205^A11,IF(A11='Données projet'!$A$114,'Données projet'!$B$114,BY10+BX11-CG10)))</f>
        <v>0</v>
      </c>
      <c r="BZ11" s="13" t="e">
        <f>BY11*VLOOKUP('Données projet'!$B$12,Paramètres!$A$1:$I$89,3,0)*VLOOKUP('Données projet'!$B$12,Paramètres!$A$1:$I$89,5,0)</f>
        <v>#N/A</v>
      </c>
      <c r="CA11" s="13" t="e">
        <f t="shared" si="39"/>
        <v>#N/A</v>
      </c>
      <c r="CB11" s="20" t="e">
        <f t="shared" si="10"/>
        <v>#N/A</v>
      </c>
      <c r="CC11" s="59" t="e">
        <f t="shared" si="11"/>
        <v>#N/A</v>
      </c>
      <c r="CD11" s="59" t="e">
        <f ca="1">AVERAGE(OFFSET($CC$3,0,0,'Données projet'!$E$12+1,1))-AVERAGE(OFFSET($H$3,0,0,'Données projet'!$E$12+1,1))</f>
        <v>#N/A</v>
      </c>
      <c r="CE11" s="59" t="e">
        <f t="shared" si="40"/>
        <v>#N/A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 t="e">
        <f>EXP(-LN(2)/35)*CK10+(1-EXP(-LN(2)/35))/(LN(2)/35)*CG11*CH11*VLOOKUP('Données projet'!$B$12,Paramètres!$A$1:$I$89,3,0)*0.475*44/12</f>
        <v>#N/A</v>
      </c>
      <c r="CL11" s="21" t="e">
        <f>EXP(-LN(2)/25)*CL10+(1-EXP(-LN(2)/25))/(LN(2)/25)*Calculateur!CG11*Calculateur!CI11*VLOOKUP('Données projet'!$B$12,Paramètres!$A$1:$I$89,3,0)*0.475*44/12</f>
        <v>#N/A</v>
      </c>
      <c r="CM11" s="21" t="e">
        <f>EXP(-LN(2)/2)*CM10+(1-EXP(-LN(2)/2))/(LN(2)/2)*CG11*CJ11*VLOOKUP('Données projet'!$B$12,Paramètres!$A$1:$I$89,3,0)*0.475*44/12</f>
        <v>#N/A</v>
      </c>
      <c r="CN11" s="22" t="e">
        <f t="shared" si="12"/>
        <v>#N/A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25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8.0027999999999988</v>
      </c>
      <c r="D12" s="11">
        <f t="shared" si="32"/>
        <v>2.8950539664743791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10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84.123785004363612</v>
      </c>
      <c r="H12" s="67">
        <f t="shared" si="1"/>
        <v>312.31376232494284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3.4666666666666668</v>
      </c>
      <c r="N12" s="13">
        <f>IF('Données projet'!$A$36&gt;35,N11+M12-V11,IF(A12&lt;'Données projet'!$A$36,$K$205^A12,IF(A12='Données projet'!$A$36,'Données projet'!$B$36,N11+M12-V11)))</f>
        <v>10.7053779906659</v>
      </c>
      <c r="O12" s="13">
        <f>N12*VLOOKUP('Données projet'!$B$9,Paramètres!$A$1:$I$89,3,0)*VLOOKUP('Données projet'!$B$9,Paramètres!$A$1:$I$89,5,0)</f>
        <v>5.984306296782238</v>
      </c>
      <c r="P12" s="13">
        <f t="shared" si="33"/>
        <v>2.2393473903274947</v>
      </c>
      <c r="Q12" s="20">
        <f t="shared" si="2"/>
        <v>14.322863505049453</v>
      </c>
      <c r="R12" s="59">
        <f t="shared" si="0"/>
        <v>307.65619683838275</v>
      </c>
      <c r="S12" s="59">
        <f ca="1">AVERAGE(OFFSET($R$3,0,0,'Données projet'!$E$9+1,1))-AVERAGE(OFFSET($H$3,0,0,'Données projet'!$E$9+1,1))</f>
        <v>279.98352834501759</v>
      </c>
      <c r="T12" s="59">
        <f t="shared" si="34"/>
        <v>281.30062655265488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2.1</v>
      </c>
      <c r="AI12" s="13">
        <f>IF('Données projet'!$A$62&gt;35,AI11+AH12-AQ11,IF(A12&lt;'Données projet'!$A$62,$AF$205^A12,IF(A12='Données projet'!$A$62,'Données projet'!$B$62,AI11+AH12-AQ11)))</f>
        <v>5.3760361537574148</v>
      </c>
      <c r="AJ12" s="13">
        <f>AI12*VLOOKUP('Données projet'!$B$10,Paramètres!$A$1:$I$89,3,0)*VLOOKUP('Données projet'!$B$10,Paramètres!$A$1:$I$89,5,0)</f>
        <v>5.4513006599100189</v>
      </c>
      <c r="AK12" s="13">
        <f t="shared" si="35"/>
        <v>2.062165822468125</v>
      </c>
      <c r="AL12" s="20">
        <f t="shared" si="4"/>
        <v>13.085954123475267</v>
      </c>
      <c r="AM12" s="59">
        <f t="shared" si="5"/>
        <v>306.4192874568086</v>
      </c>
      <c r="AN12" s="59">
        <f ca="1">AVERAGE(OFFSET($AM$3,0,0,'Données projet'!$E$10+1,1))-AVERAGE(OFFSET($H$3,0,0,'Données projet'!$E$10+1,1))</f>
        <v>279.20364724206644</v>
      </c>
      <c r="AO12" s="59">
        <f t="shared" si="36"/>
        <v>173.99850582760712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7.9</v>
      </c>
      <c r="BD12" s="12">
        <f>IF('Données projet'!$A$88&gt;35,BD11+BC12-BL11,IF(A12&lt;'Données projet'!$A$88,$BA$205^A12,IF(A12='Données projet'!$A$88,'Données projet'!$B$88,BD11+BC12-BL11)))</f>
        <v>9.7587836327093171</v>
      </c>
      <c r="BE12" s="13">
        <f>BD12*VLOOKUP('Données projet'!$B$11,Paramètres!$A$1:$I$89,3,0)*VLOOKUP('Données projet'!$B$11,Paramètres!$A$1:$I$89,5,0)</f>
        <v>4.5671107401079603</v>
      </c>
      <c r="BF12" s="13">
        <f t="shared" si="37"/>
        <v>1.763645650133036</v>
      </c>
      <c r="BG12" s="20">
        <f t="shared" si="7"/>
        <v>11.026067379669733</v>
      </c>
      <c r="BH12" s="59">
        <f t="shared" si="8"/>
        <v>304.35940071300303</v>
      </c>
      <c r="BI12" s="59">
        <f ca="1">AVERAGE(OFFSET($BH$3,0,0,'Données projet'!$E$11+1,1))-AVERAGE(OFFSET($H$3,0,0,'Données projet'!$E$11+1,1))</f>
        <v>215.23235148064941</v>
      </c>
      <c r="BJ12" s="59">
        <f t="shared" si="38"/>
        <v>184.07239726900434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</v>
      </c>
      <c r="BY12" s="12">
        <f>IF('Données projet'!$A$114&gt;35,BY11+BX12-CG11,IF(A12&lt;'Données projet'!$A$114,$BV$205^A12,IF(A12='Données projet'!$A$114,'Données projet'!$B$114,BY11+BX12-CG11)))</f>
        <v>0</v>
      </c>
      <c r="BZ12" s="13" t="e">
        <f>BY12*VLOOKUP('Données projet'!$B$12,Paramètres!$A$1:$I$89,3,0)*VLOOKUP('Données projet'!$B$12,Paramètres!$A$1:$I$89,5,0)</f>
        <v>#N/A</v>
      </c>
      <c r="CA12" s="13" t="e">
        <f t="shared" si="39"/>
        <v>#N/A</v>
      </c>
      <c r="CB12" s="20" t="e">
        <f t="shared" si="10"/>
        <v>#N/A</v>
      </c>
      <c r="CC12" s="59" t="e">
        <f t="shared" si="11"/>
        <v>#N/A</v>
      </c>
      <c r="CD12" s="59" t="e">
        <f ca="1">AVERAGE(OFFSET($CC$3,0,0,'Données projet'!$E$12+1,1))-AVERAGE(OFFSET($H$3,0,0,'Données projet'!$E$12+1,1))</f>
        <v>#N/A</v>
      </c>
      <c r="CE12" s="59" t="e">
        <f t="shared" si="40"/>
        <v>#N/A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 t="e">
        <f>EXP(-LN(2)/35)*CK11+(1-EXP(-LN(2)/35))/(LN(2)/35)*CG12*CH12*VLOOKUP('Données projet'!$B$12,Paramètres!$A$1:$I$89,3,0)*0.475*44/12</f>
        <v>#N/A</v>
      </c>
      <c r="CL12" s="21" t="e">
        <f>EXP(-LN(2)/25)*CL11+(1-EXP(-LN(2)/25))/(LN(2)/25)*Calculateur!CG12*Calculateur!CI12*VLOOKUP('Données projet'!$B$12,Paramètres!$A$1:$I$89,3,0)*0.475*44/12</f>
        <v>#N/A</v>
      </c>
      <c r="CM12" s="21" t="e">
        <f>EXP(-LN(2)/2)*CM11+(1-EXP(-LN(2)/2))/(LN(2)/2)*CG12*CJ12*VLOOKUP('Données projet'!$B$12,Paramètres!$A$1:$I$89,3,0)*0.475*44/12</f>
        <v>#N/A</v>
      </c>
      <c r="CN12" s="22" t="e">
        <f t="shared" si="12"/>
        <v>#N/A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25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8.8919999999999995</v>
      </c>
      <c r="D13" s="11">
        <f t="shared" si="32"/>
        <v>3.177517729464268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10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93.16820703446102</v>
      </c>
      <c r="H13" s="67">
        <f t="shared" si="1"/>
        <v>314.35441004548358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3.4666666666666668</v>
      </c>
      <c r="N13" s="13">
        <f>IF('Données projet'!$A$36&gt;35,N12+M13-V12,IF(A13&lt;'Données projet'!$A$36,$K$205^A13,IF(A13='Données projet'!$A$36,'Données projet'!$B$36,N12+M13-V12)))</f>
        <v>13.931639535765228</v>
      </c>
      <c r="O13" s="13">
        <f>N13*VLOOKUP('Données projet'!$B$9,Paramètres!$A$1:$I$89,3,0)*VLOOKUP('Données projet'!$B$9,Paramètres!$A$1:$I$89,5,0)</f>
        <v>7.7877865004927633</v>
      </c>
      <c r="P13" s="13">
        <f t="shared" si="33"/>
        <v>2.826217023093494</v>
      </c>
      <c r="Q13" s="20">
        <f t="shared" si="2"/>
        <v>18.48605613691273</v>
      </c>
      <c r="R13" s="59">
        <f t="shared" si="0"/>
        <v>311.81938947024605</v>
      </c>
      <c r="S13" s="59">
        <f ca="1">AVERAGE(OFFSET($R$3,0,0,'Données projet'!$E$9+1,1))-AVERAGE(OFFSET($H$3,0,0,'Données projet'!$E$9+1,1))</f>
        <v>279.98352834501759</v>
      </c>
      <c r="T13" s="59">
        <f t="shared" si="34"/>
        <v>281.30062655265488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2.1</v>
      </c>
      <c r="AI13" s="13">
        <f>IF('Données projet'!$A$62&gt;35,AI12+AH13-AQ12,IF(A13&lt;'Données projet'!$A$62,$AF$205^A13,IF(A13='Données projet'!$A$62,'Données projet'!$B$62,AI12+AH13-AQ12)))</f>
        <v>6.4807406984078657</v>
      </c>
      <c r="AJ13" s="13">
        <f>AI13*VLOOKUP('Données projet'!$B$10,Paramètres!$A$1:$I$89,3,0)*VLOOKUP('Données projet'!$B$10,Paramètres!$A$1:$I$89,5,0)</f>
        <v>6.5714710681855761</v>
      </c>
      <c r="AK13" s="13">
        <f t="shared" si="35"/>
        <v>2.4324209676242781</v>
      </c>
      <c r="AL13" s="20">
        <f t="shared" si="4"/>
        <v>15.681778629035497</v>
      </c>
      <c r="AM13" s="59">
        <f t="shared" si="5"/>
        <v>309.01511196236879</v>
      </c>
      <c r="AN13" s="59">
        <f ca="1">AVERAGE(OFFSET($AM$3,0,0,'Données projet'!$E$10+1,1))-AVERAGE(OFFSET($H$3,0,0,'Données projet'!$E$10+1,1))</f>
        <v>279.20364724206644</v>
      </c>
      <c r="AO13" s="59">
        <f t="shared" si="36"/>
        <v>173.99850582760712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7.9</v>
      </c>
      <c r="BD13" s="12">
        <f>IF('Données projet'!$A$88&gt;35,BD12+BC13-BL12,IF(A13&lt;'Données projet'!$A$88,$BA$205^A13,IF(A13='Données projet'!$A$88,'Données projet'!$B$88,BD12+BC13-BL12)))</f>
        <v>12.569805089976542</v>
      </c>
      <c r="BE13" s="13">
        <f>BD13*VLOOKUP('Données projet'!$B$11,Paramètres!$A$1:$I$89,3,0)*VLOOKUP('Données projet'!$B$11,Paramètres!$A$1:$I$89,5,0)</f>
        <v>5.8826687821090227</v>
      </c>
      <c r="BF13" s="13">
        <f t="shared" si="37"/>
        <v>2.2057079152108381</v>
      </c>
      <c r="BG13" s="20">
        <f t="shared" si="7"/>
        <v>14.087256081165423</v>
      </c>
      <c r="BH13" s="59">
        <f t="shared" si="8"/>
        <v>307.42058941449875</v>
      </c>
      <c r="BI13" s="59">
        <f ca="1">AVERAGE(OFFSET($BH$3,0,0,'Données projet'!$E$11+1,1))-AVERAGE(OFFSET($H$3,0,0,'Données projet'!$E$11+1,1))</f>
        <v>215.23235148064941</v>
      </c>
      <c r="BJ13" s="59">
        <f t="shared" si="38"/>
        <v>184.07239726900434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0</v>
      </c>
      <c r="BY13" s="12">
        <f>IF('Données projet'!$A$114&gt;35,BY12+BX13-CG12,IF(A13&lt;'Données projet'!$A$114,$BV$205^A13,IF(A13='Données projet'!$A$114,'Données projet'!$B$114,BY12+BX13-CG12)))</f>
        <v>0</v>
      </c>
      <c r="BZ13" s="13" t="e">
        <f>BY13*VLOOKUP('Données projet'!$B$12,Paramètres!$A$1:$I$89,3,0)*VLOOKUP('Données projet'!$B$12,Paramètres!$A$1:$I$89,5,0)</f>
        <v>#N/A</v>
      </c>
      <c r="CA13" s="13" t="e">
        <f t="shared" si="39"/>
        <v>#N/A</v>
      </c>
      <c r="CB13" s="20" t="e">
        <f t="shared" si="10"/>
        <v>#N/A</v>
      </c>
      <c r="CC13" s="59" t="e">
        <f t="shared" si="11"/>
        <v>#N/A</v>
      </c>
      <c r="CD13" s="59" t="e">
        <f ca="1">AVERAGE(OFFSET($CC$3,0,0,'Données projet'!$E$12+1,1))-AVERAGE(OFFSET($H$3,0,0,'Données projet'!$E$12+1,1))</f>
        <v>#N/A</v>
      </c>
      <c r="CE13" s="59" t="e">
        <f t="shared" si="40"/>
        <v>#N/A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 t="e">
        <f>EXP(-LN(2)/35)*CK12+(1-EXP(-LN(2)/35))/(LN(2)/35)*CG13*CH13*VLOOKUP('Données projet'!$B$12,Paramètres!$A$1:$I$89,3,0)*0.475*44/12</f>
        <v>#N/A</v>
      </c>
      <c r="CL13" s="21" t="e">
        <f>EXP(-LN(2)/25)*CL12+(1-EXP(-LN(2)/25))/(LN(2)/25)*Calculateur!CG13*Calculateur!CI13*VLOOKUP('Données projet'!$B$12,Paramètres!$A$1:$I$89,3,0)*0.475*44/12</f>
        <v>#N/A</v>
      </c>
      <c r="CM13" s="21" t="e">
        <f>EXP(-LN(2)/2)*CM12+(1-EXP(-LN(2)/2))/(LN(2)/2)*CG13*CJ13*VLOOKUP('Données projet'!$B$12,Paramètres!$A$1:$I$89,3,0)*0.475*44/12</f>
        <v>#N/A</v>
      </c>
      <c r="CN13" s="22" t="e">
        <f t="shared" si="12"/>
        <v>#N/A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25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9.7812000000000001</v>
      </c>
      <c r="D14" s="11">
        <f t="shared" si="32"/>
        <v>3.4567069199829903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10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102.18735166302658</v>
      </c>
      <c r="H14" s="67">
        <f t="shared" si="1"/>
        <v>316.3893545523037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3.4666666666666668</v>
      </c>
      <c r="N14" s="13">
        <f>IF('Données projet'!$A$36&gt;35,N13+M14-V13,IF(A14&lt;'Données projet'!$A$36,$K$205^A14,IF(A14='Données projet'!$A$36,'Données projet'!$B$36,N13+M14-V13)))</f>
        <v>18.130194031796528</v>
      </c>
      <c r="O14" s="13">
        <f>N14*VLOOKUP('Données projet'!$B$9,Paramètres!$A$1:$I$89,3,0)*VLOOKUP('Données projet'!$B$9,Paramètres!$A$1:$I$89,5,0)</f>
        <v>10.134778463774259</v>
      </c>
      <c r="P14" s="13">
        <f t="shared" si="33"/>
        <v>3.5668885926874059</v>
      </c>
      <c r="Q14" s="20">
        <f t="shared" si="2"/>
        <v>23.863736790004065</v>
      </c>
      <c r="R14" s="59">
        <f t="shared" si="0"/>
        <v>317.19707012333737</v>
      </c>
      <c r="S14" s="59">
        <f ca="1">AVERAGE(OFFSET($R$3,0,0,'Données projet'!$E$9+1,1))-AVERAGE(OFFSET($H$3,0,0,'Données projet'!$E$9+1,1))</f>
        <v>279.98352834501759</v>
      </c>
      <c r="T14" s="59">
        <f t="shared" si="34"/>
        <v>281.30062655265488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2.1</v>
      </c>
      <c r="AI14" s="13">
        <f>IF('Données projet'!$A$62&gt;35,AI13+AH14-AQ13,IF(A14&lt;'Données projet'!$A$62,$AF$205^A14,IF(A14='Données projet'!$A$62,'Données projet'!$B$62,AI13+AH14-AQ13)))</f>
        <v>7.8124474610620815</v>
      </c>
      <c r="AJ14" s="13">
        <f>AI14*VLOOKUP('Données projet'!$B$10,Paramètres!$A$1:$I$89,3,0)*VLOOKUP('Données projet'!$B$10,Paramètres!$A$1:$I$89,5,0)</f>
        <v>7.921821725516951</v>
      </c>
      <c r="AK14" s="13">
        <f t="shared" si="35"/>
        <v>2.869154216054651</v>
      </c>
      <c r="AL14" s="20">
        <f t="shared" si="4"/>
        <v>18.794283098237205</v>
      </c>
      <c r="AM14" s="59">
        <f t="shared" si="5"/>
        <v>312.12761643157052</v>
      </c>
      <c r="AN14" s="59">
        <f ca="1">AVERAGE(OFFSET($AM$3,0,0,'Données projet'!$E$10+1,1))-AVERAGE(OFFSET($H$3,0,0,'Données projet'!$E$10+1,1))</f>
        <v>279.20364724206644</v>
      </c>
      <c r="AO14" s="59">
        <f t="shared" si="36"/>
        <v>173.99850582760712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7.9</v>
      </c>
      <c r="BD14" s="12">
        <f>IF('Données projet'!$A$88&gt;35,BD13+BC14-BL13,IF(A14&lt;'Données projet'!$A$88,$BA$205^A14,IF(A14='Données projet'!$A$88,'Données projet'!$B$88,BD13+BC14-BL13)))</f>
        <v>16.190542381779895</v>
      </c>
      <c r="BE14" s="13">
        <f>BD14*VLOOKUP('Données projet'!$B$11,Paramètres!$A$1:$I$89,3,0)*VLOOKUP('Données projet'!$B$11,Paramètres!$A$1:$I$89,5,0)</f>
        <v>7.5771738346729904</v>
      </c>
      <c r="BF14" s="13">
        <f t="shared" si="37"/>
        <v>2.7585742106736397</v>
      </c>
      <c r="BG14" s="20">
        <f t="shared" si="7"/>
        <v>18.001427845645381</v>
      </c>
      <c r="BH14" s="59">
        <f t="shared" si="8"/>
        <v>311.33476117897868</v>
      </c>
      <c r="BI14" s="59">
        <f ca="1">AVERAGE(OFFSET($BH$3,0,0,'Données projet'!$E$11+1,1))-AVERAGE(OFFSET($H$3,0,0,'Données projet'!$E$11+1,1))</f>
        <v>215.23235148064941</v>
      </c>
      <c r="BJ14" s="59">
        <f t="shared" si="38"/>
        <v>184.07239726900434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0</v>
      </c>
      <c r="BY14" s="12">
        <f>IF('Données projet'!$A$114&gt;35,BY13+BX14-CG13,IF(A14&lt;'Données projet'!$A$114,$BV$205^A14,IF(A14='Données projet'!$A$114,'Données projet'!$B$114,BY13+BX14-CG13)))</f>
        <v>0</v>
      </c>
      <c r="BZ14" s="13" t="e">
        <f>BY14*VLOOKUP('Données projet'!$B$12,Paramètres!$A$1:$I$89,3,0)*VLOOKUP('Données projet'!$B$12,Paramètres!$A$1:$I$89,5,0)</f>
        <v>#N/A</v>
      </c>
      <c r="CA14" s="13" t="e">
        <f t="shared" si="39"/>
        <v>#N/A</v>
      </c>
      <c r="CB14" s="20" t="e">
        <f t="shared" si="10"/>
        <v>#N/A</v>
      </c>
      <c r="CC14" s="59" t="e">
        <f t="shared" si="11"/>
        <v>#N/A</v>
      </c>
      <c r="CD14" s="59" t="e">
        <f ca="1">AVERAGE(OFFSET($CC$3,0,0,'Données projet'!$E$12+1,1))-AVERAGE(OFFSET($H$3,0,0,'Données projet'!$E$12+1,1))</f>
        <v>#N/A</v>
      </c>
      <c r="CE14" s="59" t="e">
        <f t="shared" si="40"/>
        <v>#N/A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 t="e">
        <f>EXP(-LN(2)/35)*CK13+(1-EXP(-LN(2)/35))/(LN(2)/35)*CG14*CH14*VLOOKUP('Données projet'!$B$12,Paramètres!$A$1:$I$89,3,0)*0.475*44/12</f>
        <v>#N/A</v>
      </c>
      <c r="CL14" s="21" t="e">
        <f>EXP(-LN(2)/25)*CL13+(1-EXP(-LN(2)/25))/(LN(2)/25)*Calculateur!CG14*Calculateur!CI14*VLOOKUP('Données projet'!$B$12,Paramètres!$A$1:$I$89,3,0)*0.475*44/12</f>
        <v>#N/A</v>
      </c>
      <c r="CM14" s="21" t="e">
        <f>EXP(-LN(2)/2)*CM13+(1-EXP(-LN(2)/2))/(LN(2)/2)*CG14*CJ14*VLOOKUP('Données projet'!$B$12,Paramètres!$A$1:$I$89,3,0)*0.475*44/12</f>
        <v>#N/A</v>
      </c>
      <c r="CN14" s="22" t="e">
        <f t="shared" si="12"/>
        <v>#N/A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25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10.670400000000001</v>
      </c>
      <c r="D15" s="11">
        <f t="shared" si="32"/>
        <v>3.7329530817348471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10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111.18377817479534</v>
      </c>
      <c r="H15" s="67">
        <f t="shared" si="1"/>
        <v>318.4191732840215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3.4666666666666668</v>
      </c>
      <c r="N15" s="13">
        <f>IF('Données projet'!$A$36&gt;35,N14+M15-V14,IF(A15&lt;'Données projet'!$A$36,$K$205^A15,IF(A15='Données projet'!$A$36,'Données projet'!$B$36,N14+M15-V14)))</f>
        <v>23.594059750594564</v>
      </c>
      <c r="O15" s="13">
        <f>N15*VLOOKUP('Données projet'!$B$9,Paramètres!$A$1:$I$89,3,0)*VLOOKUP('Données projet'!$B$9,Paramètres!$A$1:$I$89,5,0)</f>
        <v>13.189079400582363</v>
      </c>
      <c r="P15" s="13">
        <f t="shared" si="33"/>
        <v>4.501669237954574</v>
      </c>
      <c r="Q15" s="20">
        <f t="shared" si="2"/>
        <v>30.8113872121185</v>
      </c>
      <c r="R15" s="59">
        <f t="shared" si="0"/>
        <v>324.14472054545183</v>
      </c>
      <c r="S15" s="59">
        <f ca="1">AVERAGE(OFFSET($R$3,0,0,'Données projet'!$E$9+1,1))-AVERAGE(OFFSET($H$3,0,0,'Données projet'!$E$9+1,1))</f>
        <v>279.98352834501759</v>
      </c>
      <c r="T15" s="59">
        <f t="shared" si="34"/>
        <v>281.30062655265488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2.1</v>
      </c>
      <c r="AI15" s="13">
        <f>IF('Données projet'!$A$62&gt;35,AI14+AH15-AQ14,IF(A15&lt;'Données projet'!$A$62,$AF$205^A15,IF(A15='Données projet'!$A$62,'Données projet'!$B$62,AI14+AH15-AQ14)))</f>
        <v>9.4178024044149407</v>
      </c>
      <c r="AJ15" s="13">
        <f>AI15*VLOOKUP('Données projet'!$B$10,Paramètres!$A$1:$I$89,3,0)*VLOOKUP('Données projet'!$B$10,Paramètres!$A$1:$I$89,5,0)</f>
        <v>9.5496516380767513</v>
      </c>
      <c r="AK15" s="13">
        <f t="shared" si="35"/>
        <v>3.3843014943027487</v>
      </c>
      <c r="AL15" s="20">
        <f t="shared" si="4"/>
        <v>22.526635038894295</v>
      </c>
      <c r="AM15" s="59">
        <f t="shared" si="5"/>
        <v>315.85996837222763</v>
      </c>
      <c r="AN15" s="59">
        <f ca="1">AVERAGE(OFFSET($AM$3,0,0,'Données projet'!$E$10+1,1))-AVERAGE(OFFSET($H$3,0,0,'Données projet'!$E$10+1,1))</f>
        <v>279.20364724206644</v>
      </c>
      <c r="AO15" s="59">
        <f t="shared" si="36"/>
        <v>173.99850582760712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7.9</v>
      </c>
      <c r="BD15" s="12">
        <f>IF('Données projet'!$A$88&gt;35,BD14+BC15-BL14,IF(A15&lt;'Données projet'!$A$88,$BA$205^A15,IF(A15='Données projet'!$A$88,'Données projet'!$B$88,BD14+BC15-BL14)))</f>
        <v>20.854234472198982</v>
      </c>
      <c r="BE15" s="13">
        <f>BD15*VLOOKUP('Données projet'!$B$11,Paramètres!$A$1:$I$89,3,0)*VLOOKUP('Données projet'!$B$11,Paramètres!$A$1:$I$89,5,0)</f>
        <v>9.7597817329891239</v>
      </c>
      <c r="BF15" s="13">
        <f t="shared" si="37"/>
        <v>3.4500178483814818</v>
      </c>
      <c r="BG15" s="20">
        <f t="shared" si="7"/>
        <v>23.00706760422047</v>
      </c>
      <c r="BH15" s="59">
        <f t="shared" si="8"/>
        <v>316.3404009375538</v>
      </c>
      <c r="BI15" s="59">
        <f ca="1">AVERAGE(OFFSET($BH$3,0,0,'Données projet'!$E$11+1,1))-AVERAGE(OFFSET($H$3,0,0,'Données projet'!$E$11+1,1))</f>
        <v>215.23235148064941</v>
      </c>
      <c r="BJ15" s="59">
        <f t="shared" si="38"/>
        <v>184.07239726900434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0</v>
      </c>
      <c r="BY15" s="12">
        <f>IF('Données projet'!$A$114&gt;35,BY14+BX15-CG14,IF(A15&lt;'Données projet'!$A$114,$BV$205^A15,IF(A15='Données projet'!$A$114,'Données projet'!$B$114,BY14+BX15-CG14)))</f>
        <v>0</v>
      </c>
      <c r="BZ15" s="13" t="e">
        <f>BY15*VLOOKUP('Données projet'!$B$12,Paramètres!$A$1:$I$89,3,0)*VLOOKUP('Données projet'!$B$12,Paramètres!$A$1:$I$89,5,0)</f>
        <v>#N/A</v>
      </c>
      <c r="CA15" s="13" t="e">
        <f t="shared" si="39"/>
        <v>#N/A</v>
      </c>
      <c r="CB15" s="20" t="e">
        <f t="shared" si="10"/>
        <v>#N/A</v>
      </c>
      <c r="CC15" s="59" t="e">
        <f t="shared" si="11"/>
        <v>#N/A</v>
      </c>
      <c r="CD15" s="59" t="e">
        <f ca="1">AVERAGE(OFFSET($CC$3,0,0,'Données projet'!$E$12+1,1))-AVERAGE(OFFSET($H$3,0,0,'Données projet'!$E$12+1,1))</f>
        <v>#N/A</v>
      </c>
      <c r="CE15" s="59" t="e">
        <f t="shared" si="40"/>
        <v>#N/A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 t="e">
        <f>EXP(-LN(2)/35)*CK14+(1-EXP(-LN(2)/35))/(LN(2)/35)*CG15*CH15*VLOOKUP('Données projet'!$B$12,Paramètres!$A$1:$I$89,3,0)*0.475*44/12</f>
        <v>#N/A</v>
      </c>
      <c r="CL15" s="21" t="e">
        <f>EXP(-LN(2)/25)*CL14+(1-EXP(-LN(2)/25))/(LN(2)/25)*Calculateur!CG15*Calculateur!CI15*VLOOKUP('Données projet'!$B$12,Paramètres!$A$1:$I$89,3,0)*0.475*44/12</f>
        <v>#N/A</v>
      </c>
      <c r="CM15" s="21" t="e">
        <f>EXP(-LN(2)/2)*CM14+(1-EXP(-LN(2)/2))/(LN(2)/2)*CG15*CJ15*VLOOKUP('Données projet'!$B$12,Paramètres!$A$1:$I$89,3,0)*0.475*44/12</f>
        <v>#N/A</v>
      </c>
      <c r="CN15" s="22" t="e">
        <f t="shared" si="12"/>
        <v>#N/A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25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11.559600000000001</v>
      </c>
      <c r="D16" s="11">
        <f t="shared" si="32"/>
        <v>4.0065293501366055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10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120.15959498351064</v>
      </c>
      <c r="H16" s="67">
        <f t="shared" si="1"/>
        <v>320.4443419514879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3.4666666666666668</v>
      </c>
      <c r="N16" s="13">
        <f>IF('Données projet'!$A$36&gt;35,N15+M16-V15,IF(A16&lt;'Données projet'!$A$36,$K$205^A16,IF(A16='Données projet'!$A$36,'Données projet'!$B$36,N15+M16-V15)))</f>
        <v>30.704561381876452</v>
      </c>
      <c r="O16" s="13">
        <f>N16*VLOOKUP('Données projet'!$B$9,Paramètres!$A$1:$I$89,3,0)*VLOOKUP('Données projet'!$B$9,Paramètres!$A$1:$I$89,5,0)</f>
        <v>17.163849812468936</v>
      </c>
      <c r="P16" s="13">
        <f t="shared" si="33"/>
        <v>5.681429459134919</v>
      </c>
      <c r="Q16" s="20">
        <f t="shared" si="2"/>
        <v>39.788861398043373</v>
      </c>
      <c r="R16" s="59">
        <f t="shared" si="0"/>
        <v>333.12219473137668</v>
      </c>
      <c r="S16" s="59">
        <f ca="1">AVERAGE(OFFSET($R$3,0,0,'Données projet'!$E$9+1,1))-AVERAGE(OFFSET($H$3,0,0,'Données projet'!$E$9+1,1))</f>
        <v>279.98352834501759</v>
      </c>
      <c r="T16" s="59">
        <f t="shared" si="34"/>
        <v>281.30062655265488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2.1</v>
      </c>
      <c r="AI16" s="13">
        <f>IF('Données projet'!$A$62&gt;35,AI15+AH16-AQ15,IF(A16&lt;'Données projet'!$A$62,$AF$205^A16,IF(A16='Données projet'!$A$62,'Données projet'!$B$62,AI15+AH16-AQ15)))</f>
        <v>11.35303662145153</v>
      </c>
      <c r="AJ16" s="13">
        <f>AI16*VLOOKUP('Données projet'!$B$10,Paramètres!$A$1:$I$89,3,0)*VLOOKUP('Données projet'!$B$10,Paramètres!$A$1:$I$89,5,0)</f>
        <v>11.511979134151852</v>
      </c>
      <c r="AK16" s="13">
        <f t="shared" si="35"/>
        <v>3.9919417855793822</v>
      </c>
      <c r="AL16" s="20">
        <f t="shared" si="4"/>
        <v>27.002662268531896</v>
      </c>
      <c r="AM16" s="59">
        <f t="shared" si="5"/>
        <v>320.33599560186519</v>
      </c>
      <c r="AN16" s="59">
        <f ca="1">AVERAGE(OFFSET($AM$3,0,0,'Données projet'!$E$10+1,1))-AVERAGE(OFFSET($H$3,0,0,'Données projet'!$E$10+1,1))</f>
        <v>279.20364724206644</v>
      </c>
      <c r="AO16" s="59">
        <f t="shared" si="36"/>
        <v>173.99850582760712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7.9</v>
      </c>
      <c r="BD16" s="12">
        <f>IF('Données projet'!$A$88&gt;35,BD15+BC16-BL15,IF(A16&lt;'Données projet'!$A$88,$BA$205^A16,IF(A16='Données projet'!$A$88,'Données projet'!$B$88,BD15+BC16-BL15)))</f>
        <v>26.861304900499697</v>
      </c>
      <c r="BE16" s="13">
        <f>BD16*VLOOKUP('Données projet'!$B$11,Paramètres!$A$1:$I$89,3,0)*VLOOKUP('Données projet'!$B$11,Paramètres!$A$1:$I$89,5,0)</f>
        <v>12.571090693433858</v>
      </c>
      <c r="BF16" s="13">
        <f t="shared" si="37"/>
        <v>4.3147735914069099</v>
      </c>
      <c r="BG16" s="20">
        <f t="shared" si="7"/>
        <v>29.409546962764335</v>
      </c>
      <c r="BH16" s="59">
        <f t="shared" si="8"/>
        <v>322.74288029609767</v>
      </c>
      <c r="BI16" s="59">
        <f ca="1">AVERAGE(OFFSET($BH$3,0,0,'Données projet'!$E$11+1,1))-AVERAGE(OFFSET($H$3,0,0,'Données projet'!$E$11+1,1))</f>
        <v>215.23235148064941</v>
      </c>
      <c r="BJ16" s="59">
        <f t="shared" si="38"/>
        <v>184.07239726900434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0</v>
      </c>
      <c r="BY16" s="12">
        <f>IF('Données projet'!$A$114&gt;35,BY15+BX16-CG15,IF(A16&lt;'Données projet'!$A$114,$BV$205^A16,IF(A16='Données projet'!$A$114,'Données projet'!$B$114,BY15+BX16-CG15)))</f>
        <v>0</v>
      </c>
      <c r="BZ16" s="13" t="e">
        <f>BY16*VLOOKUP('Données projet'!$B$12,Paramètres!$A$1:$I$89,3,0)*VLOOKUP('Données projet'!$B$12,Paramètres!$A$1:$I$89,5,0)</f>
        <v>#N/A</v>
      </c>
      <c r="CA16" s="13" t="e">
        <f t="shared" si="39"/>
        <v>#N/A</v>
      </c>
      <c r="CB16" s="20" t="e">
        <f t="shared" si="10"/>
        <v>#N/A</v>
      </c>
      <c r="CC16" s="59" t="e">
        <f t="shared" si="11"/>
        <v>#N/A</v>
      </c>
      <c r="CD16" s="59" t="e">
        <f ca="1">AVERAGE(OFFSET($CC$3,0,0,'Données projet'!$E$12+1,1))-AVERAGE(OFFSET($H$3,0,0,'Données projet'!$E$12+1,1))</f>
        <v>#N/A</v>
      </c>
      <c r="CE16" s="59" t="e">
        <f t="shared" si="40"/>
        <v>#N/A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 t="e">
        <f>EXP(-LN(2)/35)*CK15+(1-EXP(-LN(2)/35))/(LN(2)/35)*CG16*CH16*VLOOKUP('Données projet'!$B$12,Paramètres!$A$1:$I$89,3,0)*0.475*44/12</f>
        <v>#N/A</v>
      </c>
      <c r="CL16" s="21" t="e">
        <f>EXP(-LN(2)/25)*CL15+(1-EXP(-LN(2)/25))/(LN(2)/25)*Calculateur!CG16*Calculateur!CI16*VLOOKUP('Données projet'!$B$12,Paramètres!$A$1:$I$89,3,0)*0.475*44/12</f>
        <v>#N/A</v>
      </c>
      <c r="CM16" s="21" t="e">
        <f>EXP(-LN(2)/2)*CM15+(1-EXP(-LN(2)/2))/(LN(2)/2)*CG16*CJ16*VLOOKUP('Données projet'!$B$12,Paramètres!$A$1:$I$89,3,0)*0.475*44/12</f>
        <v>#N/A</v>
      </c>
      <c r="CN16" s="22" t="e">
        <f t="shared" si="12"/>
        <v>#N/A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25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12.448800000000002</v>
      </c>
      <c r="D17" s="11">
        <f t="shared" si="32"/>
        <v>4.2776644527179633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10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129.11656770519133</v>
      </c>
      <c r="H17" s="67">
        <f t="shared" si="1"/>
        <v>322.46525892181711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3.4666666666666668</v>
      </c>
      <c r="N17" s="13">
        <f>IF('Données projet'!$A$36&gt;35,N16+M17-V16,IF(A17&lt;'Données projet'!$A$36,$K$205^A17,IF(A17='Données projet'!$A$36,'Données projet'!$B$36,N16+M17-V16)))</f>
        <v>39.95794278810628</v>
      </c>
      <c r="O17" s="13">
        <f>N17*VLOOKUP('Données projet'!$B$9,Paramètres!$A$1:$I$89,3,0)*VLOOKUP('Données projet'!$B$9,Paramètres!$A$1:$I$89,5,0)</f>
        <v>22.336490018551409</v>
      </c>
      <c r="P17" s="13">
        <f t="shared" si="33"/>
        <v>7.1703714762021402</v>
      </c>
      <c r="Q17" s="20">
        <f t="shared" si="2"/>
        <v>51.391117103362433</v>
      </c>
      <c r="R17" s="59">
        <f t="shared" si="0"/>
        <v>344.72445043669575</v>
      </c>
      <c r="S17" s="59">
        <f ca="1">AVERAGE(OFFSET($R$3,0,0,'Données projet'!$E$9+1,1))-AVERAGE(OFFSET($H$3,0,0,'Données projet'!$E$9+1,1))</f>
        <v>279.98352834501759</v>
      </c>
      <c r="T17" s="59">
        <f t="shared" si="34"/>
        <v>281.30062655265488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2.1</v>
      </c>
      <c r="AI17" s="13">
        <f>IF('Données projet'!$A$62&gt;35,AI16+AH17-AQ16,IF(A17&lt;'Données projet'!$A$62,$AF$205^A17,IF(A17='Données projet'!$A$62,'Données projet'!$B$62,AI16+AH17-AQ16)))</f>
        <v>13.685935953338433</v>
      </c>
      <c r="AJ17" s="13">
        <f>AI17*VLOOKUP('Données projet'!$B$10,Paramètres!$A$1:$I$89,3,0)*VLOOKUP('Données projet'!$B$10,Paramètres!$A$1:$I$89,5,0)</f>
        <v>13.877539056685173</v>
      </c>
      <c r="AK17" s="13">
        <f t="shared" si="35"/>
        <v>4.7086819085950955</v>
      </c>
      <c r="AL17" s="20">
        <f t="shared" si="4"/>
        <v>32.371001514529802</v>
      </c>
      <c r="AM17" s="59">
        <f t="shared" si="5"/>
        <v>325.70433484786309</v>
      </c>
      <c r="AN17" s="59">
        <f ca="1">AVERAGE(OFFSET($AM$3,0,0,'Données projet'!$E$10+1,1))-AVERAGE(OFFSET($H$3,0,0,'Données projet'!$E$10+1,1))</f>
        <v>279.20364724206644</v>
      </c>
      <c r="AO17" s="59">
        <f t="shared" si="36"/>
        <v>173.99850582760712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7.9</v>
      </c>
      <c r="BD17" s="12">
        <f>IF('Données projet'!$A$88&gt;35,BD16+BC17-BL16,IF(A17&lt;'Données projet'!$A$88,$BA$205^A17,IF(A17='Données projet'!$A$88,'Données projet'!$B$88,BD16+BC17-BL16)))</f>
        <v>34.598714324397214</v>
      </c>
      <c r="BE17" s="13">
        <f>BD17*VLOOKUP('Données projet'!$B$11,Paramètres!$A$1:$I$89,3,0)*VLOOKUP('Données projet'!$B$11,Paramètres!$A$1:$I$89,5,0)</f>
        <v>16.192198303817896</v>
      </c>
      <c r="BF17" s="13">
        <f t="shared" si="37"/>
        <v>5.3962825594761723</v>
      </c>
      <c r="BG17" s="20">
        <f t="shared" si="7"/>
        <v>37.599937503570509</v>
      </c>
      <c r="BH17" s="59">
        <f t="shared" si="8"/>
        <v>330.93327083690383</v>
      </c>
      <c r="BI17" s="59">
        <f ca="1">AVERAGE(OFFSET($BH$3,0,0,'Données projet'!$E$11+1,1))-AVERAGE(OFFSET($H$3,0,0,'Données projet'!$E$11+1,1))</f>
        <v>215.23235148064941</v>
      </c>
      <c r="BJ17" s="59">
        <f t="shared" si="38"/>
        <v>184.07239726900434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0</v>
      </c>
      <c r="BY17" s="12">
        <f>IF('Données projet'!$A$114&gt;35,BY16+BX17-CG16,IF(A17&lt;'Données projet'!$A$114,$BV$205^A17,IF(A17='Données projet'!$A$114,'Données projet'!$B$114,BY16+BX17-CG16)))</f>
        <v>0</v>
      </c>
      <c r="BZ17" s="13" t="e">
        <f>BY17*VLOOKUP('Données projet'!$B$12,Paramètres!$A$1:$I$89,3,0)*VLOOKUP('Données projet'!$B$12,Paramètres!$A$1:$I$89,5,0)</f>
        <v>#N/A</v>
      </c>
      <c r="CA17" s="13" t="e">
        <f t="shared" si="39"/>
        <v>#N/A</v>
      </c>
      <c r="CB17" s="20" t="e">
        <f t="shared" si="10"/>
        <v>#N/A</v>
      </c>
      <c r="CC17" s="59" t="e">
        <f t="shared" si="11"/>
        <v>#N/A</v>
      </c>
      <c r="CD17" s="59" t="e">
        <f ca="1">AVERAGE(OFFSET($CC$3,0,0,'Données projet'!$E$12+1,1))-AVERAGE(OFFSET($H$3,0,0,'Données projet'!$E$12+1,1))</f>
        <v>#N/A</v>
      </c>
      <c r="CE17" s="59" t="e">
        <f t="shared" si="40"/>
        <v>#N/A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 t="e">
        <f>EXP(-LN(2)/35)*CK16+(1-EXP(-LN(2)/35))/(LN(2)/35)*CG17*CH17*VLOOKUP('Données projet'!$B$12,Paramètres!$A$1:$I$89,3,0)*0.475*44/12</f>
        <v>#N/A</v>
      </c>
      <c r="CL17" s="21" t="e">
        <f>EXP(-LN(2)/25)*CL16+(1-EXP(-LN(2)/25))/(LN(2)/25)*Calculateur!CG17*Calculateur!CI17*VLOOKUP('Données projet'!$B$12,Paramètres!$A$1:$I$89,3,0)*0.475*44/12</f>
        <v>#N/A</v>
      </c>
      <c r="CM17" s="21" t="e">
        <f>EXP(-LN(2)/2)*CM16+(1-EXP(-LN(2)/2))/(LN(2)/2)*CG17*CJ17*VLOOKUP('Données projet'!$B$12,Paramètres!$A$1:$I$89,3,0)*0.475*44/12</f>
        <v>#N/A</v>
      </c>
      <c r="CN17" s="22" t="e">
        <f t="shared" si="12"/>
        <v>#N/A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25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13.338000000000003</v>
      </c>
      <c r="D18" s="11">
        <f t="shared" si="32"/>
        <v>4.5465525901071517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10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138.0561954324061</v>
      </c>
      <c r="H18" s="67">
        <f t="shared" si="1"/>
        <v>324.48226242776991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2">
        <f>VLOOKUP(A18,'Données projet'!$A$35:$I$55,2,0)</f>
        <v>52</v>
      </c>
      <c r="L18" s="12">
        <f>VLOOKUP(A18,'Données projet'!$A$35:$I$55,9,0)</f>
        <v>3.4666666666666668</v>
      </c>
      <c r="M18" s="12">
        <f t="array" ref="M18">INDEX(L:L,MIN(IF(ISNUMBER(L18:L214),ROW(L18:L214),"")))</f>
        <v>3.4666666666666668</v>
      </c>
      <c r="N18" s="13">
        <f>IF('Données projet'!$A$36&gt;35,N17+M18-V17,IF(A18&lt;'Données projet'!$A$36,$K$205^A18,IF(A18='Données projet'!$A$36,'Données projet'!$B$36,N17+M18-V17)))</f>
        <v>52</v>
      </c>
      <c r="O18" s="13">
        <f>N18*VLOOKUP('Données projet'!$B$9,Paramètres!$A$1:$I$89,3,0)*VLOOKUP('Données projet'!$B$9,Paramètres!$A$1:$I$89,5,0)</f>
        <v>29.068000000000001</v>
      </c>
      <c r="P18" s="13">
        <f t="shared" si="33"/>
        <v>9.0495230956474551</v>
      </c>
      <c r="Q18" s="20">
        <f t="shared" si="2"/>
        <v>66.388019391585985</v>
      </c>
      <c r="R18" s="59">
        <f t="shared" si="0"/>
        <v>359.72135272491931</v>
      </c>
      <c r="S18" s="59">
        <f ca="1">AVERAGE(OFFSET($R$3,0,0,'Données projet'!$E$9+1,1))-AVERAGE(OFFSET($H$3,0,0,'Données projet'!$E$9+1,1))</f>
        <v>279.98352834501759</v>
      </c>
      <c r="T18" s="59">
        <f t="shared" si="34"/>
        <v>281.30062655265488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2.1</v>
      </c>
      <c r="AI18" s="13">
        <f>IF('Données projet'!$A$62&gt;35,AI17+AH18-AQ17,IF(A18&lt;'Données projet'!$A$62,$AF$205^A18,IF(A18='Données projet'!$A$62,'Données projet'!$B$62,AI17+AH18-AQ17)))</f>
        <v>16.498215337821566</v>
      </c>
      <c r="AJ18" s="13">
        <f>AI18*VLOOKUP('Données projet'!$B$10,Paramètres!$A$1:$I$89,3,0)*VLOOKUP('Données projet'!$B$10,Paramètres!$A$1:$I$89,5,0)</f>
        <v>16.729190352551068</v>
      </c>
      <c r="AK18" s="13">
        <f t="shared" si="35"/>
        <v>5.5541103821765283</v>
      </c>
      <c r="AL18" s="20">
        <f t="shared" si="4"/>
        <v>38.810082112983899</v>
      </c>
      <c r="AM18" s="59">
        <f t="shared" si="5"/>
        <v>332.14341544631719</v>
      </c>
      <c r="AN18" s="59">
        <f ca="1">AVERAGE(OFFSET($AM$3,0,0,'Données projet'!$E$10+1,1))-AVERAGE(OFFSET($H$3,0,0,'Données projet'!$E$10+1,1))</f>
        <v>279.20364724206644</v>
      </c>
      <c r="AO18" s="59">
        <f t="shared" si="36"/>
        <v>173.99850582760712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7.9</v>
      </c>
      <c r="BD18" s="12">
        <f>IF('Données projet'!$A$88&gt;35,BD17+BC18-BL17,IF(A18&lt;'Données projet'!$A$88,$BA$205^A18,IF(A18='Données projet'!$A$88,'Données projet'!$B$88,BD17+BC18-BL17)))</f>
        <v>44.564887571004775</v>
      </c>
      <c r="BE18" s="13">
        <f>BD18*VLOOKUP('Données projet'!$B$11,Paramètres!$A$1:$I$89,3,0)*VLOOKUP('Données projet'!$B$11,Paramètres!$A$1:$I$89,5,0)</f>
        <v>20.856367383230236</v>
      </c>
      <c r="BF18" s="13">
        <f t="shared" si="37"/>
        <v>6.7488744993944465</v>
      </c>
      <c r="BG18" s="20">
        <f t="shared" si="7"/>
        <v>48.079129612237985</v>
      </c>
      <c r="BH18" s="59">
        <f t="shared" si="8"/>
        <v>341.41246294557129</v>
      </c>
      <c r="BI18" s="59">
        <f ca="1">AVERAGE(OFFSET($BH$3,0,0,'Données projet'!$E$11+1,1))-AVERAGE(OFFSET($H$3,0,0,'Données projet'!$E$11+1,1))</f>
        <v>215.23235148064941</v>
      </c>
      <c r="BJ18" s="59">
        <f t="shared" si="38"/>
        <v>184.07239726900434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0</v>
      </c>
      <c r="BY18" s="12">
        <f>IF('Données projet'!$A$114&gt;35,BY17+BX18-CG17,IF(A18&lt;'Données projet'!$A$114,$BV$205^A18,IF(A18='Données projet'!$A$114,'Données projet'!$B$114,BY17+BX18-CG17)))</f>
        <v>0</v>
      </c>
      <c r="BZ18" s="13" t="e">
        <f>BY18*VLOOKUP('Données projet'!$B$12,Paramètres!$A$1:$I$89,3,0)*VLOOKUP('Données projet'!$B$12,Paramètres!$A$1:$I$89,5,0)</f>
        <v>#N/A</v>
      </c>
      <c r="CA18" s="13" t="e">
        <f t="shared" si="39"/>
        <v>#N/A</v>
      </c>
      <c r="CB18" s="20" t="e">
        <f t="shared" si="10"/>
        <v>#N/A</v>
      </c>
      <c r="CC18" s="59" t="e">
        <f t="shared" si="11"/>
        <v>#N/A</v>
      </c>
      <c r="CD18" s="59" t="e">
        <f ca="1">AVERAGE(OFFSET($CC$3,0,0,'Données projet'!$E$12+1,1))-AVERAGE(OFFSET($H$3,0,0,'Données projet'!$E$12+1,1))</f>
        <v>#N/A</v>
      </c>
      <c r="CE18" s="59" t="e">
        <f t="shared" si="40"/>
        <v>#N/A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 t="e">
        <f>EXP(-LN(2)/35)*CK17+(1-EXP(-LN(2)/35))/(LN(2)/35)*CG18*CH18*VLOOKUP('Données projet'!$B$12,Paramètres!$A$1:$I$89,3,0)*0.475*44/12</f>
        <v>#N/A</v>
      </c>
      <c r="CL18" s="21" t="e">
        <f>EXP(-LN(2)/25)*CL17+(1-EXP(-LN(2)/25))/(LN(2)/25)*Calculateur!CG18*Calculateur!CI18*VLOOKUP('Données projet'!$B$12,Paramètres!$A$1:$I$89,3,0)*0.475*44/12</f>
        <v>#N/A</v>
      </c>
      <c r="CM18" s="21" t="e">
        <f>EXP(-LN(2)/2)*CM17+(1-EXP(-LN(2)/2))/(LN(2)/2)*CG18*CJ18*VLOOKUP('Données projet'!$B$12,Paramètres!$A$1:$I$89,3,0)*0.475*44/12</f>
        <v>#N/A</v>
      </c>
      <c r="CN18" s="22" t="e">
        <f t="shared" si="12"/>
        <v>#N/A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25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14.227200000000003</v>
      </c>
      <c r="D19" s="11">
        <f t="shared" si="32"/>
        <v>4.81336060460516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10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146.97976607063634</v>
      </c>
      <c r="H19" s="67">
        <f t="shared" si="1"/>
        <v>326.49564305302061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15.2</v>
      </c>
      <c r="N19" s="13">
        <f>IF('Données projet'!$A$36&gt;35,N18+M19-V18,IF(A19&lt;'Données projet'!$A$36,$K$205^A19,IF(A19='Données projet'!$A$36,'Données projet'!$B$36,N18+M19-V18)))</f>
        <v>67.2</v>
      </c>
      <c r="O19" s="13">
        <f>N19*VLOOKUP('Données projet'!$B$9,Paramètres!$A$1:$I$89,3,0)*VLOOKUP('Données projet'!$B$9,Paramètres!$A$1:$I$89,5,0)</f>
        <v>37.564800000000005</v>
      </c>
      <c r="P19" s="13">
        <f t="shared" si="33"/>
        <v>11.350856362116868</v>
      </c>
      <c r="Q19" s="20">
        <f t="shared" si="2"/>
        <v>85.194768164020218</v>
      </c>
      <c r="R19" s="59">
        <f t="shared" si="0"/>
        <v>378.52810149735353</v>
      </c>
      <c r="S19" s="59">
        <f ca="1">AVERAGE(OFFSET($R$3,0,0,'Données projet'!$E$9+1,1))-AVERAGE(OFFSET($H$3,0,0,'Données projet'!$E$9+1,1))</f>
        <v>279.98352834501759</v>
      </c>
      <c r="T19" s="59">
        <f t="shared" si="34"/>
        <v>281.30062655265488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2.1</v>
      </c>
      <c r="AI19" s="13">
        <f>IF('Données projet'!$A$62&gt;35,AI18+AH19-AQ18,IF(A19&lt;'Données projet'!$A$62,$AF$205^A19,IF(A19='Données projet'!$A$62,'Données projet'!$B$62,AI18+AH19-AQ18)))</f>
        <v>19.888381054913147</v>
      </c>
      <c r="AJ19" s="13">
        <f>AI19*VLOOKUP('Données projet'!$B$10,Paramètres!$A$1:$I$89,3,0)*VLOOKUP('Données projet'!$B$10,Paramètres!$A$1:$I$89,5,0)</f>
        <v>20.166818389681932</v>
      </c>
      <c r="AK19" s="13">
        <f t="shared" si="35"/>
        <v>6.5513327797938032</v>
      </c>
      <c r="AL19" s="20">
        <f t="shared" si="4"/>
        <v>46.534113286836906</v>
      </c>
      <c r="AM19" s="59">
        <f t="shared" si="5"/>
        <v>339.8674466201702</v>
      </c>
      <c r="AN19" s="59">
        <f ca="1">AVERAGE(OFFSET($AM$3,0,0,'Données projet'!$E$10+1,1))-AVERAGE(OFFSET($H$3,0,0,'Données projet'!$E$10+1,1))</f>
        <v>279.20364724206644</v>
      </c>
      <c r="AO19" s="59">
        <f t="shared" si="36"/>
        <v>173.99850582760712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7.9</v>
      </c>
      <c r="BD19" s="12">
        <f>IF('Données projet'!$A$88&gt;35,BD18+BC19-BL18,IF(A19&lt;'Données projet'!$A$88,$BA$205^A19,IF(A19='Données projet'!$A$88,'Données projet'!$B$88,BD18+BC19-BL18)))</f>
        <v>57.401820934596167</v>
      </c>
      <c r="BE19" s="13">
        <f>BD19*VLOOKUP('Données projet'!$B$11,Paramètres!$A$1:$I$89,3,0)*VLOOKUP('Données projet'!$B$11,Paramètres!$A$1:$I$89,5,0)</f>
        <v>26.864052197391008</v>
      </c>
      <c r="BF19" s="13">
        <f t="shared" si="37"/>
        <v>8.4404970471001413</v>
      </c>
      <c r="BG19" s="20">
        <f t="shared" si="7"/>
        <v>61.488756600822086</v>
      </c>
      <c r="BH19" s="59">
        <f t="shared" si="8"/>
        <v>354.82208993415543</v>
      </c>
      <c r="BI19" s="59">
        <f ca="1">AVERAGE(OFFSET($BH$3,0,0,'Données projet'!$E$11+1,1))-AVERAGE(OFFSET($H$3,0,0,'Données projet'!$E$11+1,1))</f>
        <v>215.23235148064941</v>
      </c>
      <c r="BJ19" s="59">
        <f t="shared" si="38"/>
        <v>184.07239726900434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0</v>
      </c>
      <c r="BY19" s="12">
        <f>IF('Données projet'!$A$114&gt;35,BY18+BX19-CG18,IF(A19&lt;'Données projet'!$A$114,$BV$205^A19,IF(A19='Données projet'!$A$114,'Données projet'!$B$114,BY18+BX19-CG18)))</f>
        <v>0</v>
      </c>
      <c r="BZ19" s="13" t="e">
        <f>BY19*VLOOKUP('Données projet'!$B$12,Paramètres!$A$1:$I$89,3,0)*VLOOKUP('Données projet'!$B$12,Paramètres!$A$1:$I$89,5,0)</f>
        <v>#N/A</v>
      </c>
      <c r="CA19" s="13" t="e">
        <f t="shared" si="39"/>
        <v>#N/A</v>
      </c>
      <c r="CB19" s="20" t="e">
        <f t="shared" si="10"/>
        <v>#N/A</v>
      </c>
      <c r="CC19" s="59" t="e">
        <f t="shared" si="11"/>
        <v>#N/A</v>
      </c>
      <c r="CD19" s="59" t="e">
        <f ca="1">AVERAGE(OFFSET($CC$3,0,0,'Données projet'!$E$12+1,1))-AVERAGE(OFFSET($H$3,0,0,'Données projet'!$E$12+1,1))</f>
        <v>#N/A</v>
      </c>
      <c r="CE19" s="59" t="e">
        <f t="shared" si="40"/>
        <v>#N/A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 t="e">
        <f>EXP(-LN(2)/35)*CK18+(1-EXP(-LN(2)/35))/(LN(2)/35)*CG19*CH19*VLOOKUP('Données projet'!$B$12,Paramètres!$A$1:$I$89,3,0)*0.475*44/12</f>
        <v>#N/A</v>
      </c>
      <c r="CL19" s="21" t="e">
        <f>EXP(-LN(2)/25)*CL18+(1-EXP(-LN(2)/25))/(LN(2)/25)*Calculateur!CG19*Calculateur!CI19*VLOOKUP('Données projet'!$B$12,Paramètres!$A$1:$I$89,3,0)*0.475*44/12</f>
        <v>#N/A</v>
      </c>
      <c r="CM19" s="21" t="e">
        <f>EXP(-LN(2)/2)*CM18+(1-EXP(-LN(2)/2))/(LN(2)/2)*CG19*CJ19*VLOOKUP('Données projet'!$B$12,Paramètres!$A$1:$I$89,3,0)*0.475*44/12</f>
        <v>#N/A</v>
      </c>
      <c r="CN19" s="22" t="e">
        <f t="shared" si="12"/>
        <v>#N/A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25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15.116400000000004</v>
      </c>
      <c r="D20" s="11">
        <f t="shared" si="32"/>
        <v>5.0782333044806931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10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155.8883974380966</v>
      </c>
      <c r="H20" s="67">
        <f t="shared" si="1"/>
        <v>328.50565300530388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15.2</v>
      </c>
      <c r="N20" s="13">
        <f>IF('Données projet'!$A$36&gt;35,N19+M20-V19,IF(A20&lt;'Données projet'!$A$36,$K$205^A20,IF(A20='Données projet'!$A$36,'Données projet'!$B$36,N19+M20-V19)))</f>
        <v>82.4</v>
      </c>
      <c r="O20" s="13">
        <f>N20*VLOOKUP('Données projet'!$B$9,Paramètres!$A$1:$I$89,3,0)*VLOOKUP('Données projet'!$B$9,Paramètres!$A$1:$I$89,5,0)</f>
        <v>46.061600000000006</v>
      </c>
      <c r="P20" s="13">
        <f t="shared" si="33"/>
        <v>13.591845292116128</v>
      </c>
      <c r="Q20" s="20">
        <f t="shared" si="2"/>
        <v>103.89641721710227</v>
      </c>
      <c r="R20" s="59">
        <f t="shared" si="0"/>
        <v>397.2297505504356</v>
      </c>
      <c r="S20" s="59">
        <f ca="1">AVERAGE(OFFSET($R$3,0,0,'Données projet'!$E$9+1,1))-AVERAGE(OFFSET($H$3,0,0,'Données projet'!$E$9+1,1))</f>
        <v>279.98352834501759</v>
      </c>
      <c r="T20" s="59">
        <f t="shared" si="34"/>
        <v>281.30062655265488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2.1</v>
      </c>
      <c r="AI20" s="13">
        <f>IF('Données projet'!$A$62&gt;35,AI19+AH20-AQ19,IF(A20&lt;'Données projet'!$A$62,$AF$205^A20,IF(A20='Données projet'!$A$62,'Données projet'!$B$62,AI19+AH20-AQ19)))</f>
        <v>23.975181126327602</v>
      </c>
      <c r="AJ20" s="13">
        <f>AI20*VLOOKUP('Données projet'!$B$10,Paramètres!$A$1:$I$89,3,0)*VLOOKUP('Données projet'!$B$10,Paramètres!$A$1:$I$89,5,0)</f>
        <v>24.31083366209619</v>
      </c>
      <c r="AK20" s="13">
        <f t="shared" si="35"/>
        <v>7.7276032052466093</v>
      </c>
      <c r="AL20" s="20">
        <f t="shared" si="4"/>
        <v>55.800277543955367</v>
      </c>
      <c r="AM20" s="59">
        <f t="shared" si="5"/>
        <v>349.13361087728867</v>
      </c>
      <c r="AN20" s="59">
        <f ca="1">AVERAGE(OFFSET($AM$3,0,0,'Données projet'!$E$10+1,1))-AVERAGE(OFFSET($H$3,0,0,'Données projet'!$E$10+1,1))</f>
        <v>279.20364724206644</v>
      </c>
      <c r="AO20" s="59">
        <f t="shared" si="36"/>
        <v>173.99850582760712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7.9</v>
      </c>
      <c r="BD20" s="12">
        <f>IF('Données projet'!$A$88&gt;35,BD19+BC20-BL19,IF(A20&lt;'Données projet'!$A$88,$BA$205^A20,IF(A20='Données projet'!$A$88,'Données projet'!$B$88,BD19+BC20-BL19)))</f>
        <v>73.936437994095741</v>
      </c>
      <c r="BE20" s="13">
        <f>BD20*VLOOKUP('Données projet'!$B$11,Paramètres!$A$1:$I$89,3,0)*VLOOKUP('Données projet'!$B$11,Paramètres!$A$1:$I$89,5,0)</f>
        <v>34.602252981236802</v>
      </c>
      <c r="BF20" s="13">
        <f t="shared" si="37"/>
        <v>10.556129086190376</v>
      </c>
      <c r="BG20" s="20">
        <f t="shared" si="7"/>
        <v>78.650848767435647</v>
      </c>
      <c r="BH20" s="59">
        <f t="shared" si="8"/>
        <v>371.98418210076898</v>
      </c>
      <c r="BI20" s="59">
        <f ca="1">AVERAGE(OFFSET($BH$3,0,0,'Données projet'!$E$11+1,1))-AVERAGE(OFFSET($H$3,0,0,'Données projet'!$E$11+1,1))</f>
        <v>215.23235148064941</v>
      </c>
      <c r="BJ20" s="59">
        <f t="shared" si="38"/>
        <v>184.07239726900434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0</v>
      </c>
      <c r="BY20" s="12">
        <f>IF('Données projet'!$A$114&gt;35,BY19+BX20-CG19,IF(A20&lt;'Données projet'!$A$114,$BV$205^A20,IF(A20='Données projet'!$A$114,'Données projet'!$B$114,BY19+BX20-CG19)))</f>
        <v>0</v>
      </c>
      <c r="BZ20" s="13" t="e">
        <f>BY20*VLOOKUP('Données projet'!$B$12,Paramètres!$A$1:$I$89,3,0)*VLOOKUP('Données projet'!$B$12,Paramètres!$A$1:$I$89,5,0)</f>
        <v>#N/A</v>
      </c>
      <c r="CA20" s="13" t="e">
        <f t="shared" si="39"/>
        <v>#N/A</v>
      </c>
      <c r="CB20" s="20" t="e">
        <f t="shared" si="10"/>
        <v>#N/A</v>
      </c>
      <c r="CC20" s="59" t="e">
        <f t="shared" si="11"/>
        <v>#N/A</v>
      </c>
      <c r="CD20" s="59" t="e">
        <f ca="1">AVERAGE(OFFSET($CC$3,0,0,'Données projet'!$E$12+1,1))-AVERAGE(OFFSET($H$3,0,0,'Données projet'!$E$12+1,1))</f>
        <v>#N/A</v>
      </c>
      <c r="CE20" s="59" t="e">
        <f t="shared" si="40"/>
        <v>#N/A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 t="e">
        <f>EXP(-LN(2)/35)*CK19+(1-EXP(-LN(2)/35))/(LN(2)/35)*CG20*CH20*VLOOKUP('Données projet'!$B$12,Paramètres!$A$1:$I$89,3,0)*0.475*44/12</f>
        <v>#N/A</v>
      </c>
      <c r="CL20" s="21" t="e">
        <f>EXP(-LN(2)/25)*CL19+(1-EXP(-LN(2)/25))/(LN(2)/25)*Calculateur!CG20*Calculateur!CI20*VLOOKUP('Données projet'!$B$12,Paramètres!$A$1:$I$89,3,0)*0.475*44/12</f>
        <v>#N/A</v>
      </c>
      <c r="CM20" s="21" t="e">
        <f>EXP(-LN(2)/2)*CM19+(1-EXP(-LN(2)/2))/(LN(2)/2)*CG20*CJ20*VLOOKUP('Données projet'!$B$12,Paramètres!$A$1:$I$89,3,0)*0.475*44/12</f>
        <v>#N/A</v>
      </c>
      <c r="CN20" s="22" t="e">
        <f t="shared" si="12"/>
        <v>#N/A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25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16.005600000000005</v>
      </c>
      <c r="D21" s="11">
        <f t="shared" si="32"/>
        <v>5.3412974993444182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10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164.78306841599206</v>
      </c>
      <c r="H21" s="67">
        <f t="shared" si="1"/>
        <v>330.51251314469152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15.2</v>
      </c>
      <c r="N21" s="13">
        <f>IF('Données projet'!$A$36&gt;35,N20+M21-V20,IF(A21&lt;'Données projet'!$A$36,$K$205^A21,IF(A21='Données projet'!$A$36,'Données projet'!$B$36,N20+M21-V20)))</f>
        <v>97.600000000000009</v>
      </c>
      <c r="O21" s="13">
        <f>N21*VLOOKUP('Données projet'!$B$9,Paramètres!$A$1:$I$89,3,0)*VLOOKUP('Données projet'!$B$9,Paramètres!$A$1:$I$89,5,0)</f>
        <v>54.558400000000006</v>
      </c>
      <c r="P21" s="13">
        <f t="shared" si="33"/>
        <v>15.784942245100703</v>
      </c>
      <c r="Q21" s="20">
        <f t="shared" si="2"/>
        <v>122.51465441021708</v>
      </c>
      <c r="R21" s="59">
        <f t="shared" si="0"/>
        <v>415.84798774355039</v>
      </c>
      <c r="S21" s="59">
        <f ca="1">AVERAGE(OFFSET($R$3,0,0,'Données projet'!$E$9+1,1))-AVERAGE(OFFSET($H$3,0,0,'Données projet'!$E$9+1,1))</f>
        <v>279.98352834501759</v>
      </c>
      <c r="T21" s="59">
        <f t="shared" si="34"/>
        <v>281.30062655265488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2.1</v>
      </c>
      <c r="AI21" s="13">
        <f>IF('Données projet'!$A$62&gt;35,AI20+AH21-AQ20,IF(A21&lt;'Données projet'!$A$62,$AF$205^A21,IF(A21='Données projet'!$A$62,'Données projet'!$B$62,AI20+AH21-AQ20)))</f>
        <v>28.901764726506816</v>
      </c>
      <c r="AJ21" s="13">
        <f>AI21*VLOOKUP('Données projet'!$B$10,Paramètres!$A$1:$I$89,3,0)*VLOOKUP('Données projet'!$B$10,Paramètres!$A$1:$I$89,5,0)</f>
        <v>29.306389432677911</v>
      </c>
      <c r="AK21" s="13">
        <f t="shared" si="35"/>
        <v>9.1150691477493808</v>
      </c>
      <c r="AL21" s="20">
        <f t="shared" si="4"/>
        <v>66.917373694244205</v>
      </c>
      <c r="AM21" s="59">
        <f t="shared" si="5"/>
        <v>360.2507070275775</v>
      </c>
      <c r="AN21" s="59">
        <f ca="1">AVERAGE(OFFSET($AM$3,0,0,'Données projet'!$E$10+1,1))-AVERAGE(OFFSET($H$3,0,0,'Données projet'!$E$10+1,1))</f>
        <v>279.20364724206644</v>
      </c>
      <c r="AO21" s="59">
        <f t="shared" si="36"/>
        <v>173.99850582760712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7.9</v>
      </c>
      <c r="BD21" s="12">
        <f>IF('Données projet'!$A$88&gt;35,BD20+BC21-BL20,IF(A21&lt;'Données projet'!$A$88,$BA$205^A21,IF(A21='Données projet'!$A$88,'Données projet'!$B$88,BD20+BC21-BL20)))</f>
        <v>95.233857990035276</v>
      </c>
      <c r="BE21" s="13">
        <f>BD21*VLOOKUP('Données projet'!$B$11,Paramètres!$A$1:$I$89,3,0)*VLOOKUP('Données projet'!$B$11,Paramètres!$A$1:$I$89,5,0)</f>
        <v>44.569445539336513</v>
      </c>
      <c r="BF21" s="13">
        <f t="shared" si="37"/>
        <v>13.202049673437019</v>
      </c>
      <c r="BG21" s="20">
        <f t="shared" si="7"/>
        <v>100.61868749558056</v>
      </c>
      <c r="BH21" s="59">
        <f t="shared" si="8"/>
        <v>393.95202082891387</v>
      </c>
      <c r="BI21" s="59">
        <f ca="1">AVERAGE(OFFSET($BH$3,0,0,'Données projet'!$E$11+1,1))-AVERAGE(OFFSET($H$3,0,0,'Données projet'!$E$11+1,1))</f>
        <v>215.23235148064941</v>
      </c>
      <c r="BJ21" s="59">
        <f t="shared" si="38"/>
        <v>184.07239726900434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0</v>
      </c>
      <c r="BY21" s="12">
        <f>IF('Données projet'!$A$114&gt;35,BY20+BX21-CG20,IF(A21&lt;'Données projet'!$A$114,$BV$205^A21,IF(A21='Données projet'!$A$114,'Données projet'!$B$114,BY20+BX21-CG20)))</f>
        <v>0</v>
      </c>
      <c r="BZ21" s="13" t="e">
        <f>BY21*VLOOKUP('Données projet'!$B$12,Paramètres!$A$1:$I$89,3,0)*VLOOKUP('Données projet'!$B$12,Paramètres!$A$1:$I$89,5,0)</f>
        <v>#N/A</v>
      </c>
      <c r="CA21" s="13" t="e">
        <f t="shared" si="39"/>
        <v>#N/A</v>
      </c>
      <c r="CB21" s="20" t="e">
        <f t="shared" si="10"/>
        <v>#N/A</v>
      </c>
      <c r="CC21" s="59" t="e">
        <f t="shared" si="11"/>
        <v>#N/A</v>
      </c>
      <c r="CD21" s="59" t="e">
        <f ca="1">AVERAGE(OFFSET($CC$3,0,0,'Données projet'!$E$12+1,1))-AVERAGE(OFFSET($H$3,0,0,'Données projet'!$E$12+1,1))</f>
        <v>#N/A</v>
      </c>
      <c r="CE21" s="59" t="e">
        <f t="shared" si="40"/>
        <v>#N/A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 t="e">
        <f>EXP(-LN(2)/35)*CK20+(1-EXP(-LN(2)/35))/(LN(2)/35)*CG21*CH21*VLOOKUP('Données projet'!$B$12,Paramètres!$A$1:$I$89,3,0)*0.475*44/12</f>
        <v>#N/A</v>
      </c>
      <c r="CL21" s="21" t="e">
        <f>EXP(-LN(2)/25)*CL20+(1-EXP(-LN(2)/25))/(LN(2)/25)*Calculateur!CG21*Calculateur!CI21*VLOOKUP('Données projet'!$B$12,Paramètres!$A$1:$I$89,3,0)*0.475*44/12</f>
        <v>#N/A</v>
      </c>
      <c r="CM21" s="21" t="e">
        <f>EXP(-LN(2)/2)*CM20+(1-EXP(-LN(2)/2))/(LN(2)/2)*CG21*CJ21*VLOOKUP('Données projet'!$B$12,Paramètres!$A$1:$I$89,3,0)*0.475*44/12</f>
        <v>#N/A</v>
      </c>
      <c r="CN21" s="22" t="e">
        <f t="shared" si="12"/>
        <v>#N/A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25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16.894800000000004</v>
      </c>
      <c r="D22" s="11">
        <f t="shared" si="32"/>
        <v>5.6026651130643481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10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173.66464297804058</v>
      </c>
      <c r="H22" s="67">
        <f t="shared" si="1"/>
        <v>332.51641840525372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15.2</v>
      </c>
      <c r="N22" s="13">
        <f>IF('Données projet'!$A$36&gt;35,N21+M22-V21,IF(A22&lt;'Données projet'!$A$36,$K$205^A22,IF(A22='Données projet'!$A$36,'Données projet'!$B$36,N21+M22-V21)))</f>
        <v>112.80000000000001</v>
      </c>
      <c r="O22" s="13">
        <f>N22*VLOOKUP('Données projet'!$B$9,Paramètres!$A$1:$I$89,3,0)*VLOOKUP('Données projet'!$B$9,Paramètres!$A$1:$I$89,5,0)</f>
        <v>63.055200000000006</v>
      </c>
      <c r="P22" s="13">
        <f t="shared" si="33"/>
        <v>17.938472483677149</v>
      </c>
      <c r="Q22" s="20">
        <f t="shared" si="2"/>
        <v>141.0639795757377</v>
      </c>
      <c r="R22" s="59">
        <f t="shared" si="0"/>
        <v>434.39731290907105</v>
      </c>
      <c r="S22" s="59">
        <f ca="1">AVERAGE(OFFSET($R$3,0,0,'Données projet'!$E$9+1,1))-AVERAGE(OFFSET($H$3,0,0,'Données projet'!$E$9+1,1))</f>
        <v>279.98352834501759</v>
      </c>
      <c r="T22" s="59">
        <f t="shared" si="34"/>
        <v>281.30062655265488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2.1</v>
      </c>
      <c r="AI22" s="13">
        <f>IF('Données projet'!$A$62&gt;35,AI21+AH22-AQ21,IF(A22&lt;'Données projet'!$A$62,$AF$205^A22,IF(A22='Données projet'!$A$62,'Données projet'!$B$62,AI21+AH22-AQ21)))</f>
        <v>34.840696297767764</v>
      </c>
      <c r="AJ22" s="13">
        <f>AI22*VLOOKUP('Données projet'!$B$10,Paramètres!$A$1:$I$89,3,0)*VLOOKUP('Données projet'!$B$10,Paramètres!$A$1:$I$89,5,0)</f>
        <v>35.328466045936516</v>
      </c>
      <c r="AK22" s="13">
        <f t="shared" si="35"/>
        <v>10.751650073316766</v>
      </c>
      <c r="AL22" s="20">
        <f t="shared" si="4"/>
        <v>80.256202241032796</v>
      </c>
      <c r="AM22" s="59">
        <f t="shared" si="5"/>
        <v>373.5895355743661</v>
      </c>
      <c r="AN22" s="59">
        <f ca="1">AVERAGE(OFFSET($AM$3,0,0,'Données projet'!$E$10+1,1))-AVERAGE(OFFSET($H$3,0,0,'Données projet'!$E$10+1,1))</f>
        <v>279.20364724206644</v>
      </c>
      <c r="AO22" s="59">
        <f t="shared" si="36"/>
        <v>173.99850582760712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7.9</v>
      </c>
      <c r="BD22" s="12">
        <f>IF('Données projet'!$A$88&gt;35,BD21+BC22-BL21,IF(A22&lt;'Données projet'!$A$88,$BA$205^A22,IF(A22='Données projet'!$A$88,'Données projet'!$B$88,BD21+BC22-BL21)))</f>
        <v>122.66600817840934</v>
      </c>
      <c r="BE22" s="13">
        <f>BD22*VLOOKUP('Données projet'!$B$11,Paramètres!$A$1:$I$89,3,0)*VLOOKUP('Données projet'!$B$11,Paramètres!$A$1:$I$89,5,0)</f>
        <v>57.407691827495569</v>
      </c>
      <c r="BF22" s="13">
        <f t="shared" si="37"/>
        <v>16.511176981334152</v>
      </c>
      <c r="BG22" s="20">
        <f t="shared" si="7"/>
        <v>128.7420298420451</v>
      </c>
      <c r="BH22" s="59">
        <f t="shared" si="8"/>
        <v>422.07536317537841</v>
      </c>
      <c r="BI22" s="59">
        <f ca="1">AVERAGE(OFFSET($BH$3,0,0,'Données projet'!$E$11+1,1))-AVERAGE(OFFSET($H$3,0,0,'Données projet'!$E$11+1,1))</f>
        <v>215.23235148064941</v>
      </c>
      <c r="BJ22" s="59">
        <f t="shared" si="38"/>
        <v>184.07239726900434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0</v>
      </c>
      <c r="BY22" s="12">
        <f>IF('Données projet'!$A$114&gt;35,BY21+BX22-CG21,IF(A22&lt;'Données projet'!$A$114,$BV$205^A22,IF(A22='Données projet'!$A$114,'Données projet'!$B$114,BY21+BX22-CG21)))</f>
        <v>0</v>
      </c>
      <c r="BZ22" s="13" t="e">
        <f>BY22*VLOOKUP('Données projet'!$B$12,Paramètres!$A$1:$I$89,3,0)*VLOOKUP('Données projet'!$B$12,Paramètres!$A$1:$I$89,5,0)</f>
        <v>#N/A</v>
      </c>
      <c r="CA22" s="13" t="e">
        <f t="shared" si="39"/>
        <v>#N/A</v>
      </c>
      <c r="CB22" s="20" t="e">
        <f t="shared" si="10"/>
        <v>#N/A</v>
      </c>
      <c r="CC22" s="59" t="e">
        <f t="shared" si="11"/>
        <v>#N/A</v>
      </c>
      <c r="CD22" s="59" t="e">
        <f ca="1">AVERAGE(OFFSET($CC$3,0,0,'Données projet'!$E$12+1,1))-AVERAGE(OFFSET($H$3,0,0,'Données projet'!$E$12+1,1))</f>
        <v>#N/A</v>
      </c>
      <c r="CE22" s="59" t="e">
        <f t="shared" si="40"/>
        <v>#N/A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 t="e">
        <f>EXP(-LN(2)/35)*CK21+(1-EXP(-LN(2)/35))/(LN(2)/35)*CG22*CH22*VLOOKUP('Données projet'!$B$12,Paramètres!$A$1:$I$89,3,0)*0.475*44/12</f>
        <v>#N/A</v>
      </c>
      <c r="CL22" s="21" t="e">
        <f>EXP(-LN(2)/25)*CL21+(1-EXP(-LN(2)/25))/(LN(2)/25)*Calculateur!CG22*Calculateur!CI22*VLOOKUP('Données projet'!$B$12,Paramètres!$A$1:$I$89,3,0)*0.475*44/12</f>
        <v>#N/A</v>
      </c>
      <c r="CM22" s="21" t="e">
        <f>EXP(-LN(2)/2)*CM21+(1-EXP(-LN(2)/2))/(LN(2)/2)*CG22*CJ22*VLOOKUP('Données projet'!$B$12,Paramètres!$A$1:$I$89,3,0)*0.475*44/12</f>
        <v>#N/A</v>
      </c>
      <c r="CN22" s="22" t="e">
        <f t="shared" si="12"/>
        <v>#N/A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25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17.784000000000002</v>
      </c>
      <c r="D23" s="11">
        <f t="shared" si="32"/>
        <v>5.862435622634961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10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182.5338890168313</v>
      </c>
      <c r="H23" s="67">
        <f t="shared" si="1"/>
        <v>334.51754204275585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2">
        <f>VLOOKUP(A23,'Données projet'!$A$35:$I$55,2,0)</f>
        <v>128</v>
      </c>
      <c r="L23" s="12">
        <f>VLOOKUP(A23,'Données projet'!$A$35:$I$55,9,0)</f>
        <v>15.2</v>
      </c>
      <c r="M23" s="12">
        <f t="array" ref="M23">INDEX(L:L,MIN(IF(ISNUMBER(L23:L219),ROW(L23:L219),"")))</f>
        <v>15.2</v>
      </c>
      <c r="N23" s="13">
        <f>IF('Données projet'!$A$36&gt;35,N22+M23-V22,IF(A23&lt;'Données projet'!$A$36,$K$205^A23,IF(A23='Données projet'!$A$36,'Données projet'!$B$36,N22+M23-V22)))</f>
        <v>128</v>
      </c>
      <c r="O23" s="13">
        <f>N23*VLOOKUP('Données projet'!$B$9,Paramètres!$A$1:$I$89,3,0)*VLOOKUP('Données projet'!$B$9,Paramètres!$A$1:$I$89,5,0)</f>
        <v>71.552000000000007</v>
      </c>
      <c r="P23" s="13">
        <f t="shared" si="33"/>
        <v>20.058380594223774</v>
      </c>
      <c r="Q23" s="20">
        <f t="shared" si="2"/>
        <v>159.55474620160641</v>
      </c>
      <c r="R23" s="59">
        <f t="shared" si="0"/>
        <v>452.88807953493972</v>
      </c>
      <c r="S23" s="59">
        <f ca="1">AVERAGE(OFFSET($R$3,0,0,'Données projet'!$E$9+1,1))-AVERAGE(OFFSET($H$3,0,0,'Données projet'!$E$9+1,1))</f>
        <v>279.98352834501759</v>
      </c>
      <c r="T23" s="59">
        <f t="shared" si="34"/>
        <v>281.30062655265488</v>
      </c>
      <c r="U23" s="15">
        <f>IF(ISNA(VLOOKUP(A23,'Données projet'!$A$35:$I$55,3,0)),0,VLOOKUP(A23,'Données projet'!$A$35:$I$55,3,0))</f>
        <v>1</v>
      </c>
      <c r="V23" s="15">
        <f>IF(ISNA(VLOOKUP(A23,'Données projet'!$A$35:$I$55,4,0)),0,VLOOKUP(A23,'Données projet'!$A$35:$I$55,4,0))</f>
        <v>41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0.27500000000000002</v>
      </c>
      <c r="Y23" s="16">
        <f>IF(ISNA(VLOOKUP(A23,'Données projet'!$A$35:$I$55,7,0)),0%,VLOOKUP(A23,'Données projet'!$A$35:$I$55,7,0))</f>
        <v>0.5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8.3280506289711571</v>
      </c>
      <c r="AB23" s="21">
        <f>EXP(-LN(2)/2)*AB22+(1-EXP(-LN(2)/2))/(LN(2)/2)*V23*Y23*VLOOKUP('Données projet'!$B$9,Paramètres!$A$1:$I$89,3,0)*0.475*44/12</f>
        <v>12.974816013504537</v>
      </c>
      <c r="AC23" s="22">
        <f t="shared" si="3"/>
        <v>21.302866642475692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2">
        <f>VLOOKUP(A23,'Données projet'!$A$61:$I$81,2,0)</f>
        <v>42</v>
      </c>
      <c r="AG23" s="12">
        <f>VLOOKUP(A23,'Données projet'!$A$61:$I$81,9,0)</f>
        <v>2.1</v>
      </c>
      <c r="AH23" s="12">
        <f t="array" ref="AH23">INDEX(AG:AG,MIN(IF(ISNUMBER(AG23:AG219),ROW(AG23:AG219),"")))</f>
        <v>2.1</v>
      </c>
      <c r="AI23" s="13">
        <f>IF('Données projet'!$A$62&gt;35,AI22+AH23-AQ22,IF(A23&lt;'Données projet'!$A$62,$AF$205^A23,IF(A23='Données projet'!$A$62,'Données projet'!$B$62,AI22+AH23-AQ22)))</f>
        <v>42</v>
      </c>
      <c r="AJ23" s="13">
        <f>AI23*VLOOKUP('Données projet'!$B$10,Paramètres!$A$1:$I$89,3,0)*VLOOKUP('Données projet'!$B$10,Paramètres!$A$1:$I$89,5,0)</f>
        <v>42.588000000000001</v>
      </c>
      <c r="AK23" s="13">
        <f t="shared" si="35"/>
        <v>12.682073764365764</v>
      </c>
      <c r="AL23" s="20">
        <f t="shared" si="4"/>
        <v>96.262045139603686</v>
      </c>
      <c r="AM23" s="59">
        <f t="shared" si="5"/>
        <v>389.595378472937</v>
      </c>
      <c r="AN23" s="59">
        <f ca="1">AVERAGE(OFFSET($AM$3,0,0,'Données projet'!$E$10+1,1))-AVERAGE(OFFSET($H$3,0,0,'Données projet'!$E$10+1,1))</f>
        <v>279.20364724206644</v>
      </c>
      <c r="AO23" s="59">
        <f t="shared" si="36"/>
        <v>173.99850582760712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2">
        <f>VLOOKUP(A23,'Données projet'!$A$87:$I$107,2,0)</f>
        <v>158</v>
      </c>
      <c r="BB23" s="12">
        <f>VLOOKUP(A23,'Données projet'!$A$87:$I$107,9,0)</f>
        <v>7.9</v>
      </c>
      <c r="BC23" s="12">
        <f t="array" ref="BC23">INDEX(BB:BB,MIN(IF(ISNUMBER(BB23:BB219),ROW(BB23:BB219),"")))</f>
        <v>7.9</v>
      </c>
      <c r="BD23" s="12">
        <f>IF('Données projet'!$A$88&gt;35,BD22+BC23-BL22,IF(A23&lt;'Données projet'!$A$88,$BA$205^A23,IF(A23='Données projet'!$A$88,'Données projet'!$B$88,BD22+BC23-BL22)))</f>
        <v>158</v>
      </c>
      <c r="BE23" s="13">
        <f>BD23*VLOOKUP('Données projet'!$B$11,Paramètres!$A$1:$I$89,3,0)*VLOOKUP('Données projet'!$B$11,Paramètres!$A$1:$I$89,5,0)</f>
        <v>73.944000000000003</v>
      </c>
      <c r="BF23" s="13">
        <f t="shared" si="37"/>
        <v>20.649745460165708</v>
      </c>
      <c r="BG23" s="20">
        <f t="shared" si="7"/>
        <v>164.75077334312192</v>
      </c>
      <c r="BH23" s="59">
        <f t="shared" si="8"/>
        <v>458.08410667645524</v>
      </c>
      <c r="BI23" s="59">
        <f ca="1">AVERAGE(OFFSET($BH$3,0,0,'Données projet'!$E$11+1,1))-AVERAGE(OFFSET($H$3,0,0,'Données projet'!$E$11+1,1))</f>
        <v>215.23235148064941</v>
      </c>
      <c r="BJ23" s="59">
        <f t="shared" si="38"/>
        <v>184.07239726900434</v>
      </c>
      <c r="BK23" s="15">
        <f>IF(ISNA(VLOOKUP(A23,'Données projet'!$A$87:$I$107,3,0)),0,VLOOKUP(A23,'Données projet'!$A$87:$I$107,3,0))</f>
        <v>1</v>
      </c>
      <c r="BL23" s="15">
        <f>IF(ISNA(VLOOKUP(A23,'Données projet'!$A$87:$I$107,4,0)),0,VLOOKUP(A23,'Données projet'!$A$87:$I$107,4,0))</f>
        <v>12.5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0.27500000000000002</v>
      </c>
      <c r="BO23" s="16">
        <f>IF(ISNA(VLOOKUP(A23,'Données projet'!$A$87:$I$107,7,0)),0%,VLOOKUP(A23,'Données projet'!$A$87:$I$107,7,0))</f>
        <v>0.5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2.1257077612234943</v>
      </c>
      <c r="BR23" s="21">
        <f>EXP(-LN(2)/2)*BR22+(1-EXP(-LN(2)/2))/(LN(2)/2)*BL23*BO23*VLOOKUP('Données projet'!$B$11,Paramètres!$A$1:$I$89,3,0)*0.475*44/12</f>
        <v>3.3117794702649124</v>
      </c>
      <c r="BS23" s="22">
        <f t="shared" si="9"/>
        <v>5.4374872314884062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0</v>
      </c>
      <c r="BY23" s="12">
        <f>IF('Données projet'!$A$114&gt;35,BY22+BX23-CG22,IF(A23&lt;'Données projet'!$A$114,$BV$205^A23,IF(A23='Données projet'!$A$114,'Données projet'!$B$114,BY22+BX23-CG22)))</f>
        <v>0</v>
      </c>
      <c r="BZ23" s="13" t="e">
        <f>BY23*VLOOKUP('Données projet'!$B$12,Paramètres!$A$1:$I$89,3,0)*VLOOKUP('Données projet'!$B$12,Paramètres!$A$1:$I$89,5,0)</f>
        <v>#N/A</v>
      </c>
      <c r="CA23" s="13" t="e">
        <f t="shared" si="39"/>
        <v>#N/A</v>
      </c>
      <c r="CB23" s="20" t="e">
        <f t="shared" si="10"/>
        <v>#N/A</v>
      </c>
      <c r="CC23" s="59" t="e">
        <f t="shared" si="11"/>
        <v>#N/A</v>
      </c>
      <c r="CD23" s="59" t="e">
        <f ca="1">AVERAGE(OFFSET($CC$3,0,0,'Données projet'!$E$12+1,1))-AVERAGE(OFFSET($H$3,0,0,'Données projet'!$E$12+1,1))</f>
        <v>#N/A</v>
      </c>
      <c r="CE23" s="59" t="e">
        <f t="shared" si="40"/>
        <v>#N/A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 t="e">
        <f>EXP(-LN(2)/35)*CK22+(1-EXP(-LN(2)/35))/(LN(2)/35)*CG23*CH23*VLOOKUP('Données projet'!$B$12,Paramètres!$A$1:$I$89,3,0)*0.475*44/12</f>
        <v>#N/A</v>
      </c>
      <c r="CL23" s="21" t="e">
        <f>EXP(-LN(2)/25)*CL22+(1-EXP(-LN(2)/25))/(LN(2)/25)*Calculateur!CG23*Calculateur!CI23*VLOOKUP('Données projet'!$B$12,Paramètres!$A$1:$I$89,3,0)*0.475*44/12</f>
        <v>#N/A</v>
      </c>
      <c r="CM23" s="21" t="e">
        <f>EXP(-LN(2)/2)*CM22+(1-EXP(-LN(2)/2))/(LN(2)/2)*CG23*CJ23*VLOOKUP('Données projet'!$B$12,Paramètres!$A$1:$I$89,3,0)*0.475*44/12</f>
        <v>#N/A</v>
      </c>
      <c r="CN23" s="22" t="e">
        <f t="shared" si="12"/>
        <v>#N/A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25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18.673200000000001</v>
      </c>
      <c r="D24" s="11">
        <f t="shared" si="32"/>
        <v>6.1206979954107776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10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191.3914932979078</v>
      </c>
      <c r="H24" s="67">
        <f t="shared" si="1"/>
        <v>336.51603900867377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19.3</v>
      </c>
      <c r="N24" s="13">
        <f>IF('Données projet'!$A$36&gt;35,N23+M24-V23,IF(A24&lt;'Données projet'!$A$36,$K$205^A24,IF(A24='Données projet'!$A$36,'Données projet'!$B$36,N23+M24-V23)))</f>
        <v>106.30000000000001</v>
      </c>
      <c r="O24" s="13">
        <f>N24*VLOOKUP('Données projet'!$B$9,Paramètres!$A$1:$I$89,3,0)*VLOOKUP('Données projet'!$B$9,Paramètres!$A$1:$I$89,5,0)</f>
        <v>59.421700000000008</v>
      </c>
      <c r="P24" s="13">
        <f t="shared" si="33"/>
        <v>17.021974314670206</v>
      </c>
      <c r="Q24" s="20">
        <f t="shared" si="2"/>
        <v>133.13939943138396</v>
      </c>
      <c r="R24" s="59">
        <f t="shared" si="0"/>
        <v>426.47273276471731</v>
      </c>
      <c r="S24" s="59">
        <f ca="1">AVERAGE(OFFSET($R$3,0,0,'Données projet'!$E$9+1,1))-AVERAGE(OFFSET($H$3,0,0,'Données projet'!$E$9+1,1))</f>
        <v>279.98352834501759</v>
      </c>
      <c r="T24" s="59">
        <f t="shared" si="34"/>
        <v>281.30062655265488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8.1003196465687921</v>
      </c>
      <c r="AB24" s="21">
        <f>EXP(-LN(2)/2)*AB23+(1-EXP(-LN(2)/2))/(LN(2)/2)*V24*Y24*VLOOKUP('Données projet'!$B$9,Paramètres!$A$1:$I$89,3,0)*0.475*44/12</f>
        <v>9.1745803877968655</v>
      </c>
      <c r="AC24" s="22">
        <f t="shared" si="3"/>
        <v>17.274900034365658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6.3</v>
      </c>
      <c r="AI24" s="13">
        <f>IF('Données projet'!$A$62&gt;35,AI23+AH24-AQ23,IF(A24&lt;'Données projet'!$A$62,$AF$205^A24,IF(A24='Données projet'!$A$62,'Données projet'!$B$62,AI23+AH24-AQ23)))</f>
        <v>48.3</v>
      </c>
      <c r="AJ24" s="13">
        <f>AI24*VLOOKUP('Données projet'!$B$10,Paramètres!$A$1:$I$89,3,0)*VLOOKUP('Données projet'!$B$10,Paramètres!$A$1:$I$89,5,0)</f>
        <v>48.976199999999999</v>
      </c>
      <c r="AK24" s="13">
        <f t="shared" si="35"/>
        <v>14.349041334347479</v>
      </c>
      <c r="AL24" s="20">
        <f t="shared" si="4"/>
        <v>110.29146199065519</v>
      </c>
      <c r="AM24" s="59">
        <f t="shared" si="5"/>
        <v>403.62479532398851</v>
      </c>
      <c r="AN24" s="59">
        <f ca="1">AVERAGE(OFFSET($AM$3,0,0,'Données projet'!$E$10+1,1))-AVERAGE(OFFSET($H$3,0,0,'Données projet'!$E$10+1,1))</f>
        <v>279.20364724206644</v>
      </c>
      <c r="AO24" s="59">
        <f t="shared" si="36"/>
        <v>173.99850582760712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9.1999999999999993</v>
      </c>
      <c r="BD24" s="12">
        <f>IF('Données projet'!$A$88&gt;35,BD23+BC24-BL23,IF(A24&lt;'Données projet'!$A$88,$BA$205^A24,IF(A24='Données projet'!$A$88,'Données projet'!$B$88,BD23+BC24-BL23)))</f>
        <v>154.69999999999999</v>
      </c>
      <c r="BE24" s="13">
        <f>BD24*VLOOKUP('Données projet'!$B$11,Paramètres!$A$1:$I$89,3,0)*VLOOKUP('Données projet'!$B$11,Paramètres!$A$1:$I$89,5,0)</f>
        <v>72.399599999999992</v>
      </c>
      <c r="BF24" s="13">
        <f t="shared" si="37"/>
        <v>20.268188832715463</v>
      </c>
      <c r="BG24" s="20">
        <f t="shared" si="7"/>
        <v>161.3963988836461</v>
      </c>
      <c r="BH24" s="59">
        <f t="shared" si="8"/>
        <v>454.72973221697941</v>
      </c>
      <c r="BI24" s="59">
        <f ca="1">AVERAGE(OFFSET($BH$3,0,0,'Données projet'!$E$11+1,1))-AVERAGE(OFFSET($H$3,0,0,'Données projet'!$E$11+1,1))</f>
        <v>215.23235148064941</v>
      </c>
      <c r="BJ24" s="59">
        <f t="shared" si="38"/>
        <v>184.07239726900434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2.0675801707067252</v>
      </c>
      <c r="BR24" s="21">
        <f>EXP(-LN(2)/2)*BR23+(1-EXP(-LN(2)/2))/(LN(2)/2)*BL24*BO24*VLOOKUP('Données projet'!$B$11,Paramètres!$A$1:$I$89,3,0)*0.475*44/12</f>
        <v>2.341781721218712</v>
      </c>
      <c r="BS24" s="22">
        <f t="shared" si="9"/>
        <v>4.4093618919254371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</v>
      </c>
      <c r="BY24" s="12">
        <f>IF('Données projet'!$A$114&gt;35,BY23+BX24-CG23,IF(A24&lt;'Données projet'!$A$114,$BV$205^A24,IF(A24='Données projet'!$A$114,'Données projet'!$B$114,BY23+BX24-CG23)))</f>
        <v>0</v>
      </c>
      <c r="BZ24" s="13" t="e">
        <f>BY24*VLOOKUP('Données projet'!$B$12,Paramètres!$A$1:$I$89,3,0)*VLOOKUP('Données projet'!$B$12,Paramètres!$A$1:$I$89,5,0)</f>
        <v>#N/A</v>
      </c>
      <c r="CA24" s="13" t="e">
        <f t="shared" si="39"/>
        <v>#N/A</v>
      </c>
      <c r="CB24" s="20" t="e">
        <f t="shared" si="10"/>
        <v>#N/A</v>
      </c>
      <c r="CC24" s="59" t="e">
        <f t="shared" si="11"/>
        <v>#N/A</v>
      </c>
      <c r="CD24" s="59" t="e">
        <f ca="1">AVERAGE(OFFSET($CC$3,0,0,'Données projet'!$E$12+1,1))-AVERAGE(OFFSET($H$3,0,0,'Données projet'!$E$12+1,1))</f>
        <v>#N/A</v>
      </c>
      <c r="CE24" s="59" t="e">
        <f t="shared" si="40"/>
        <v>#N/A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 t="e">
        <f>EXP(-LN(2)/35)*CK23+(1-EXP(-LN(2)/35))/(LN(2)/35)*CG24*CH24*VLOOKUP('Données projet'!$B$12,Paramètres!$A$1:$I$89,3,0)*0.475*44/12</f>
        <v>#N/A</v>
      </c>
      <c r="CL24" s="21" t="e">
        <f>EXP(-LN(2)/25)*CL23+(1-EXP(-LN(2)/25))/(LN(2)/25)*Calculateur!CG24*Calculateur!CI24*VLOOKUP('Données projet'!$B$12,Paramètres!$A$1:$I$89,3,0)*0.475*44/12</f>
        <v>#N/A</v>
      </c>
      <c r="CM24" s="21" t="e">
        <f>EXP(-LN(2)/2)*CM23+(1-EXP(-LN(2)/2))/(LN(2)/2)*CG24*CJ24*VLOOKUP('Données projet'!$B$12,Paramètres!$A$1:$I$89,3,0)*0.475*44/12</f>
        <v>#N/A</v>
      </c>
      <c r="CN24" s="22" t="e">
        <f t="shared" si="12"/>
        <v>#N/A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25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19.5624</v>
      </c>
      <c r="D25" s="11">
        <f t="shared" si="32"/>
        <v>6.3775322468881095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10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200.23807348475032</v>
      </c>
      <c r="H25" s="67">
        <f t="shared" si="1"/>
        <v>338.51204866333012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19.3</v>
      </c>
      <c r="N25" s="13">
        <f>IF('Données projet'!$A$36&gt;35,N24+M25-V24,IF(A25&lt;'Données projet'!$A$36,$K$205^A25,IF(A25='Données projet'!$A$36,'Données projet'!$B$36,N24+M25-V24)))</f>
        <v>125.60000000000001</v>
      </c>
      <c r="O25" s="13">
        <f>N25*VLOOKUP('Données projet'!$B$9,Paramètres!$A$1:$I$89,3,0)*VLOOKUP('Données projet'!$B$9,Paramètres!$A$1:$I$89,5,0)</f>
        <v>70.210400000000007</v>
      </c>
      <c r="P25" s="13">
        <f t="shared" si="33"/>
        <v>19.725698176833735</v>
      </c>
      <c r="Q25" s="20">
        <f t="shared" si="2"/>
        <v>156.63870432465208</v>
      </c>
      <c r="R25" s="59">
        <f t="shared" si="0"/>
        <v>449.97203765798542</v>
      </c>
      <c r="S25" s="59">
        <f ca="1">AVERAGE(OFFSET($R$3,0,0,'Données projet'!$E$9+1,1))-AVERAGE(OFFSET($H$3,0,0,'Données projet'!$E$9+1,1))</f>
        <v>279.98352834501759</v>
      </c>
      <c r="T25" s="59">
        <f t="shared" si="34"/>
        <v>281.30062655265488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7.8788159798560722</v>
      </c>
      <c r="AB25" s="21">
        <f>EXP(-LN(2)/2)*AB24+(1-EXP(-LN(2)/2))/(LN(2)/2)*V25*Y25*VLOOKUP('Données projet'!$B$9,Paramètres!$A$1:$I$89,3,0)*0.475*44/12</f>
        <v>6.4874080067522693</v>
      </c>
      <c r="AC25" s="22">
        <f t="shared" si="3"/>
        <v>14.366223986608341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6.3</v>
      </c>
      <c r="AI25" s="13">
        <f>IF('Données projet'!$A$62&gt;35,AI24+AH25-AQ24,IF(A25&lt;'Données projet'!$A$62,$AF$205^A25,IF(A25='Données projet'!$A$62,'Données projet'!$B$62,AI24+AH25-AQ24)))</f>
        <v>54.599999999999994</v>
      </c>
      <c r="AJ25" s="13">
        <f>AI25*VLOOKUP('Données projet'!$B$10,Paramètres!$A$1:$I$89,3,0)*VLOOKUP('Données projet'!$B$10,Paramètres!$A$1:$I$89,5,0)</f>
        <v>55.364399999999996</v>
      </c>
      <c r="AK25" s="13">
        <f t="shared" si="35"/>
        <v>15.990815813983085</v>
      </c>
      <c r="AL25" s="20">
        <f t="shared" si="4"/>
        <v>124.27700087602052</v>
      </c>
      <c r="AM25" s="59">
        <f t="shared" si="5"/>
        <v>417.61033420935382</v>
      </c>
      <c r="AN25" s="59">
        <f ca="1">AVERAGE(OFFSET($AM$3,0,0,'Données projet'!$E$10+1,1))-AVERAGE(OFFSET($H$3,0,0,'Données projet'!$E$10+1,1))</f>
        <v>279.20364724206644</v>
      </c>
      <c r="AO25" s="59">
        <f t="shared" si="36"/>
        <v>173.99850582760712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0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9.1999999999999993</v>
      </c>
      <c r="BD25" s="12">
        <f>IF('Données projet'!$A$88&gt;35,BD24+BC25-BL24,IF(A25&lt;'Données projet'!$A$88,$BA$205^A25,IF(A25='Données projet'!$A$88,'Données projet'!$B$88,BD24+BC25-BL24)))</f>
        <v>163.89999999999998</v>
      </c>
      <c r="BE25" s="13">
        <f>BD25*VLOOKUP('Données projet'!$B$11,Paramètres!$A$1:$I$89,3,0)*VLOOKUP('Données projet'!$B$11,Paramètres!$A$1:$I$89,5,0)</f>
        <v>76.705199999999991</v>
      </c>
      <c r="BF25" s="13">
        <f t="shared" si="37"/>
        <v>21.32962715676695</v>
      </c>
      <c r="BG25" s="20">
        <f t="shared" si="7"/>
        <v>170.74399063136909</v>
      </c>
      <c r="BH25" s="59">
        <f t="shared" si="8"/>
        <v>464.07732396470237</v>
      </c>
      <c r="BI25" s="59">
        <f ca="1">AVERAGE(OFFSET($BH$3,0,0,'Données projet'!$E$11+1,1))-AVERAGE(OFFSET($H$3,0,0,'Données projet'!$E$11+1,1))</f>
        <v>215.23235148064941</v>
      </c>
      <c r="BJ25" s="59">
        <f t="shared" si="38"/>
        <v>184.07239726900434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2.0110420822094341</v>
      </c>
      <c r="BR25" s="21">
        <f>EXP(-LN(2)/2)*BR24+(1-EXP(-LN(2)/2))/(LN(2)/2)*BL25*BO25*VLOOKUP('Données projet'!$B$11,Paramètres!$A$1:$I$89,3,0)*0.475*44/12</f>
        <v>1.6558897351324564</v>
      </c>
      <c r="BS25" s="22">
        <f t="shared" si="9"/>
        <v>3.6669318173418906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</v>
      </c>
      <c r="BY25" s="12">
        <f>IF('Données projet'!$A$114&gt;35,BY24+BX25-CG24,IF(A25&lt;'Données projet'!$A$114,$BV$205^A25,IF(A25='Données projet'!$A$114,'Données projet'!$B$114,BY24+BX25-CG24)))</f>
        <v>0</v>
      </c>
      <c r="BZ25" s="13" t="e">
        <f>BY25*VLOOKUP('Données projet'!$B$12,Paramètres!$A$1:$I$89,3,0)*VLOOKUP('Données projet'!$B$12,Paramètres!$A$1:$I$89,5,0)</f>
        <v>#N/A</v>
      </c>
      <c r="CA25" s="13" t="e">
        <f t="shared" si="39"/>
        <v>#N/A</v>
      </c>
      <c r="CB25" s="20" t="e">
        <f t="shared" si="10"/>
        <v>#N/A</v>
      </c>
      <c r="CC25" s="59" t="e">
        <f t="shared" si="11"/>
        <v>#N/A</v>
      </c>
      <c r="CD25" s="59" t="e">
        <f ca="1">AVERAGE(OFFSET($CC$3,0,0,'Données projet'!$E$12+1,1))-AVERAGE(OFFSET($H$3,0,0,'Données projet'!$E$12+1,1))</f>
        <v>#N/A</v>
      </c>
      <c r="CE25" s="59" t="e">
        <f t="shared" si="40"/>
        <v>#N/A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 t="e">
        <f>EXP(-LN(2)/35)*CK24+(1-EXP(-LN(2)/35))/(LN(2)/35)*CG25*CH25*VLOOKUP('Données projet'!$B$12,Paramètres!$A$1:$I$89,3,0)*0.475*44/12</f>
        <v>#N/A</v>
      </c>
      <c r="CL25" s="21" t="e">
        <f>EXP(-LN(2)/25)*CL24+(1-EXP(-LN(2)/25))/(LN(2)/25)*Calculateur!CG25*Calculateur!CI25*VLOOKUP('Données projet'!$B$12,Paramètres!$A$1:$I$89,3,0)*0.475*44/12</f>
        <v>#N/A</v>
      </c>
      <c r="CM25" s="21" t="e">
        <f>EXP(-LN(2)/2)*CM24+(1-EXP(-LN(2)/2))/(LN(2)/2)*CG25*CJ25*VLOOKUP('Données projet'!$B$12,Paramètres!$A$1:$I$89,3,0)*0.475*44/12</f>
        <v>#N/A</v>
      </c>
      <c r="CN25" s="22" t="e">
        <f t="shared" si="12"/>
        <v>#N/A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25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20.451599999999999</v>
      </c>
      <c r="D26" s="11">
        <f t="shared" si="32"/>
        <v>6.6330107072474558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10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209.07418791559442</v>
      </c>
      <c r="H26" s="67">
        <f t="shared" si="1"/>
        <v>340.5056969817893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19.3</v>
      </c>
      <c r="N26" s="13">
        <f>IF('Données projet'!$A$36&gt;35,N25+M26-V25,IF(A26&lt;'Données projet'!$A$36,$K$205^A26,IF(A26='Données projet'!$A$36,'Données projet'!$B$36,N25+M26-V25)))</f>
        <v>144.9</v>
      </c>
      <c r="O26" s="13">
        <f>N26*VLOOKUP('Données projet'!$B$9,Paramètres!$A$1:$I$89,3,0)*VLOOKUP('Données projet'!$B$9,Paramètres!$A$1:$I$89,5,0)</f>
        <v>80.999099999999999</v>
      </c>
      <c r="P26" s="13">
        <f t="shared" si="33"/>
        <v>22.381292534971308</v>
      </c>
      <c r="Q26" s="20">
        <f t="shared" si="2"/>
        <v>180.05418366507502</v>
      </c>
      <c r="R26" s="59">
        <f t="shared" si="0"/>
        <v>473.38751699840833</v>
      </c>
      <c r="S26" s="59">
        <f ca="1">AVERAGE(OFFSET($R$3,0,0,'Données projet'!$E$9+1,1))-AVERAGE(OFFSET($H$3,0,0,'Données projet'!$E$9+1,1))</f>
        <v>279.98352834501759</v>
      </c>
      <c r="T26" s="59">
        <f t="shared" si="34"/>
        <v>281.30062655265488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7.6633693425579832</v>
      </c>
      <c r="AB26" s="21">
        <f>EXP(-LN(2)/2)*AB25+(1-EXP(-LN(2)/2))/(LN(2)/2)*V26*Y26*VLOOKUP('Données projet'!$B$9,Paramètres!$A$1:$I$89,3,0)*0.475*44/12</f>
        <v>4.5872901938984336</v>
      </c>
      <c r="AC26" s="22">
        <f t="shared" si="3"/>
        <v>12.250659536456418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6.3</v>
      </c>
      <c r="AI26" s="13">
        <f>IF('Données projet'!$A$62&gt;35,AI25+AH26-AQ25,IF(A26&lt;'Données projet'!$A$62,$AF$205^A26,IF(A26='Données projet'!$A$62,'Données projet'!$B$62,AI25+AH26-AQ25)))</f>
        <v>60.899999999999991</v>
      </c>
      <c r="AJ26" s="13">
        <f>AI26*VLOOKUP('Données projet'!$B$10,Paramètres!$A$1:$I$89,3,0)*VLOOKUP('Données projet'!$B$10,Paramètres!$A$1:$I$89,5,0)</f>
        <v>61.752599999999994</v>
      </c>
      <c r="AK26" s="13">
        <f t="shared" si="35"/>
        <v>17.610636043798049</v>
      </c>
      <c r="AL26" s="20">
        <f t="shared" si="4"/>
        <v>138.22430277628158</v>
      </c>
      <c r="AM26" s="59">
        <f t="shared" si="5"/>
        <v>431.55763610961492</v>
      </c>
      <c r="AN26" s="59">
        <f ca="1">AVERAGE(OFFSET($AM$3,0,0,'Données projet'!$E$10+1,1))-AVERAGE(OFFSET($H$3,0,0,'Données projet'!$E$10+1,1))</f>
        <v>279.20364724206644</v>
      </c>
      <c r="AO26" s="59">
        <f t="shared" si="36"/>
        <v>173.99850582760712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0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9.1999999999999993</v>
      </c>
      <c r="BD26" s="12">
        <f>IF('Données projet'!$A$88&gt;35,BD25+BC26-BL25,IF(A26&lt;'Données projet'!$A$88,$BA$205^A26,IF(A26='Données projet'!$A$88,'Données projet'!$B$88,BD25+BC26-BL25)))</f>
        <v>173.09999999999997</v>
      </c>
      <c r="BE26" s="13">
        <f>BD26*VLOOKUP('Données projet'!$B$11,Paramètres!$A$1:$I$89,3,0)*VLOOKUP('Données projet'!$B$11,Paramètres!$A$1:$I$89,5,0)</f>
        <v>81.010799999999989</v>
      </c>
      <c r="BF26" s="13">
        <f t="shared" si="37"/>
        <v>22.384149091932141</v>
      </c>
      <c r="BG26" s="20">
        <f t="shared" si="7"/>
        <v>180.07953633511511</v>
      </c>
      <c r="BH26" s="59">
        <f t="shared" si="8"/>
        <v>473.41286966844842</v>
      </c>
      <c r="BI26" s="59">
        <f ca="1">AVERAGE(OFFSET($BH$3,0,0,'Données projet'!$E$11+1,1))-AVERAGE(OFFSET($H$3,0,0,'Données projet'!$E$11+1,1))</f>
        <v>215.23235148064941</v>
      </c>
      <c r="BJ26" s="59">
        <f t="shared" si="38"/>
        <v>184.07239726900434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1.9560500307153104</v>
      </c>
      <c r="BR26" s="21">
        <f>EXP(-LN(2)/2)*BR25+(1-EXP(-LN(2)/2))/(LN(2)/2)*BL26*BO26*VLOOKUP('Données projet'!$B$11,Paramètres!$A$1:$I$89,3,0)*0.475*44/12</f>
        <v>1.170890860609356</v>
      </c>
      <c r="BS26" s="22">
        <f t="shared" si="9"/>
        <v>3.1269408913246663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</v>
      </c>
      <c r="BY26" s="12">
        <f>IF('Données projet'!$A$114&gt;35,BY25+BX26-CG25,IF(A26&lt;'Données projet'!$A$114,$BV$205^A26,IF(A26='Données projet'!$A$114,'Données projet'!$B$114,BY25+BX26-CG25)))</f>
        <v>0</v>
      </c>
      <c r="BZ26" s="13" t="e">
        <f>BY26*VLOOKUP('Données projet'!$B$12,Paramètres!$A$1:$I$89,3,0)*VLOOKUP('Données projet'!$B$12,Paramètres!$A$1:$I$89,5,0)</f>
        <v>#N/A</v>
      </c>
      <c r="CA26" s="13" t="e">
        <f t="shared" si="39"/>
        <v>#N/A</v>
      </c>
      <c r="CB26" s="20" t="e">
        <f t="shared" si="10"/>
        <v>#N/A</v>
      </c>
      <c r="CC26" s="59" t="e">
        <f t="shared" si="11"/>
        <v>#N/A</v>
      </c>
      <c r="CD26" s="59" t="e">
        <f ca="1">AVERAGE(OFFSET($CC$3,0,0,'Données projet'!$E$12+1,1))-AVERAGE(OFFSET($H$3,0,0,'Données projet'!$E$12+1,1))</f>
        <v>#N/A</v>
      </c>
      <c r="CE26" s="59" t="e">
        <f t="shared" si="40"/>
        <v>#N/A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 t="e">
        <f>EXP(-LN(2)/35)*CK25+(1-EXP(-LN(2)/35))/(LN(2)/35)*CG26*CH26*VLOOKUP('Données projet'!$B$12,Paramètres!$A$1:$I$89,3,0)*0.475*44/12</f>
        <v>#N/A</v>
      </c>
      <c r="CL26" s="21" t="e">
        <f>EXP(-LN(2)/25)*CL25+(1-EXP(-LN(2)/25))/(LN(2)/25)*Calculateur!CG26*Calculateur!CI26*VLOOKUP('Données projet'!$B$12,Paramètres!$A$1:$I$89,3,0)*0.475*44/12</f>
        <v>#N/A</v>
      </c>
      <c r="CM26" s="21" t="e">
        <f>EXP(-LN(2)/2)*CM25+(1-EXP(-LN(2)/2))/(LN(2)/2)*CG26*CJ26*VLOOKUP('Données projet'!$B$12,Paramètres!$A$1:$I$89,3,0)*0.475*44/12</f>
        <v>#N/A</v>
      </c>
      <c r="CN26" s="22" t="e">
        <f t="shared" si="12"/>
        <v>#N/A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25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21.340799999999998</v>
      </c>
      <c r="D27" s="11">
        <f t="shared" si="32"/>
        <v>6.8871990614123195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10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217.90034363195477</v>
      </c>
      <c r="H27" s="67">
        <f t="shared" si="1"/>
        <v>342.49709836529308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19.3</v>
      </c>
      <c r="N27" s="13">
        <f>IF('Données projet'!$A$36&gt;35,N26+M27-V26,IF(A27&lt;'Données projet'!$A$36,$K$205^A27,IF(A27='Données projet'!$A$36,'Données projet'!$B$36,N26+M27-V26)))</f>
        <v>164.20000000000002</v>
      </c>
      <c r="O27" s="13">
        <f>N27*VLOOKUP('Données projet'!$B$9,Paramètres!$A$1:$I$89,3,0)*VLOOKUP('Données projet'!$B$9,Paramètres!$A$1:$I$89,5,0)</f>
        <v>91.787800000000018</v>
      </c>
      <c r="P27" s="13">
        <f t="shared" si="33"/>
        <v>24.995904465215339</v>
      </c>
      <c r="Q27" s="20">
        <f t="shared" si="2"/>
        <v>203.39828527691671</v>
      </c>
      <c r="R27" s="59">
        <f t="shared" si="0"/>
        <v>496.73161861025005</v>
      </c>
      <c r="S27" s="59">
        <f ca="1">AVERAGE(OFFSET($R$3,0,0,'Données projet'!$E$9+1,1))-AVERAGE(OFFSET($H$3,0,0,'Données projet'!$E$9+1,1))</f>
        <v>279.98352834501759</v>
      </c>
      <c r="T27" s="59">
        <f t="shared" si="34"/>
        <v>281.30062655265488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7.4538141048866562</v>
      </c>
      <c r="AB27" s="21">
        <f>EXP(-LN(2)/2)*AB26+(1-EXP(-LN(2)/2))/(LN(2)/2)*V27*Y27*VLOOKUP('Données projet'!$B$9,Paramètres!$A$1:$I$89,3,0)*0.475*44/12</f>
        <v>3.2437040033761351</v>
      </c>
      <c r="AC27" s="22">
        <f t="shared" si="3"/>
        <v>10.697518108262791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6.3</v>
      </c>
      <c r="AI27" s="13">
        <f>IF('Données projet'!$A$62&gt;35,AI26+AH27-AQ26,IF(A27&lt;'Données projet'!$A$62,$AF$205^A27,IF(A27='Données projet'!$A$62,'Données projet'!$B$62,AI26+AH27-AQ26)))</f>
        <v>67.199999999999989</v>
      </c>
      <c r="AJ27" s="13">
        <f>AI27*VLOOKUP('Données projet'!$B$10,Paramètres!$A$1:$I$89,3,0)*VLOOKUP('Données projet'!$B$10,Paramètres!$A$1:$I$89,5,0)</f>
        <v>68.140799999999984</v>
      </c>
      <c r="AK27" s="13">
        <f t="shared" si="35"/>
        <v>19.21103183030446</v>
      </c>
      <c r="AL27" s="20">
        <f t="shared" si="4"/>
        <v>152.13777377111359</v>
      </c>
      <c r="AM27" s="59">
        <f t="shared" si="5"/>
        <v>445.4711071044469</v>
      </c>
      <c r="AN27" s="59">
        <f ca="1">AVERAGE(OFFSET($AM$3,0,0,'Données projet'!$E$10+1,1))-AVERAGE(OFFSET($H$3,0,0,'Données projet'!$E$10+1,1))</f>
        <v>279.20364724206644</v>
      </c>
      <c r="AO27" s="59">
        <f t="shared" si="36"/>
        <v>173.99850582760712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0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9.1999999999999993</v>
      </c>
      <c r="BD27" s="12">
        <f>IF('Données projet'!$A$88&gt;35,BD26+BC27-BL26,IF(A27&lt;'Données projet'!$A$88,$BA$205^A27,IF(A27='Données projet'!$A$88,'Données projet'!$B$88,BD26+BC27-BL26)))</f>
        <v>182.29999999999995</v>
      </c>
      <c r="BE27" s="13">
        <f>BD27*VLOOKUP('Données projet'!$B$11,Paramètres!$A$1:$I$89,3,0)*VLOOKUP('Données projet'!$B$11,Paramètres!$A$1:$I$89,5,0)</f>
        <v>85.316399999999987</v>
      </c>
      <c r="BF27" s="13">
        <f t="shared" si="37"/>
        <v>23.432164150529264</v>
      </c>
      <c r="BG27" s="20">
        <f t="shared" si="7"/>
        <v>189.40374922883845</v>
      </c>
      <c r="BH27" s="59">
        <f t="shared" si="8"/>
        <v>482.73708256217174</v>
      </c>
      <c r="BI27" s="59">
        <f ca="1">AVERAGE(OFFSET($BH$3,0,0,'Données projet'!$E$11+1,1))-AVERAGE(OFFSET($H$3,0,0,'Données projet'!$E$11+1,1))</f>
        <v>215.23235148064941</v>
      </c>
      <c r="BJ27" s="59">
        <f t="shared" si="38"/>
        <v>184.07239726900434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1.9025617397611998</v>
      </c>
      <c r="BR27" s="21">
        <f>EXP(-LN(2)/2)*BR26+(1-EXP(-LN(2)/2))/(LN(2)/2)*BL27*BO27*VLOOKUP('Données projet'!$B$11,Paramètres!$A$1:$I$89,3,0)*0.475*44/12</f>
        <v>0.8279448675662282</v>
      </c>
      <c r="BS27" s="22">
        <f t="shared" si="9"/>
        <v>2.730506607327428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</v>
      </c>
      <c r="BY27" s="12">
        <f>IF('Données projet'!$A$114&gt;35,BY26+BX27-CG26,IF(A27&lt;'Données projet'!$A$114,$BV$205^A27,IF(A27='Données projet'!$A$114,'Données projet'!$B$114,BY26+BX27-CG26)))</f>
        <v>0</v>
      </c>
      <c r="BZ27" s="13" t="e">
        <f>BY27*VLOOKUP('Données projet'!$B$12,Paramètres!$A$1:$I$89,3,0)*VLOOKUP('Données projet'!$B$12,Paramètres!$A$1:$I$89,5,0)</f>
        <v>#N/A</v>
      </c>
      <c r="CA27" s="13" t="e">
        <f t="shared" si="39"/>
        <v>#N/A</v>
      </c>
      <c r="CB27" s="20" t="e">
        <f t="shared" si="10"/>
        <v>#N/A</v>
      </c>
      <c r="CC27" s="59" t="e">
        <f t="shared" si="11"/>
        <v>#N/A</v>
      </c>
      <c r="CD27" s="59" t="e">
        <f ca="1">AVERAGE(OFFSET($CC$3,0,0,'Données projet'!$E$12+1,1))-AVERAGE(OFFSET($H$3,0,0,'Données projet'!$E$12+1,1))</f>
        <v>#N/A</v>
      </c>
      <c r="CE27" s="59" t="e">
        <f t="shared" si="40"/>
        <v>#N/A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 t="e">
        <f>EXP(-LN(2)/35)*CK26+(1-EXP(-LN(2)/35))/(LN(2)/35)*CG27*CH27*VLOOKUP('Données projet'!$B$12,Paramètres!$A$1:$I$89,3,0)*0.475*44/12</f>
        <v>#N/A</v>
      </c>
      <c r="CL27" s="21" t="e">
        <f>EXP(-LN(2)/25)*CL26+(1-EXP(-LN(2)/25))/(LN(2)/25)*Calculateur!CG27*Calculateur!CI27*VLOOKUP('Données projet'!$B$12,Paramètres!$A$1:$I$89,3,0)*0.475*44/12</f>
        <v>#N/A</v>
      </c>
      <c r="CM27" s="21" t="e">
        <f>EXP(-LN(2)/2)*CM26+(1-EXP(-LN(2)/2))/(LN(2)/2)*CG27*CJ27*VLOOKUP('Données projet'!$B$12,Paramètres!$A$1:$I$89,3,0)*0.475*44/12</f>
        <v>#N/A</v>
      </c>
      <c r="CN27" s="22" t="e">
        <f t="shared" si="12"/>
        <v>#N/A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25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22.229999999999997</v>
      </c>
      <c r="D28" s="11">
        <f t="shared" si="32"/>
        <v>7.140157210880437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10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226.71700303135776</v>
      </c>
      <c r="H28" s="67">
        <f t="shared" si="1"/>
        <v>344.4863571422834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19.3</v>
      </c>
      <c r="N28" s="13">
        <f>IF('Données projet'!$A$36&gt;35,N27+M28-V27,IF(A28&lt;'Données projet'!$A$36,$K$205^A28,IF(A28='Données projet'!$A$36,'Données projet'!$B$36,N27+M28-V27)))</f>
        <v>183.50000000000003</v>
      </c>
      <c r="O28" s="13">
        <f>N28*VLOOKUP('Données projet'!$B$9,Paramètres!$A$1:$I$89,3,0)*VLOOKUP('Données projet'!$B$9,Paramètres!$A$1:$I$89,5,0)</f>
        <v>102.57650000000002</v>
      </c>
      <c r="P28" s="13">
        <f t="shared" si="33"/>
        <v>27.574901420376108</v>
      </c>
      <c r="Q28" s="20">
        <f t="shared" si="2"/>
        <v>226.68035747382177</v>
      </c>
      <c r="R28" s="59">
        <f t="shared" si="0"/>
        <v>520.01369080715506</v>
      </c>
      <c r="S28" s="59">
        <f ca="1">AVERAGE(OFFSET($R$3,0,0,'Données projet'!$E$9+1,1))-AVERAGE(OFFSET($H$3,0,0,'Données projet'!$E$9+1,1))</f>
        <v>279.98352834501759</v>
      </c>
      <c r="T28" s="59">
        <f t="shared" si="34"/>
        <v>281.30062655265488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7.2499891662094829</v>
      </c>
      <c r="AB28" s="21">
        <f>EXP(-LN(2)/2)*AB27+(1-EXP(-LN(2)/2))/(LN(2)/2)*V28*Y28*VLOOKUP('Données projet'!$B$9,Paramètres!$A$1:$I$89,3,0)*0.475*44/12</f>
        <v>2.2936450969492173</v>
      </c>
      <c r="AC28" s="22">
        <f t="shared" si="3"/>
        <v>9.543634263158701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6.3</v>
      </c>
      <c r="AI28" s="13">
        <f>IF('Données projet'!$A$62&gt;35,AI27+AH28-AQ27,IF(A28&lt;'Données projet'!$A$62,$AF$205^A28,IF(A28='Données projet'!$A$62,'Données projet'!$B$62,AI27+AH28-AQ27)))</f>
        <v>73.499999999999986</v>
      </c>
      <c r="AJ28" s="13">
        <f>AI28*VLOOKUP('Données projet'!$B$10,Paramètres!$A$1:$I$89,3,0)*VLOOKUP('Données projet'!$B$10,Paramètres!$A$1:$I$89,5,0)</f>
        <v>74.528999999999982</v>
      </c>
      <c r="AK28" s="13">
        <f t="shared" si="35"/>
        <v>20.794031365411815</v>
      </c>
      <c r="AL28" s="20">
        <f t="shared" si="4"/>
        <v>166.02094629475889</v>
      </c>
      <c r="AM28" s="59">
        <f t="shared" si="5"/>
        <v>459.35427962809217</v>
      </c>
      <c r="AN28" s="59">
        <f ca="1">AVERAGE(OFFSET($AM$3,0,0,'Données projet'!$E$10+1,1))-AVERAGE(OFFSET($H$3,0,0,'Données projet'!$E$10+1,1))</f>
        <v>279.20364724206644</v>
      </c>
      <c r="AO28" s="59">
        <f t="shared" si="36"/>
        <v>173.99850582760712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0</v>
      </c>
      <c r="AW28" s="21">
        <f>EXP(-LN(2)/2)*AW27+(1-EXP(-LN(2)/2))/(LN(2)/2)*AQ28*AT28*VLOOKUP('Données projet'!$B$10,Paramètres!$A$1:$I$89,3,0)*0.475*44/12</f>
        <v>0</v>
      </c>
      <c r="AX28" s="21">
        <f t="shared" si="6"/>
        <v>0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9.1999999999999993</v>
      </c>
      <c r="BD28" s="12">
        <f>IF('Données projet'!$A$88&gt;35,BD27+BC28-BL27,IF(A28&lt;'Données projet'!$A$88,$BA$205^A28,IF(A28='Données projet'!$A$88,'Données projet'!$B$88,BD27+BC28-BL27)))</f>
        <v>191.49999999999994</v>
      </c>
      <c r="BE28" s="13">
        <f>BD28*VLOOKUP('Données projet'!$B$11,Paramètres!$A$1:$I$89,3,0)*VLOOKUP('Données projet'!$B$11,Paramètres!$A$1:$I$89,5,0)</f>
        <v>89.621999999999986</v>
      </c>
      <c r="BF28" s="13">
        <f t="shared" si="37"/>
        <v>24.47403817697321</v>
      </c>
      <c r="BG28" s="20">
        <f t="shared" si="7"/>
        <v>198.71726649156165</v>
      </c>
      <c r="BH28" s="59">
        <f t="shared" si="8"/>
        <v>492.05059982489496</v>
      </c>
      <c r="BI28" s="59">
        <f ca="1">AVERAGE(OFFSET($BH$3,0,0,'Données projet'!$E$11+1,1))-AVERAGE(OFFSET($H$3,0,0,'Données projet'!$E$11+1,1))</f>
        <v>215.23235148064941</v>
      </c>
      <c r="BJ28" s="59">
        <f t="shared" si="38"/>
        <v>184.07239726900434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1.8505360889360563</v>
      </c>
      <c r="BR28" s="21">
        <f>EXP(-LN(2)/2)*BR27+(1-EXP(-LN(2)/2))/(LN(2)/2)*BL28*BO28*VLOOKUP('Données projet'!$B$11,Paramètres!$A$1:$I$89,3,0)*0.475*44/12</f>
        <v>0.58544543030467799</v>
      </c>
      <c r="BS28" s="22">
        <f t="shared" si="9"/>
        <v>2.4359815192407344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IF('Données projet'!$A$114&gt;35,BY27+BX28-CG27,IF(A28&lt;'Données projet'!$A$114,$BV$205^A28,IF(A28='Données projet'!$A$114,'Données projet'!$B$114,BY27+BX28-CG27)))</f>
        <v>0</v>
      </c>
      <c r="BZ28" s="13" t="e">
        <f>BY28*VLOOKUP('Données projet'!$B$12,Paramètres!$A$1:$I$89,3,0)*VLOOKUP('Données projet'!$B$12,Paramètres!$A$1:$I$89,5,0)</f>
        <v>#N/A</v>
      </c>
      <c r="CA28" s="13" t="e">
        <f t="shared" si="39"/>
        <v>#N/A</v>
      </c>
      <c r="CB28" s="20" t="e">
        <f t="shared" si="10"/>
        <v>#N/A</v>
      </c>
      <c r="CC28" s="59" t="e">
        <f t="shared" si="11"/>
        <v>#N/A</v>
      </c>
      <c r="CD28" s="59" t="e">
        <f ca="1">AVERAGE(OFFSET($CC$3,0,0,'Données projet'!$E$12+1,1))-AVERAGE(OFFSET($H$3,0,0,'Données projet'!$E$12+1,1))</f>
        <v>#N/A</v>
      </c>
      <c r="CE28" s="59" t="e">
        <f t="shared" si="40"/>
        <v>#N/A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 t="e">
        <f>EXP(-LN(2)/35)*CK27+(1-EXP(-LN(2)/35))/(LN(2)/35)*CG28*CH28*VLOOKUP('Données projet'!$B$12,Paramètres!$A$1:$I$89,3,0)*0.475*44/12</f>
        <v>#N/A</v>
      </c>
      <c r="CL28" s="21" t="e">
        <f>EXP(-LN(2)/25)*CL27+(1-EXP(-LN(2)/25))/(LN(2)/25)*Calculateur!CG28*Calculateur!CI28*VLOOKUP('Données projet'!$B$12,Paramètres!$A$1:$I$89,3,0)*0.475*44/12</f>
        <v>#N/A</v>
      </c>
      <c r="CM28" s="21" t="e">
        <f>EXP(-LN(2)/2)*CM27+(1-EXP(-LN(2)/2))/(LN(2)/2)*CG28*CJ28*VLOOKUP('Données projet'!$B$12,Paramètres!$A$1:$I$89,3,0)*0.475*44/12</f>
        <v>#N/A</v>
      </c>
      <c r="CN28" s="22" t="e">
        <f t="shared" si="12"/>
        <v>#N/A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25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23.119199999999996</v>
      </c>
      <c r="D29" s="11">
        <f t="shared" si="32"/>
        <v>7.3919399937804329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10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235.5245894256735</v>
      </c>
      <c r="H29" s="67">
        <f t="shared" si="1"/>
        <v>346.47356882250091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19.3</v>
      </c>
      <c r="N29" s="13">
        <f>IF('Données projet'!$A$36&gt;35,N28+M29-V28,IF(A29&lt;'Données projet'!$A$36,$K$205^A29,IF(A29='Données projet'!$A$36,'Données projet'!$B$36,N28+M29-V28)))</f>
        <v>202.80000000000004</v>
      </c>
      <c r="O29" s="13">
        <f>N29*VLOOKUP('Données projet'!$B$9,Paramètres!$A$1:$I$89,3,0)*VLOOKUP('Données projet'!$B$9,Paramètres!$A$1:$I$89,5,0)</f>
        <v>113.36520000000003</v>
      </c>
      <c r="P29" s="13">
        <f t="shared" si="33"/>
        <v>30.122456058687614</v>
      </c>
      <c r="Q29" s="20">
        <f t="shared" si="2"/>
        <v>249.9076676355476</v>
      </c>
      <c r="R29" s="59">
        <f t="shared" si="0"/>
        <v>543.24100096888094</v>
      </c>
      <c r="S29" s="59">
        <f ca="1">AVERAGE(OFFSET($R$3,0,0,'Données projet'!$E$9+1,1))-AVERAGE(OFFSET($H$3,0,0,'Données projet'!$E$9+1,1))</f>
        <v>279.98352834501759</v>
      </c>
      <c r="T29" s="59">
        <f t="shared" si="34"/>
        <v>281.30062655265488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7.0517378311991248</v>
      </c>
      <c r="AB29" s="21">
        <f>EXP(-LN(2)/2)*AB28+(1-EXP(-LN(2)/2))/(LN(2)/2)*V29*Y29*VLOOKUP('Données projet'!$B$9,Paramètres!$A$1:$I$89,3,0)*0.475*44/12</f>
        <v>1.6218520016880678</v>
      </c>
      <c r="AC29" s="22">
        <f t="shared" si="3"/>
        <v>8.6735898328871919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6.3</v>
      </c>
      <c r="AI29" s="13">
        <f>IF('Données projet'!$A$62&gt;35,AI28+AH29-AQ28,IF(A29&lt;'Données projet'!$A$62,$AF$205^A29,IF(A29='Données projet'!$A$62,'Données projet'!$B$62,AI28+AH29-AQ28)))</f>
        <v>79.799999999999983</v>
      </c>
      <c r="AJ29" s="13">
        <f>AI29*VLOOKUP('Données projet'!$B$10,Paramètres!$A$1:$I$89,3,0)*VLOOKUP('Données projet'!$B$10,Paramètres!$A$1:$I$89,5,0)</f>
        <v>80.917199999999994</v>
      </c>
      <c r="AK29" s="13">
        <f t="shared" si="35"/>
        <v>22.361295290994434</v>
      </c>
      <c r="AL29" s="20">
        <f t="shared" si="4"/>
        <v>179.87671263181528</v>
      </c>
      <c r="AM29" s="59">
        <f t="shared" si="5"/>
        <v>473.21004596514859</v>
      </c>
      <c r="AN29" s="59">
        <f ca="1">AVERAGE(OFFSET($AM$3,0,0,'Données projet'!$E$10+1,1))-AVERAGE(OFFSET($H$3,0,0,'Données projet'!$E$10+1,1))</f>
        <v>279.20364724206644</v>
      </c>
      <c r="AO29" s="59">
        <f t="shared" si="36"/>
        <v>173.99850582760712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0</v>
      </c>
      <c r="AW29" s="21">
        <f>EXP(-LN(2)/2)*AW28+(1-EXP(-LN(2)/2))/(LN(2)/2)*AQ29*AT29*VLOOKUP('Données projet'!$B$10,Paramètres!$A$1:$I$89,3,0)*0.475*44/12</f>
        <v>0</v>
      </c>
      <c r="AX29" s="21">
        <f t="shared" si="6"/>
        <v>0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9.1999999999999993</v>
      </c>
      <c r="BD29" s="12">
        <f>IF('Données projet'!$A$88&gt;35,BD28+BC29-BL28,IF(A29&lt;'Données projet'!$A$88,$BA$205^A29,IF(A29='Données projet'!$A$88,'Données projet'!$B$88,BD28+BC29-BL28)))</f>
        <v>200.69999999999993</v>
      </c>
      <c r="BE29" s="13">
        <f>BD29*VLOOKUP('Données projet'!$B$11,Paramètres!$A$1:$I$89,3,0)*VLOOKUP('Données projet'!$B$11,Paramètres!$A$1:$I$89,5,0)</f>
        <v>93.927599999999956</v>
      </c>
      <c r="BF29" s="13">
        <f t="shared" si="37"/>
        <v>25.510099877901624</v>
      </c>
      <c r="BG29" s="20">
        <f t="shared" si="7"/>
        <v>208.02066062067857</v>
      </c>
      <c r="BH29" s="59">
        <f t="shared" si="8"/>
        <v>501.35399395401191</v>
      </c>
      <c r="BI29" s="59">
        <f ca="1">AVERAGE(OFFSET($BH$3,0,0,'Données projet'!$E$11+1,1))-AVERAGE(OFFSET($H$3,0,0,'Données projet'!$E$11+1,1))</f>
        <v>215.23235148064941</v>
      </c>
      <c r="BJ29" s="59">
        <f t="shared" si="38"/>
        <v>184.07239726900434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1.7999330822686364</v>
      </c>
      <c r="BR29" s="21">
        <f>EXP(-LN(2)/2)*BR28+(1-EXP(-LN(2)/2))/(LN(2)/2)*BL29*BO29*VLOOKUP('Données projet'!$B$11,Paramètres!$A$1:$I$89,3,0)*0.475*44/12</f>
        <v>0.4139724337831141</v>
      </c>
      <c r="BS29" s="22">
        <f t="shared" si="9"/>
        <v>2.2139055160517502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IF('Données projet'!$A$114&gt;35,BY28+BX29-CG28,IF(A29&lt;'Données projet'!$A$114,$BV$205^A29,IF(A29='Données projet'!$A$114,'Données projet'!$B$114,BY28+BX29-CG28)))</f>
        <v>0</v>
      </c>
      <c r="BZ29" s="13" t="e">
        <f>BY29*VLOOKUP('Données projet'!$B$12,Paramètres!$A$1:$I$89,3,0)*VLOOKUP('Données projet'!$B$12,Paramètres!$A$1:$I$89,5,0)</f>
        <v>#N/A</v>
      </c>
      <c r="CA29" s="13" t="e">
        <f t="shared" si="39"/>
        <v>#N/A</v>
      </c>
      <c r="CB29" s="20" t="e">
        <f t="shared" si="10"/>
        <v>#N/A</v>
      </c>
      <c r="CC29" s="59" t="e">
        <f t="shared" si="11"/>
        <v>#N/A</v>
      </c>
      <c r="CD29" s="59" t="e">
        <f ca="1">AVERAGE(OFFSET($CC$3,0,0,'Données projet'!$E$12+1,1))-AVERAGE(OFFSET($H$3,0,0,'Données projet'!$E$12+1,1))</f>
        <v>#N/A</v>
      </c>
      <c r="CE29" s="59" t="e">
        <f t="shared" si="40"/>
        <v>#N/A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 t="e">
        <f>EXP(-LN(2)/35)*CK28+(1-EXP(-LN(2)/35))/(LN(2)/35)*CG29*CH29*VLOOKUP('Données projet'!$B$12,Paramètres!$A$1:$I$89,3,0)*0.475*44/12</f>
        <v>#N/A</v>
      </c>
      <c r="CL29" s="21" t="e">
        <f>EXP(-LN(2)/25)*CL28+(1-EXP(-LN(2)/25))/(LN(2)/25)*Calculateur!CG29*Calculateur!CI29*VLOOKUP('Données projet'!$B$12,Paramètres!$A$1:$I$89,3,0)*0.475*44/12</f>
        <v>#N/A</v>
      </c>
      <c r="CM29" s="21" t="e">
        <f>EXP(-LN(2)/2)*CM28+(1-EXP(-LN(2)/2))/(LN(2)/2)*CG29*CJ29*VLOOKUP('Données projet'!$B$12,Paramètres!$A$1:$I$89,3,0)*0.475*44/12</f>
        <v>#N/A</v>
      </c>
      <c r="CN29" s="22" t="e">
        <f t="shared" si="12"/>
        <v>#N/A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25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24.008399999999995</v>
      </c>
      <c r="D30" s="11">
        <f t="shared" si="32"/>
        <v>7.6425977910346958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10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244.32349172026781</v>
      </c>
      <c r="H30" s="67">
        <f t="shared" si="1"/>
        <v>348.45882115271871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19.3</v>
      </c>
      <c r="N30" s="13">
        <f>IF('Données projet'!$A$36&gt;35,N29+M30-V29,IF(A30&lt;'Données projet'!$A$36,$K$205^A30,IF(A30='Données projet'!$A$36,'Données projet'!$B$36,N29+M30-V29)))</f>
        <v>222.10000000000005</v>
      </c>
      <c r="O30" s="13">
        <f>N30*VLOOKUP('Données projet'!$B$9,Paramètres!$A$1:$I$89,3,0)*VLOOKUP('Données projet'!$B$9,Paramètres!$A$1:$I$89,5,0)</f>
        <v>124.15390000000002</v>
      </c>
      <c r="P30" s="13">
        <f t="shared" si="33"/>
        <v>32.641901103582477</v>
      </c>
      <c r="Q30" s="20">
        <f t="shared" si="2"/>
        <v>273.0860202554062</v>
      </c>
      <c r="R30" s="59">
        <f t="shared" si="0"/>
        <v>566.41935358873957</v>
      </c>
      <c r="S30" s="59">
        <f ca="1">AVERAGE(OFFSET($R$3,0,0,'Données projet'!$E$9+1,1))-AVERAGE(OFFSET($H$3,0,0,'Données projet'!$E$9+1,1))</f>
        <v>279.98352834501759</v>
      </c>
      <c r="T30" s="59">
        <f t="shared" si="34"/>
        <v>281.30062655265488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6.8589076893702092</v>
      </c>
      <c r="AB30" s="21">
        <f>EXP(-LN(2)/2)*AB29+(1-EXP(-LN(2)/2))/(LN(2)/2)*V30*Y30*VLOOKUP('Données projet'!$B$9,Paramètres!$A$1:$I$89,3,0)*0.475*44/12</f>
        <v>1.1468225484746086</v>
      </c>
      <c r="AC30" s="22">
        <f t="shared" si="3"/>
        <v>8.0057302378448174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6.3</v>
      </c>
      <c r="AI30" s="13">
        <f>IF('Données projet'!$A$62&gt;35,AI29+AH30-AQ29,IF(A30&lt;'Données projet'!$A$62,$AF$205^A30,IF(A30='Données projet'!$A$62,'Données projet'!$B$62,AI29+AH30-AQ29)))</f>
        <v>86.09999999999998</v>
      </c>
      <c r="AJ30" s="13">
        <f>AI30*VLOOKUP('Données projet'!$B$10,Paramètres!$A$1:$I$89,3,0)*VLOOKUP('Données projet'!$B$10,Paramètres!$A$1:$I$89,5,0)</f>
        <v>87.305399999999992</v>
      </c>
      <c r="AK30" s="13">
        <f t="shared" si="35"/>
        <v>23.914207130877781</v>
      </c>
      <c r="AL30" s="20">
        <f t="shared" si="4"/>
        <v>193.70748241961212</v>
      </c>
      <c r="AM30" s="59">
        <f t="shared" si="5"/>
        <v>487.04081575294543</v>
      </c>
      <c r="AN30" s="59">
        <f ca="1">AVERAGE(OFFSET($AM$3,0,0,'Données projet'!$E$10+1,1))-AVERAGE(OFFSET($H$3,0,0,'Données projet'!$E$10+1,1))</f>
        <v>279.20364724206644</v>
      </c>
      <c r="AO30" s="59">
        <f t="shared" si="36"/>
        <v>173.99850582760712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0</v>
      </c>
      <c r="AW30" s="21">
        <f>EXP(-LN(2)/2)*AW29+(1-EXP(-LN(2)/2))/(LN(2)/2)*AQ30*AT30*VLOOKUP('Données projet'!$B$10,Paramètres!$A$1:$I$89,3,0)*0.475*44/12</f>
        <v>0</v>
      </c>
      <c r="AX30" s="21">
        <f t="shared" si="6"/>
        <v>0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9.1999999999999993</v>
      </c>
      <c r="BD30" s="12">
        <f>IF('Données projet'!$A$88&gt;35,BD29+BC30-BL29,IF(A30&lt;'Données projet'!$A$88,$BA$205^A30,IF(A30='Données projet'!$A$88,'Données projet'!$B$88,BD29+BC30-BL29)))</f>
        <v>209.89999999999992</v>
      </c>
      <c r="BE30" s="13">
        <f>BD30*VLOOKUP('Données projet'!$B$11,Paramètres!$A$1:$I$89,3,0)*VLOOKUP('Données projet'!$B$11,Paramètres!$A$1:$I$89,5,0)</f>
        <v>98.233199999999954</v>
      </c>
      <c r="BF30" s="13">
        <f t="shared" si="37"/>
        <v>26.540646121089583</v>
      </c>
      <c r="BG30" s="20">
        <f t="shared" si="7"/>
        <v>217.3144486608976</v>
      </c>
      <c r="BH30" s="59">
        <f t="shared" si="8"/>
        <v>510.64778199423091</v>
      </c>
      <c r="BI30" s="59">
        <f ca="1">AVERAGE(OFFSET($BH$3,0,0,'Données projet'!$E$11+1,1))-AVERAGE(OFFSET($H$3,0,0,'Données projet'!$E$11+1,1))</f>
        <v>215.23235148064941</v>
      </c>
      <c r="BJ30" s="59">
        <f t="shared" si="38"/>
        <v>184.07239726900434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1.7507138174796335</v>
      </c>
      <c r="BR30" s="21">
        <f>EXP(-LN(2)/2)*BR29+(1-EXP(-LN(2)/2))/(LN(2)/2)*BL30*BO30*VLOOKUP('Données projet'!$B$11,Paramètres!$A$1:$I$89,3,0)*0.475*44/12</f>
        <v>0.292722715152339</v>
      </c>
      <c r="BS30" s="22">
        <f t="shared" si="9"/>
        <v>2.0434365326319726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 t="e">
        <f>BY30*VLOOKUP('Données projet'!$B$12,Paramètres!$A$1:$I$89,3,0)*VLOOKUP('Données projet'!$B$12,Paramètres!$A$1:$I$89,5,0)</f>
        <v>#N/A</v>
      </c>
      <c r="CA30" s="13" t="e">
        <f t="shared" si="39"/>
        <v>#N/A</v>
      </c>
      <c r="CB30" s="20" t="e">
        <f t="shared" si="10"/>
        <v>#N/A</v>
      </c>
      <c r="CC30" s="59" t="e">
        <f t="shared" si="11"/>
        <v>#N/A</v>
      </c>
      <c r="CD30" s="59" t="e">
        <f ca="1">AVERAGE(OFFSET($CC$3,0,0,'Données projet'!$E$12+1,1))-AVERAGE(OFFSET($H$3,0,0,'Données projet'!$E$12+1,1))</f>
        <v>#N/A</v>
      </c>
      <c r="CE30" s="59" t="e">
        <f t="shared" si="40"/>
        <v>#N/A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 t="e">
        <f>EXP(-LN(2)/35)*CK29+(1-EXP(-LN(2)/35))/(LN(2)/35)*CG30*CH30*VLOOKUP('Données projet'!$B$12,Paramètres!$A$1:$I$89,3,0)*0.475*44/12</f>
        <v>#N/A</v>
      </c>
      <c r="CL30" s="21" t="e">
        <f>EXP(-LN(2)/25)*CL29+(1-EXP(-LN(2)/25))/(LN(2)/25)*Calculateur!CG30*Calculateur!CI30*VLOOKUP('Données projet'!$B$12,Paramètres!$A$1:$I$89,3,0)*0.475*44/12</f>
        <v>#N/A</v>
      </c>
      <c r="CM30" s="21" t="e">
        <f>EXP(-LN(2)/2)*CM29+(1-EXP(-LN(2)/2))/(LN(2)/2)*CG30*CJ30*VLOOKUP('Données projet'!$B$12,Paramètres!$A$1:$I$89,3,0)*0.475*44/12</f>
        <v>#N/A</v>
      </c>
      <c r="CN30" s="22" t="e">
        <f t="shared" si="12"/>
        <v>#N/A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25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24.897599999999994</v>
      </c>
      <c r="D31" s="11">
        <f t="shared" si="32"/>
        <v>7.8921770401958202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10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253.11406838045892</v>
      </c>
      <c r="H31" s="67">
        <f t="shared" si="1"/>
        <v>350.44219501167436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19.3</v>
      </c>
      <c r="N31" s="13">
        <f>IF('Données projet'!$A$36&gt;35,N30+M31-V30,IF(A31&lt;'Données projet'!$A$36,$K$205^A31,IF(A31='Données projet'!$A$36,'Données projet'!$B$36,N30+M31-V30)))</f>
        <v>241.40000000000006</v>
      </c>
      <c r="O31" s="13">
        <f>N31*VLOOKUP('Données projet'!$B$9,Paramètres!$A$1:$I$89,3,0)*VLOOKUP('Données projet'!$B$9,Paramètres!$A$1:$I$89,5,0)</f>
        <v>134.94260000000003</v>
      </c>
      <c r="P31" s="13">
        <f t="shared" si="33"/>
        <v>35.135956952072789</v>
      </c>
      <c r="Q31" s="20">
        <f t="shared" si="2"/>
        <v>296.22015335819344</v>
      </c>
      <c r="R31" s="59">
        <f t="shared" si="0"/>
        <v>589.55348669152681</v>
      </c>
      <c r="S31" s="59">
        <f ca="1">AVERAGE(OFFSET($R$3,0,0,'Données projet'!$E$9+1,1))-AVERAGE(OFFSET($H$3,0,0,'Données projet'!$E$9+1,1))</f>
        <v>279.98352834501759</v>
      </c>
      <c r="T31" s="59">
        <f t="shared" si="34"/>
        <v>281.30062655265488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6.6713504979101019</v>
      </c>
      <c r="AB31" s="21">
        <f>EXP(-LN(2)/2)*AB30+(1-EXP(-LN(2)/2))/(LN(2)/2)*V31*Y31*VLOOKUP('Données projet'!$B$9,Paramètres!$A$1:$I$89,3,0)*0.475*44/12</f>
        <v>0.81092600084403388</v>
      </c>
      <c r="AC31" s="22">
        <f t="shared" si="3"/>
        <v>7.4822764987541355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6.3</v>
      </c>
      <c r="AI31" s="13">
        <f>IF('Données projet'!$A$62&gt;35,AI30+AH31-AQ30,IF(A31&lt;'Données projet'!$A$62,$AF$205^A31,IF(A31='Données projet'!$A$62,'Données projet'!$B$62,AI30+AH31-AQ30)))</f>
        <v>92.399999999999977</v>
      </c>
      <c r="AJ31" s="13">
        <f>AI31*VLOOKUP('Données projet'!$B$10,Paramètres!$A$1:$I$89,3,0)*VLOOKUP('Données projet'!$B$10,Paramètres!$A$1:$I$89,5,0)</f>
        <v>93.693599999999989</v>
      </c>
      <c r="AK31" s="13">
        <f t="shared" si="35"/>
        <v>25.453936461054091</v>
      </c>
      <c r="AL31" s="20">
        <f t="shared" si="4"/>
        <v>207.51529266966918</v>
      </c>
      <c r="AM31" s="59">
        <f t="shared" si="5"/>
        <v>500.84862600300249</v>
      </c>
      <c r="AN31" s="59">
        <f ca="1">AVERAGE(OFFSET($AM$3,0,0,'Données projet'!$E$10+1,1))-AVERAGE(OFFSET($H$3,0,0,'Données projet'!$E$10+1,1))</f>
        <v>279.20364724206644</v>
      </c>
      <c r="AO31" s="59">
        <f t="shared" si="36"/>
        <v>173.99850582760712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0</v>
      </c>
      <c r="AW31" s="21">
        <f>EXP(-LN(2)/2)*AW30+(1-EXP(-LN(2)/2))/(LN(2)/2)*AQ31*AT31*VLOOKUP('Données projet'!$B$10,Paramètres!$A$1:$I$89,3,0)*0.475*44/12</f>
        <v>0</v>
      </c>
      <c r="AX31" s="21">
        <f t="shared" si="6"/>
        <v>0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9.1999999999999993</v>
      </c>
      <c r="BD31" s="12">
        <f>IF('Données projet'!$A$88&gt;35,BD30+BC31-BL30,IF(A31&lt;'Données projet'!$A$88,$BA$205^A31,IF(A31='Données projet'!$A$88,'Données projet'!$B$88,BD30+BC31-BL30)))</f>
        <v>219.09999999999991</v>
      </c>
      <c r="BE31" s="13">
        <f>BD31*VLOOKUP('Données projet'!$B$11,Paramètres!$A$1:$I$89,3,0)*VLOOKUP('Données projet'!$B$11,Paramètres!$A$1:$I$89,5,0)</f>
        <v>102.53879999999995</v>
      </c>
      <c r="BF31" s="13">
        <f t="shared" si="37"/>
        <v>27.565946279127878</v>
      </c>
      <c r="BG31" s="20">
        <f t="shared" si="7"/>
        <v>226.59909976948094</v>
      </c>
      <c r="BH31" s="59">
        <f t="shared" si="8"/>
        <v>519.93243310281423</v>
      </c>
      <c r="BI31" s="59">
        <f ca="1">AVERAGE(OFFSET($BH$3,0,0,'Données projet'!$E$11+1,1))-AVERAGE(OFFSET($H$3,0,0,'Données projet'!$E$11+1,1))</f>
        <v>215.23235148064941</v>
      </c>
      <c r="BJ31" s="59">
        <f t="shared" si="38"/>
        <v>184.07239726900434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1.7028404560746147</v>
      </c>
      <c r="BR31" s="21">
        <f>EXP(-LN(2)/2)*BR30+(1-EXP(-LN(2)/2))/(LN(2)/2)*BL31*BO31*VLOOKUP('Données projet'!$B$11,Paramètres!$A$1:$I$89,3,0)*0.475*44/12</f>
        <v>0.20698621689155705</v>
      </c>
      <c r="BS31" s="22">
        <f t="shared" si="9"/>
        <v>1.9098266729661717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 t="e">
        <f>BY31*VLOOKUP('Données projet'!$B$12,Paramètres!$A$1:$I$89,3,0)*VLOOKUP('Données projet'!$B$12,Paramètres!$A$1:$I$89,5,0)</f>
        <v>#N/A</v>
      </c>
      <c r="CA31" s="13" t="e">
        <f t="shared" si="39"/>
        <v>#N/A</v>
      </c>
      <c r="CB31" s="20" t="e">
        <f t="shared" si="10"/>
        <v>#N/A</v>
      </c>
      <c r="CC31" s="59" t="e">
        <f t="shared" si="11"/>
        <v>#N/A</v>
      </c>
      <c r="CD31" s="59" t="e">
        <f ca="1">AVERAGE(OFFSET($CC$3,0,0,'Données projet'!$E$12+1,1))-AVERAGE(OFFSET($H$3,0,0,'Données projet'!$E$12+1,1))</f>
        <v>#N/A</v>
      </c>
      <c r="CE31" s="59" t="e">
        <f t="shared" si="40"/>
        <v>#N/A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 t="e">
        <f>EXP(-LN(2)/35)*CK30+(1-EXP(-LN(2)/35))/(LN(2)/35)*CG31*CH31*VLOOKUP('Données projet'!$B$12,Paramètres!$A$1:$I$89,3,0)*0.475*44/12</f>
        <v>#N/A</v>
      </c>
      <c r="CL31" s="21" t="e">
        <f>EXP(-LN(2)/25)*CL30+(1-EXP(-LN(2)/25))/(LN(2)/25)*Calculateur!CG31*Calculateur!CI31*VLOOKUP('Données projet'!$B$12,Paramètres!$A$1:$I$89,3,0)*0.475*44/12</f>
        <v>#N/A</v>
      </c>
      <c r="CM31" s="21" t="e">
        <f>EXP(-LN(2)/2)*CM30+(1-EXP(-LN(2)/2))/(LN(2)/2)*CG31*CJ31*VLOOKUP('Données projet'!$B$12,Paramètres!$A$1:$I$89,3,0)*0.475*44/12</f>
        <v>#N/A</v>
      </c>
      <c r="CN31" s="22" t="e">
        <f t="shared" si="12"/>
        <v>#N/A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25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25.786799999999992</v>
      </c>
      <c r="D32" s="11">
        <f t="shared" si="32"/>
        <v>8.1407206738151334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10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261.89665081541494</v>
      </c>
      <c r="H32" s="67">
        <f t="shared" si="1"/>
        <v>352.42376517356132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19.3</v>
      </c>
      <c r="N32" s="13">
        <f>IF('Données projet'!$A$36&gt;35,N31+M32-V31,IF(A32&lt;'Données projet'!$A$36,$K$205^A32,IF(A32='Données projet'!$A$36,'Données projet'!$B$36,N31+M32-V31)))</f>
        <v>260.70000000000005</v>
      </c>
      <c r="O32" s="13">
        <f>N32*VLOOKUP('Données projet'!$B$9,Paramètres!$A$1:$I$89,3,0)*VLOOKUP('Données projet'!$B$9,Paramètres!$A$1:$I$89,5,0)</f>
        <v>145.73130000000003</v>
      </c>
      <c r="P32" s="13">
        <f t="shared" si="33"/>
        <v>37.606884256070316</v>
      </c>
      <c r="Q32" s="20">
        <f t="shared" si="2"/>
        <v>319.31400424598922</v>
      </c>
      <c r="R32" s="59">
        <f t="shared" si="0"/>
        <v>612.64733757932254</v>
      </c>
      <c r="S32" s="59">
        <f ca="1">AVERAGE(OFFSET($R$3,0,0,'Données projet'!$E$9+1,1))-AVERAGE(OFFSET($H$3,0,0,'Données projet'!$E$9+1,1))</f>
        <v>279.98352834501759</v>
      </c>
      <c r="T32" s="59">
        <f t="shared" si="34"/>
        <v>281.30062655265488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</v>
      </c>
      <c r="AA32" s="21">
        <f>EXP(-LN(2)/25)*AA31+(1-EXP(-LN(2)/25))/(LN(2)/25)*Calculateur!V32*Calculateur!X32*VLOOKUP('Données projet'!$B$9,Paramètres!$A$1:$I$89,3,0)*0.475*44/12</f>
        <v>6.4889220677136752</v>
      </c>
      <c r="AB32" s="21">
        <f>EXP(-LN(2)/2)*AB31+(1-EXP(-LN(2)/2))/(LN(2)/2)*V32*Y32*VLOOKUP('Données projet'!$B$9,Paramètres!$A$1:$I$89,3,0)*0.475*44/12</f>
        <v>0.57341127423730431</v>
      </c>
      <c r="AC32" s="22">
        <f t="shared" si="3"/>
        <v>7.0623333419509793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6.3</v>
      </c>
      <c r="AI32" s="13">
        <f>IF('Données projet'!$A$62&gt;35,AI31+AH32-AQ31,IF(A32&lt;'Données projet'!$A$62,$AF$205^A32,IF(A32='Données projet'!$A$62,'Données projet'!$B$62,AI31+AH32-AQ31)))</f>
        <v>98.699999999999974</v>
      </c>
      <c r="AJ32" s="13">
        <f>AI32*VLOOKUP('Données projet'!$B$10,Paramètres!$A$1:$I$89,3,0)*VLOOKUP('Données projet'!$B$10,Paramètres!$A$1:$I$89,5,0)</f>
        <v>100.08179999999999</v>
      </c>
      <c r="AK32" s="13">
        <f t="shared" si="35"/>
        <v>26.981484342875188</v>
      </c>
      <c r="AL32" s="20">
        <f t="shared" si="4"/>
        <v>221.30188689717423</v>
      </c>
      <c r="AM32" s="59">
        <f t="shared" si="5"/>
        <v>514.63522023050757</v>
      </c>
      <c r="AN32" s="59">
        <f ca="1">AVERAGE(OFFSET($AM$3,0,0,'Données projet'!$E$10+1,1))-AVERAGE(OFFSET($H$3,0,0,'Données projet'!$E$10+1,1))</f>
        <v>279.20364724206644</v>
      </c>
      <c r="AO32" s="59">
        <f t="shared" si="36"/>
        <v>173.99850582760712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0</v>
      </c>
      <c r="AW32" s="21">
        <f>EXP(-LN(2)/2)*AW31+(1-EXP(-LN(2)/2))/(LN(2)/2)*AQ32*AT32*VLOOKUP('Données projet'!$B$10,Paramètres!$A$1:$I$89,3,0)*0.475*44/12</f>
        <v>0</v>
      </c>
      <c r="AX32" s="21">
        <f t="shared" si="6"/>
        <v>0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9.1999999999999993</v>
      </c>
      <c r="BD32" s="12">
        <f>IF('Données projet'!$A$88&gt;35,BD31+BC32-BL31,IF(A32&lt;'Données projet'!$A$88,$BA$205^A32,IF(A32='Données projet'!$A$88,'Données projet'!$B$88,BD31+BC32-BL31)))</f>
        <v>228.2999999999999</v>
      </c>
      <c r="BE32" s="13">
        <f>BD32*VLOOKUP('Données projet'!$B$11,Paramètres!$A$1:$I$89,3,0)*VLOOKUP('Données projet'!$B$11,Paramètres!$A$1:$I$89,5,0)</f>
        <v>106.84439999999995</v>
      </c>
      <c r="BF32" s="13">
        <f t="shared" si="37"/>
        <v>28.586245822975961</v>
      </c>
      <c r="BG32" s="20">
        <f t="shared" si="7"/>
        <v>235.87504147501636</v>
      </c>
      <c r="BH32" s="59">
        <f t="shared" si="8"/>
        <v>529.20837480834962</v>
      </c>
      <c r="BI32" s="59">
        <f ca="1">AVERAGE(OFFSET($BH$3,0,0,'Données projet'!$E$11+1,1))-AVERAGE(OFFSET($H$3,0,0,'Données projet'!$E$11+1,1))</f>
        <v>215.23235148064941</v>
      </c>
      <c r="BJ32" s="59">
        <f t="shared" si="38"/>
        <v>184.07239726900434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0</v>
      </c>
      <c r="BQ32" s="21">
        <f>EXP(-LN(2)/25)*BQ31+(1-EXP(-LN(2)/25))/(LN(2)/25)*Calculateur!BL32*Calculateur!BN32*VLOOKUP('Données projet'!$B$11,Paramètres!$A$1:$I$89,3,0)*0.475*44/12</f>
        <v>1.6562761942547666</v>
      </c>
      <c r="BR32" s="21">
        <f>EXP(-LN(2)/2)*BR31+(1-EXP(-LN(2)/2))/(LN(2)/2)*BL32*BO32*VLOOKUP('Données projet'!$B$11,Paramètres!$A$1:$I$89,3,0)*0.475*44/12</f>
        <v>0.1463613575761695</v>
      </c>
      <c r="BS32" s="22">
        <f t="shared" si="9"/>
        <v>1.8026375518309361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 t="e">
        <f>BY32*VLOOKUP('Données projet'!$B$12,Paramètres!$A$1:$I$89,3,0)*VLOOKUP('Données projet'!$B$12,Paramètres!$A$1:$I$89,5,0)</f>
        <v>#N/A</v>
      </c>
      <c r="CA32" s="13" t="e">
        <f t="shared" si="39"/>
        <v>#N/A</v>
      </c>
      <c r="CB32" s="20" t="e">
        <f t="shared" si="10"/>
        <v>#N/A</v>
      </c>
      <c r="CC32" s="59" t="e">
        <f t="shared" si="11"/>
        <v>#N/A</v>
      </c>
      <c r="CD32" s="59" t="e">
        <f ca="1">AVERAGE(OFFSET($CC$3,0,0,'Données projet'!$E$12+1,1))-AVERAGE(OFFSET($H$3,0,0,'Données projet'!$E$12+1,1))</f>
        <v>#N/A</v>
      </c>
      <c r="CE32" s="59" t="e">
        <f t="shared" si="40"/>
        <v>#N/A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 t="e">
        <f>EXP(-LN(2)/35)*CK31+(1-EXP(-LN(2)/35))/(LN(2)/35)*CG32*CH32*VLOOKUP('Données projet'!$B$12,Paramètres!$A$1:$I$89,3,0)*0.475*44/12</f>
        <v>#N/A</v>
      </c>
      <c r="CL32" s="21" t="e">
        <f>EXP(-LN(2)/25)*CL31+(1-EXP(-LN(2)/25))/(LN(2)/25)*Calculateur!CG32*Calculateur!CI32*VLOOKUP('Données projet'!$B$12,Paramètres!$A$1:$I$89,3,0)*0.475*44/12</f>
        <v>#N/A</v>
      </c>
      <c r="CM32" s="21" t="e">
        <f>EXP(-LN(2)/2)*CM31+(1-EXP(-LN(2)/2))/(LN(2)/2)*CG32*CJ32*VLOOKUP('Données projet'!$B$12,Paramètres!$A$1:$I$89,3,0)*0.475*44/12</f>
        <v>#N/A</v>
      </c>
      <c r="CN32" s="22" t="e">
        <f t="shared" si="12"/>
        <v>#N/A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25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26.675999999999991</v>
      </c>
      <c r="D33" s="11">
        <f t="shared" si="32"/>
        <v>8.388268495647786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10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270.67154628219339</v>
      </c>
      <c r="H33" s="67">
        <f t="shared" si="1"/>
        <v>354.40360096325321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280</v>
      </c>
      <c r="L33" s="12">
        <f>VLOOKUP(A33,'Données projet'!$A$35:$I$55,9,0)</f>
        <v>19.3</v>
      </c>
      <c r="M33" s="12">
        <f t="array" ref="M33">INDEX(L:L,MIN(IF(ISNUMBER(L33:L229),ROW(L33:L229),"")))</f>
        <v>19.3</v>
      </c>
      <c r="N33" s="13">
        <f>IF('Données projet'!$A$36&gt;35,N32+M33-V32,IF(A33&lt;'Données projet'!$A$36,$K$205^A33,IF(A33='Données projet'!$A$36,'Données projet'!$B$36,N32+M33-V32)))</f>
        <v>280.00000000000006</v>
      </c>
      <c r="O33" s="13">
        <f>N33*VLOOKUP('Données projet'!$B$9,Paramètres!$A$1:$I$89,3,0)*VLOOKUP('Données projet'!$B$9,Paramètres!$A$1:$I$89,5,0)</f>
        <v>156.52000000000004</v>
      </c>
      <c r="P33" s="13">
        <f t="shared" si="33"/>
        <v>40.056589961286939</v>
      </c>
      <c r="Q33" s="20">
        <f t="shared" si="2"/>
        <v>342.37089418257483</v>
      </c>
      <c r="R33" s="59">
        <f t="shared" si="0"/>
        <v>635.70422751590809</v>
      </c>
      <c r="S33" s="59">
        <f ca="1">AVERAGE(OFFSET($R$3,0,0,'Données projet'!$E$9+1,1))-AVERAGE(OFFSET($H$3,0,0,'Données projet'!$E$9+1,1))</f>
        <v>279.98352834501759</v>
      </c>
      <c r="T33" s="59">
        <f t="shared" si="34"/>
        <v>281.30062655265488</v>
      </c>
      <c r="U33" s="15">
        <f>IF(ISNA(VLOOKUP(A33,'Données projet'!$A$35:$I$55,3,0)),0,VLOOKUP(A33,'Données projet'!$A$35:$I$55,3,0))</f>
        <v>2</v>
      </c>
      <c r="V33" s="15">
        <f>IF(ISNA(VLOOKUP(A33,'Données projet'!$A$35:$I$55,4,0)),0,VLOOKUP(A33,'Données projet'!$A$35:$I$55,4,0))</f>
        <v>98</v>
      </c>
      <c r="W33" s="16">
        <f>IF(ISNA(VLOOKUP(A33,'Données projet'!$A$35:$I$55,5,0)),0%,VLOOKUP(A33,'Données projet'!$A$35:$I$55,5,0)*VLOOKUP('Données projet'!$B$9,Paramètres!$A$1:$I$89,7,0))</f>
        <v>5.5000000000000007E-2</v>
      </c>
      <c r="X33" s="16">
        <f>IF(ISNA(VLOOKUP(A33,'Données projet'!$A$35:$I$55,6,0)),0%,VLOOKUP(A33,'Données projet'!$A$35:$I$55,6,0)*VLOOKUP('Données projet'!$B$9,Paramètres!$A$1:$I$89,7,0))</f>
        <v>0.24750000000000003</v>
      </c>
      <c r="Y33" s="16">
        <f>IF(ISNA(VLOOKUP(A33,'Données projet'!$A$35:$I$55,7,0)),0%,VLOOKUP(A33,'Données projet'!$A$35:$I$55,7,0))</f>
        <v>0.45</v>
      </c>
      <c r="Z33" s="21">
        <f>EXP(-LN(2)/35)*Z32+(1-EXP(-LN(2)/35))/(LN(2)/35)*V33*W33*VLOOKUP('Données projet'!$B$9,Paramètres!$A$1:$I$89,3,0)*0.475*44/12</f>
        <v>3.9969519698838893</v>
      </c>
      <c r="AA33" s="21">
        <f>EXP(-LN(2)/25)*AA32+(1-EXP(-LN(2)/25))/(LN(2)/25)*Calculateur!V33*Calculateur!X33*VLOOKUP('Données projet'!$B$9,Paramètres!$A$1:$I$89,3,0)*0.475*44/12</f>
        <v>24.226947164126074</v>
      </c>
      <c r="AB33" s="21">
        <f>EXP(-LN(2)/2)*AB32+(1-EXP(-LN(2)/2))/(LN(2)/2)*V33*Y33*VLOOKUP('Données projet'!$B$9,Paramètres!$A$1:$I$89,3,0)*0.475*44/12</f>
        <v>28.317140375814699</v>
      </c>
      <c r="AC33" s="22">
        <f t="shared" si="3"/>
        <v>56.541039509824657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105</v>
      </c>
      <c r="AG33" s="12">
        <f>VLOOKUP(A33,'Données projet'!$A$61:$I$81,9,0)</f>
        <v>6.3</v>
      </c>
      <c r="AH33" s="12">
        <f t="array" ref="AH33">INDEX(AG:AG,MIN(IF(ISNUMBER(AG33:AG229),ROW(AG33:AG229),"")))</f>
        <v>6.3</v>
      </c>
      <c r="AI33" s="13">
        <f>IF('Données projet'!$A$62&gt;35,AI32+AH33-AQ32,IF(A33&lt;'Données projet'!$A$62,$AF$205^A33,IF(A33='Données projet'!$A$62,'Données projet'!$B$62,AI32+AH33-AQ32)))</f>
        <v>104.99999999999997</v>
      </c>
      <c r="AJ33" s="13">
        <f>AI33*VLOOKUP('Données projet'!$B$10,Paramètres!$A$1:$I$89,3,0)*VLOOKUP('Données projet'!$B$10,Paramètres!$A$1:$I$89,5,0)</f>
        <v>106.46999999999998</v>
      </c>
      <c r="AK33" s="13">
        <f t="shared" si="35"/>
        <v>28.497716817718885</v>
      </c>
      <c r="AL33" s="20">
        <f t="shared" si="4"/>
        <v>235.06877345752699</v>
      </c>
      <c r="AM33" s="59">
        <f t="shared" si="5"/>
        <v>528.40210679086033</v>
      </c>
      <c r="AN33" s="59">
        <f ca="1">AVERAGE(OFFSET($AM$3,0,0,'Données projet'!$E$10+1,1))-AVERAGE(OFFSET($H$3,0,0,'Données projet'!$E$10+1,1))</f>
        <v>279.20364724206644</v>
      </c>
      <c r="AO33" s="59">
        <f t="shared" si="36"/>
        <v>173.99850582760712</v>
      </c>
      <c r="AP33" s="15">
        <f>IF(ISNA(VLOOKUP(A33,'Données projet'!$A$61:$I$81,3,0)),0,VLOOKUP(A33,'Données projet'!$A$61:$I$81,3,0))</f>
        <v>1</v>
      </c>
      <c r="AQ33" s="15">
        <f>IF(ISNA(VLOOKUP(A33,'Données projet'!$A$61:$I$81,4,0)),0,VLOOKUP(A33,'Données projet'!$A$61:$I$81,4,0))</f>
        <v>29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0.1075</v>
      </c>
      <c r="AT33" s="16">
        <f>IF(ISNA(VLOOKUP(A33,'Données projet'!$A$61:$I$81,7,0)),0%,VLOOKUP(A33,'Données projet'!$A$61:$I$81,7,0))</f>
        <v>0.25</v>
      </c>
      <c r="AU33" s="21">
        <f>EXP(-LN(2)/35)*AU32+(1-EXP(-LN(2)/35))/(LN(2)/35)*AQ33*AR33*VLOOKUP('Données projet'!$B$10,Paramètres!$A$1:$I$89,3,0)*0.475*44/12</f>
        <v>0</v>
      </c>
      <c r="AV33" s="21">
        <f>EXP(-LN(2)/25)*AV32+(1-EXP(-LN(2)/25))/(LN(2)/25)*Calculateur!AQ33*Calculateur!AS33*VLOOKUP('Données projet'!$B$10,Paramètres!$A$1:$I$89,3,0)*0.475*44/12</f>
        <v>3.4807927795145521</v>
      </c>
      <c r="AW33" s="21">
        <f>EXP(-LN(2)/2)*AW32+(1-EXP(-LN(2)/2))/(LN(2)/2)*AQ33*AT33*VLOOKUP('Données projet'!$B$10,Paramètres!$A$1:$I$89,3,0)*0.475*44/12</f>
        <v>6.9363381127215114</v>
      </c>
      <c r="AX33" s="21">
        <f t="shared" si="6"/>
        <v>10.417130892236063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>
        <f>VLOOKUP(A33,'Données projet'!$A$87:$I$107,2,0)</f>
        <v>237.5</v>
      </c>
      <c r="BB33" s="12">
        <f>VLOOKUP(A33,'Données projet'!$A$87:$I$107,9,0)</f>
        <v>9.1999999999999993</v>
      </c>
      <c r="BC33" s="12">
        <f t="array" ref="BC33">INDEX(BB:BB,MIN(IF(ISNUMBER(BB33:BB229),ROW(BB33:BB229),"")))</f>
        <v>9.1999999999999993</v>
      </c>
      <c r="BD33" s="12">
        <f>IF('Données projet'!$A$88&gt;35,BD32+BC33-BL32,IF(A33&lt;'Données projet'!$A$88,$BA$205^A33,IF(A33='Données projet'!$A$88,'Données projet'!$B$88,BD32+BC33-BL32)))</f>
        <v>237.49999999999989</v>
      </c>
      <c r="BE33" s="13">
        <f>BD33*VLOOKUP('Données projet'!$B$11,Paramètres!$A$1:$I$89,3,0)*VLOOKUP('Données projet'!$B$11,Paramètres!$A$1:$I$89,5,0)</f>
        <v>111.14999999999995</v>
      </c>
      <c r="BF33" s="13">
        <f t="shared" si="37"/>
        <v>29.601769319956546</v>
      </c>
      <c r="BG33" s="20">
        <f t="shared" si="7"/>
        <v>245.14266489892427</v>
      </c>
      <c r="BH33" s="59">
        <f t="shared" si="8"/>
        <v>538.47599823225755</v>
      </c>
      <c r="BI33" s="59">
        <f ca="1">AVERAGE(OFFSET($BH$3,0,0,'Données projet'!$E$11+1,1))-AVERAGE(OFFSET($H$3,0,0,'Données projet'!$E$11+1,1))</f>
        <v>215.23235148064941</v>
      </c>
      <c r="BJ33" s="59">
        <f t="shared" si="38"/>
        <v>184.07239726900434</v>
      </c>
      <c r="BK33" s="15">
        <f>IF(ISNA(VLOOKUP(A33,'Données projet'!$A$87:$I$107,3,0)),0,VLOOKUP(A33,'Données projet'!$A$87:$I$107,3,0))</f>
        <v>2</v>
      </c>
      <c r="BL33" s="15">
        <f>IF(ISNA(VLOOKUP(A33,'Données projet'!$A$87:$I$107,4,0)),0,VLOOKUP(A33,'Données projet'!$A$87:$I$107,4,0))</f>
        <v>45.9</v>
      </c>
      <c r="BM33" s="16">
        <f>IF(ISNA(VLOOKUP(A33,'Données projet'!$A$87:$I$107,5,0)),0%,VLOOKUP(A33,'Données projet'!$A$87:$I$107,5,0)*VLOOKUP('Données projet'!$B$11,Paramètres!$A$1:$I$89,7,0))</f>
        <v>0.11000000000000001</v>
      </c>
      <c r="BN33" s="16">
        <f>IF(ISNA(VLOOKUP(A33,'Données projet'!$A$87:$I$107,6,0)),0%,VLOOKUP(A33,'Données projet'!$A$87:$I$107,6,0)*VLOOKUP('Données projet'!$B$11,Paramètres!$A$1:$I$89,7,0))</f>
        <v>0.22000000000000003</v>
      </c>
      <c r="BO33" s="16">
        <f>IF(ISNA(VLOOKUP(A33,'Données projet'!$A$87:$I$107,7,0)),0%,VLOOKUP(A33,'Données projet'!$A$87:$I$107,7,0))</f>
        <v>0.4</v>
      </c>
      <c r="BP33" s="21">
        <f>EXP(-LN(2)/35)*BP32+(1-EXP(-LN(2)/35))/(LN(2)/35)*BL33*BM33*VLOOKUP('Données projet'!$B$11,Paramètres!$A$1:$I$89,3,0)*0.475*44/12</f>
        <v>3.1345816018206638</v>
      </c>
      <c r="BQ33" s="21">
        <f>EXP(-LN(2)/25)*BQ32+(1-EXP(-LN(2)/25))/(LN(2)/25)*Calculateur!BL33*Calculateur!BN33*VLOOKUP('Données projet'!$B$11,Paramètres!$A$1:$I$89,3,0)*0.475*44/12</f>
        <v>7.8554643539932272</v>
      </c>
      <c r="BR33" s="21">
        <f>EXP(-LN(2)/2)*BR32+(1-EXP(-LN(2)/2))/(LN(2)/2)*BL33*BO33*VLOOKUP('Données projet'!$B$11,Paramètres!$A$1:$I$89,3,0)*0.475*44/12</f>
        <v>9.8321764802959866</v>
      </c>
      <c r="BS33" s="22">
        <f t="shared" si="9"/>
        <v>20.822222436109875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 t="e">
        <f>BY33*VLOOKUP('Données projet'!$B$12,Paramètres!$A$1:$I$89,3,0)*VLOOKUP('Données projet'!$B$12,Paramètres!$A$1:$I$89,5,0)</f>
        <v>#N/A</v>
      </c>
      <c r="CA33" s="13" t="e">
        <f t="shared" si="39"/>
        <v>#N/A</v>
      </c>
      <c r="CB33" s="20" t="e">
        <f t="shared" si="10"/>
        <v>#N/A</v>
      </c>
      <c r="CC33" s="59" t="e">
        <f t="shared" si="11"/>
        <v>#N/A</v>
      </c>
      <c r="CD33" s="59" t="e">
        <f ca="1">AVERAGE(OFFSET($CC$3,0,0,'Données projet'!$E$12+1,1))-AVERAGE(OFFSET($H$3,0,0,'Données projet'!$E$12+1,1))</f>
        <v>#N/A</v>
      </c>
      <c r="CE33" s="59" t="e">
        <f t="shared" si="40"/>
        <v>#N/A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 t="e">
        <f>EXP(-LN(2)/35)*CK32+(1-EXP(-LN(2)/35))/(LN(2)/35)*CG33*CH33*VLOOKUP('Données projet'!$B$12,Paramètres!$A$1:$I$89,3,0)*0.475*44/12</f>
        <v>#N/A</v>
      </c>
      <c r="CL33" s="21" t="e">
        <f>EXP(-LN(2)/25)*CL32+(1-EXP(-LN(2)/25))/(LN(2)/25)*Calculateur!CG33*Calculateur!CI33*VLOOKUP('Données projet'!$B$12,Paramètres!$A$1:$I$89,3,0)*0.475*44/12</f>
        <v>#N/A</v>
      </c>
      <c r="CM33" s="21" t="e">
        <f>EXP(-LN(2)/2)*CM32+(1-EXP(-LN(2)/2))/(LN(2)/2)*CG33*CJ33*VLOOKUP('Données projet'!$B$12,Paramètres!$A$1:$I$89,3,0)*0.475*44/12</f>
        <v>#N/A</v>
      </c>
      <c r="CN33" s="22" t="e">
        <f t="shared" si="12"/>
        <v>#N/A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25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27.56519999999999</v>
      </c>
      <c r="D34" s="11">
        <f t="shared" si="32"/>
        <v>8.6348575052881742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10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279.43904039169814</v>
      </c>
      <c r="H34" s="67">
        <f t="shared" si="1"/>
        <v>356.38176682171019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19.7</v>
      </c>
      <c r="N34" s="13">
        <f>IF('Données projet'!$A$36&gt;35,N33+M34-V33,IF(A34&lt;'Données projet'!$A$36,$K$205^A34,IF(A34='Données projet'!$A$36,'Données projet'!$B$36,N33+M34-V33)))</f>
        <v>201.70000000000005</v>
      </c>
      <c r="O34" s="13">
        <f>N34*VLOOKUP('Données projet'!$B$9,Paramètres!$A$1:$I$89,3,0)*VLOOKUP('Données projet'!$B$9,Paramètres!$A$1:$I$89,5,0)</f>
        <v>112.75030000000004</v>
      </c>
      <c r="P34" s="13">
        <f t="shared" si="33"/>
        <v>29.978042431779432</v>
      </c>
      <c r="Q34" s="20">
        <f t="shared" si="2"/>
        <v>248.5851964020159</v>
      </c>
      <c r="R34" s="59">
        <f t="shared" si="0"/>
        <v>541.91852973534924</v>
      </c>
      <c r="S34" s="59">
        <f ca="1">AVERAGE(OFFSET($R$3,0,0,'Données projet'!$E$9+1,1))-AVERAGE(OFFSET($H$3,0,0,'Données projet'!$E$9+1,1))</f>
        <v>279.98352834501759</v>
      </c>
      <c r="T34" s="59">
        <f t="shared" si="34"/>
        <v>281.30062655265488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3.9185741796544451</v>
      </c>
      <c r="AA34" s="21">
        <f>EXP(-LN(2)/25)*AA33+(1-EXP(-LN(2)/25))/(LN(2)/25)*Calculateur!V34*Calculateur!X34*VLOOKUP('Données projet'!$B$9,Paramètres!$A$1:$I$89,3,0)*0.475*44/12</f>
        <v>23.564460019883267</v>
      </c>
      <c r="AB34" s="21">
        <f>EXP(-LN(2)/2)*AB33+(1-EXP(-LN(2)/2))/(LN(2)/2)*V34*Y34*VLOOKUP('Données projet'!$B$9,Paramètres!$A$1:$I$89,3,0)*0.475*44/12</f>
        <v>20.023241983549955</v>
      </c>
      <c r="AC34" s="22">
        <f t="shared" si="3"/>
        <v>47.506276183087664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8.1999999999999993</v>
      </c>
      <c r="AI34" s="13">
        <f>IF('Données projet'!$A$62&gt;35,AI33+AH34-AQ33,IF(A34&lt;'Données projet'!$A$62,$AF$205^A34,IF(A34='Données projet'!$A$62,'Données projet'!$B$62,AI33+AH34-AQ33)))</f>
        <v>84.199999999999974</v>
      </c>
      <c r="AJ34" s="13">
        <f>AI34*VLOOKUP('Données projet'!$B$10,Paramètres!$A$1:$I$89,3,0)*VLOOKUP('Données projet'!$B$10,Paramètres!$A$1:$I$89,5,0)</f>
        <v>85.37879999999997</v>
      </c>
      <c r="AK34" s="13">
        <f t="shared" si="35"/>
        <v>23.447306793896495</v>
      </c>
      <c r="AL34" s="20">
        <f t="shared" si="4"/>
        <v>189.53880266603633</v>
      </c>
      <c r="AM34" s="59">
        <f t="shared" si="5"/>
        <v>482.87213599936968</v>
      </c>
      <c r="AN34" s="59">
        <f ca="1">AVERAGE(OFFSET($AM$3,0,0,'Données projet'!$E$10+1,1))-AVERAGE(OFFSET($H$3,0,0,'Données projet'!$E$10+1,1))</f>
        <v>279.20364724206644</v>
      </c>
      <c r="AO34" s="59">
        <f t="shared" si="36"/>
        <v>173.99850582760712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0</v>
      </c>
      <c r="AV34" s="21">
        <f>EXP(-LN(2)/25)*AV33+(1-EXP(-LN(2)/25))/(LN(2)/25)*Calculateur!AQ34*Calculateur!AS34*VLOOKUP('Données projet'!$B$10,Paramètres!$A$1:$I$89,3,0)*0.475*44/12</f>
        <v>3.38561031791179</v>
      </c>
      <c r="AW34" s="21">
        <f>EXP(-LN(2)/2)*AW33+(1-EXP(-LN(2)/2))/(LN(2)/2)*AQ34*AT34*VLOOKUP('Données projet'!$B$10,Paramètres!$A$1:$I$89,3,0)*0.475*44/12</f>
        <v>4.9047317161080803</v>
      </c>
      <c r="AX34" s="21">
        <f t="shared" si="6"/>
        <v>8.2903420340198704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10.000000000000004</v>
      </c>
      <c r="BD34" s="12">
        <f>IF('Données projet'!$A$88&gt;35,BD33+BC34-BL33,IF(A34&lt;'Données projet'!$A$88,$BA$205^A34,IF(A34='Données projet'!$A$88,'Données projet'!$B$88,BD33+BC34-BL33)))</f>
        <v>201.59999999999988</v>
      </c>
      <c r="BE34" s="13">
        <f>BD34*VLOOKUP('Données projet'!$B$11,Paramètres!$A$1:$I$89,3,0)*VLOOKUP('Données projet'!$B$11,Paramètres!$A$1:$I$89,5,0)</f>
        <v>94.34879999999994</v>
      </c>
      <c r="BF34" s="13">
        <f t="shared" si="37"/>
        <v>25.611153022386439</v>
      </c>
      <c r="BG34" s="20">
        <f t="shared" si="7"/>
        <v>208.93025151398959</v>
      </c>
      <c r="BH34" s="59">
        <f t="shared" si="8"/>
        <v>502.26358484732293</v>
      </c>
      <c r="BI34" s="59">
        <f ca="1">AVERAGE(OFFSET($BH$3,0,0,'Données projet'!$E$11+1,1))-AVERAGE(OFFSET($H$3,0,0,'Données projet'!$E$11+1,1))</f>
        <v>215.23235148064941</v>
      </c>
      <c r="BJ34" s="59">
        <f t="shared" si="38"/>
        <v>184.07239726900434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3.0731143685149527</v>
      </c>
      <c r="BQ34" s="21">
        <f>EXP(-LN(2)/25)*BQ33+(1-EXP(-LN(2)/25))/(LN(2)/25)*Calculateur!BL34*Calculateur!BN34*VLOOKUP('Données projet'!$B$11,Paramètres!$A$1:$I$89,3,0)*0.475*44/12</f>
        <v>7.640656268132366</v>
      </c>
      <c r="BR34" s="21">
        <f>EXP(-LN(2)/2)*BR33+(1-EXP(-LN(2)/2))/(LN(2)/2)*BL34*BO34*VLOOKUP('Données projet'!$B$11,Paramètres!$A$1:$I$89,3,0)*0.475*44/12</f>
        <v>6.9523986630401735</v>
      </c>
      <c r="BS34" s="22">
        <f t="shared" si="9"/>
        <v>17.666169299687493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 t="e">
        <f>BY34*VLOOKUP('Données projet'!$B$12,Paramètres!$A$1:$I$89,3,0)*VLOOKUP('Données projet'!$B$12,Paramètres!$A$1:$I$89,5,0)</f>
        <v>#N/A</v>
      </c>
      <c r="CA34" s="13" t="e">
        <f t="shared" si="39"/>
        <v>#N/A</v>
      </c>
      <c r="CB34" s="20" t="e">
        <f t="shared" si="10"/>
        <v>#N/A</v>
      </c>
      <c r="CC34" s="59" t="e">
        <f t="shared" si="11"/>
        <v>#N/A</v>
      </c>
      <c r="CD34" s="59" t="e">
        <f ca="1">AVERAGE(OFFSET($CC$3,0,0,'Données projet'!$E$12+1,1))-AVERAGE(OFFSET($H$3,0,0,'Données projet'!$E$12+1,1))</f>
        <v>#N/A</v>
      </c>
      <c r="CE34" s="59" t="e">
        <f t="shared" si="40"/>
        <v>#N/A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 t="e">
        <f>EXP(-LN(2)/35)*CK33+(1-EXP(-LN(2)/35))/(LN(2)/35)*CG34*CH34*VLOOKUP('Données projet'!$B$12,Paramètres!$A$1:$I$89,3,0)*0.475*44/12</f>
        <v>#N/A</v>
      </c>
      <c r="CL34" s="21" t="e">
        <f>EXP(-LN(2)/25)*CL33+(1-EXP(-LN(2)/25))/(LN(2)/25)*Calculateur!CG34*Calculateur!CI34*VLOOKUP('Données projet'!$B$12,Paramètres!$A$1:$I$89,3,0)*0.475*44/12</f>
        <v>#N/A</v>
      </c>
      <c r="CM34" s="21" t="e">
        <f>EXP(-LN(2)/2)*CM33+(1-EXP(-LN(2)/2))/(LN(2)/2)*CG34*CJ34*VLOOKUP('Données projet'!$B$12,Paramètres!$A$1:$I$89,3,0)*0.475*44/12</f>
        <v>#N/A</v>
      </c>
      <c r="CN34" s="22" t="e">
        <f t="shared" si="12"/>
        <v>#N/A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25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28.454399999999989</v>
      </c>
      <c r="D35" s="11">
        <f t="shared" si="32"/>
        <v>8.8805221797401579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10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288.19939928220469</v>
      </c>
      <c r="H35" s="67">
        <f t="shared" si="1"/>
        <v>358.35832279638072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19.7</v>
      </c>
      <c r="N35" s="13">
        <f>IF('Données projet'!$A$36&gt;35,N34+M35-V34,IF(A35&lt;'Données projet'!$A$36,$K$205^A35,IF(A35='Données projet'!$A$36,'Données projet'!$B$36,N34+M35-V34)))</f>
        <v>221.40000000000003</v>
      </c>
      <c r="O35" s="13">
        <f>N35*VLOOKUP('Données projet'!$B$9,Paramètres!$A$1:$I$89,3,0)*VLOOKUP('Données projet'!$B$9,Paramètres!$A$1:$I$89,5,0)</f>
        <v>123.76260000000002</v>
      </c>
      <c r="P35" s="13">
        <f t="shared" si="33"/>
        <v>32.550980903536193</v>
      </c>
      <c r="Q35" s="20">
        <f t="shared" ref="Q35:Q66" si="53">(O35+P35)*0.475*44/12</f>
        <v>272.24615340699222</v>
      </c>
      <c r="R35" s="59">
        <f t="shared" si="0"/>
        <v>565.57948674032559</v>
      </c>
      <c r="S35" s="59">
        <f ca="1">AVERAGE(OFFSET($R$3,0,0,'Données projet'!$E$9+1,1))-AVERAGE(OFFSET($H$3,0,0,'Données projet'!$E$9+1,1))</f>
        <v>279.98352834501759</v>
      </c>
      <c r="T35" s="59">
        <f t="shared" si="34"/>
        <v>281.30062655265488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3.8417333300856686</v>
      </c>
      <c r="AA35" s="21">
        <f>EXP(-LN(2)/25)*AA34+(1-EXP(-LN(2)/25))/(LN(2)/25)*Calculateur!V35*Calculateur!X35*VLOOKUP('Données projet'!$B$9,Paramètres!$A$1:$I$89,3,0)*0.475*44/12</f>
        <v>22.920088621438463</v>
      </c>
      <c r="AB35" s="21">
        <f>EXP(-LN(2)/2)*AB34+(1-EXP(-LN(2)/2))/(LN(2)/2)*V35*Y35*VLOOKUP('Données projet'!$B$9,Paramètres!$A$1:$I$89,3,0)*0.475*44/12</f>
        <v>14.158570187907351</v>
      </c>
      <c r="AC35" s="22">
        <f t="shared" si="3"/>
        <v>40.920392139431485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8.1999999999999993</v>
      </c>
      <c r="AI35" s="13">
        <f>IF('Données projet'!$A$62&gt;35,AI34+AH35-AQ34,IF(A35&lt;'Données projet'!$A$62,$AF$205^A35,IF(A35='Données projet'!$A$62,'Données projet'!$B$62,AI34+AH35-AQ34)))</f>
        <v>92.399999999999977</v>
      </c>
      <c r="AJ35" s="13">
        <f>AI35*VLOOKUP('Données projet'!$B$10,Paramètres!$A$1:$I$89,3,0)*VLOOKUP('Données projet'!$B$10,Paramètres!$A$1:$I$89,5,0)</f>
        <v>93.693599999999989</v>
      </c>
      <c r="AK35" s="13">
        <f t="shared" si="35"/>
        <v>25.453936461054091</v>
      </c>
      <c r="AL35" s="20">
        <f t="shared" si="4"/>
        <v>207.51529266966918</v>
      </c>
      <c r="AM35" s="59">
        <f t="shared" si="5"/>
        <v>500.84862600300249</v>
      </c>
      <c r="AN35" s="59">
        <f ca="1">AVERAGE(OFFSET($AM$3,0,0,'Données projet'!$E$10+1,1))-AVERAGE(OFFSET($H$3,0,0,'Données projet'!$E$10+1,1))</f>
        <v>279.20364724206644</v>
      </c>
      <c r="AO35" s="59">
        <f t="shared" si="36"/>
        <v>173.99850582760712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0</v>
      </c>
      <c r="AV35" s="21">
        <f>EXP(-LN(2)/25)*AV34+(1-EXP(-LN(2)/25))/(LN(2)/25)*Calculateur!AQ35*Calculateur!AS35*VLOOKUP('Données projet'!$B$10,Paramètres!$A$1:$I$89,3,0)*0.475*44/12</f>
        <v>3.2930306257269835</v>
      </c>
      <c r="AW35" s="21">
        <f>EXP(-LN(2)/2)*AW34+(1-EXP(-LN(2)/2))/(LN(2)/2)*AQ35*AT35*VLOOKUP('Données projet'!$B$10,Paramètres!$A$1:$I$89,3,0)*0.475*44/12</f>
        <v>3.4681690563607561</v>
      </c>
      <c r="AX35" s="21">
        <f t="shared" si="6"/>
        <v>6.7611996820877396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10.000000000000004</v>
      </c>
      <c r="BD35" s="12">
        <f>IF('Données projet'!$A$88&gt;35,BD34+BC35-BL34,IF(A35&lt;'Données projet'!$A$88,$BA$205^A35,IF(A35='Données projet'!$A$88,'Données projet'!$B$88,BD34+BC35-BL34)))</f>
        <v>211.59999999999988</v>
      </c>
      <c r="BE35" s="13">
        <f>BD35*VLOOKUP('Données projet'!$B$11,Paramètres!$A$1:$I$89,3,0)*VLOOKUP('Données projet'!$B$11,Paramètres!$A$1:$I$89,5,0)</f>
        <v>99.028799999999947</v>
      </c>
      <c r="BF35" s="13">
        <f t="shared" si="37"/>
        <v>26.730491283721712</v>
      </c>
      <c r="BG35" s="20">
        <f t="shared" si="7"/>
        <v>219.0307656524819</v>
      </c>
      <c r="BH35" s="59">
        <f t="shared" si="8"/>
        <v>512.36409898581519</v>
      </c>
      <c r="BI35" s="59">
        <f ca="1">AVERAGE(OFFSET($BH$3,0,0,'Données projet'!$E$11+1,1))-AVERAGE(OFFSET($H$3,0,0,'Données projet'!$E$11+1,1))</f>
        <v>215.23235148064941</v>
      </c>
      <c r="BJ35" s="59">
        <f t="shared" si="38"/>
        <v>184.07239726900434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3.0128524701630561</v>
      </c>
      <c r="BQ35" s="21">
        <f>EXP(-LN(2)/25)*BQ34+(1-EXP(-LN(2)/25))/(LN(2)/25)*Calculateur!BL35*Calculateur!BN35*VLOOKUP('Données projet'!$B$11,Paramètres!$A$1:$I$89,3,0)*0.475*44/12</f>
        <v>7.4317221206756363</v>
      </c>
      <c r="BR35" s="21">
        <f>EXP(-LN(2)/2)*BR34+(1-EXP(-LN(2)/2))/(LN(2)/2)*BL35*BO35*VLOOKUP('Données projet'!$B$11,Paramètres!$A$1:$I$89,3,0)*0.475*44/12</f>
        <v>4.9160882401479942</v>
      </c>
      <c r="BS35" s="22">
        <f t="shared" si="9"/>
        <v>15.360662830986687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 t="e">
        <f>BY35*VLOOKUP('Données projet'!$B$12,Paramètres!$A$1:$I$89,3,0)*VLOOKUP('Données projet'!$B$12,Paramètres!$A$1:$I$89,5,0)</f>
        <v>#N/A</v>
      </c>
      <c r="CA35" s="13" t="e">
        <f t="shared" si="39"/>
        <v>#N/A</v>
      </c>
      <c r="CB35" s="20" t="e">
        <f t="shared" si="10"/>
        <v>#N/A</v>
      </c>
      <c r="CC35" s="59" t="e">
        <f t="shared" si="11"/>
        <v>#N/A</v>
      </c>
      <c r="CD35" s="59" t="e">
        <f ca="1">AVERAGE(OFFSET($CC$3,0,0,'Données projet'!$E$12+1,1))-AVERAGE(OFFSET($H$3,0,0,'Données projet'!$E$12+1,1))</f>
        <v>#N/A</v>
      </c>
      <c r="CE35" s="59" t="e">
        <f t="shared" si="40"/>
        <v>#N/A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 t="e">
        <f>EXP(-LN(2)/35)*CK34+(1-EXP(-LN(2)/35))/(LN(2)/35)*CG35*CH35*VLOOKUP('Données projet'!$B$12,Paramètres!$A$1:$I$89,3,0)*0.475*44/12</f>
        <v>#N/A</v>
      </c>
      <c r="CL35" s="21" t="e">
        <f>EXP(-LN(2)/25)*CL34+(1-EXP(-LN(2)/25))/(LN(2)/25)*Calculateur!CG35*Calculateur!CI35*VLOOKUP('Données projet'!$B$12,Paramètres!$A$1:$I$89,3,0)*0.475*44/12</f>
        <v>#N/A</v>
      </c>
      <c r="CM35" s="21" t="e">
        <f>EXP(-LN(2)/2)*CM34+(1-EXP(-LN(2)/2))/(LN(2)/2)*CG35*CJ35*VLOOKUP('Données projet'!$B$12,Paramètres!$A$1:$I$89,3,0)*0.475*44/12</f>
        <v>#N/A</v>
      </c>
      <c r="CN35" s="22" t="e">
        <f t="shared" si="12"/>
        <v>#N/A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25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29.343599999999988</v>
      </c>
      <c r="D36" s="11">
        <f t="shared" si="32"/>
        <v>9.1252947188023139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10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296.95287151356166</v>
      </c>
      <c r="H36" s="67">
        <f t="shared" si="1"/>
        <v>360.33332496858065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19.7</v>
      </c>
      <c r="N36" s="13">
        <f>IF('Données projet'!$A$36&gt;35,N35+M36-V35,IF(A36&lt;'Données projet'!$A$36,$K$205^A36,IF(A36='Données projet'!$A$36,'Données projet'!$B$36,N35+M36-V35)))</f>
        <v>241.10000000000002</v>
      </c>
      <c r="O36" s="13">
        <f>N36*VLOOKUP('Données projet'!$B$9,Paramètres!$A$1:$I$89,3,0)*VLOOKUP('Données projet'!$B$9,Paramètres!$A$1:$I$89,5,0)</f>
        <v>134.7749</v>
      </c>
      <c r="P36" s="13">
        <f t="shared" si="33"/>
        <v>35.097371560884767</v>
      </c>
      <c r="Q36" s="20">
        <f t="shared" si="53"/>
        <v>295.86087296854095</v>
      </c>
      <c r="R36" s="59">
        <f t="shared" si="0"/>
        <v>589.19420630187426</v>
      </c>
      <c r="S36" s="59">
        <f ca="1">AVERAGE(OFFSET($R$3,0,0,'Données projet'!$E$9+1,1))-AVERAGE(OFFSET($H$3,0,0,'Données projet'!$E$9+1,1))</f>
        <v>279.98352834501759</v>
      </c>
      <c r="T36" s="59">
        <f t="shared" si="34"/>
        <v>281.30062655265488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3.7663992827086457</v>
      </c>
      <c r="AA36" s="21">
        <f>EXP(-LN(2)/25)*AA35+(1-EXP(-LN(2)/25))/(LN(2)/25)*Calculateur!V36*Calculateur!X36*VLOOKUP('Données projet'!$B$9,Paramètres!$A$1:$I$89,3,0)*0.475*44/12</f>
        <v>22.293337592770154</v>
      </c>
      <c r="AB36" s="21">
        <f>EXP(-LN(2)/2)*AB35+(1-EXP(-LN(2)/2))/(LN(2)/2)*V36*Y36*VLOOKUP('Données projet'!$B$9,Paramètres!$A$1:$I$89,3,0)*0.475*44/12</f>
        <v>10.011620991774979</v>
      </c>
      <c r="AC36" s="22">
        <f t="shared" si="3"/>
        <v>36.071357867253781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8.1999999999999993</v>
      </c>
      <c r="AI36" s="13">
        <f>IF('Données projet'!$A$62&gt;35,AI35+AH36-AQ35,IF(A36&lt;'Données projet'!$A$62,$AF$205^A36,IF(A36='Données projet'!$A$62,'Données projet'!$B$62,AI35+AH36-AQ35)))</f>
        <v>100.59999999999998</v>
      </c>
      <c r="AJ36" s="13">
        <f>AI36*VLOOKUP('Données projet'!$B$10,Paramètres!$A$1:$I$89,3,0)*VLOOKUP('Données projet'!$B$10,Paramètres!$A$1:$I$89,5,0)</f>
        <v>102.00839999999998</v>
      </c>
      <c r="AK36" s="13">
        <f t="shared" si="35"/>
        <v>27.43991600691951</v>
      </c>
      <c r="AL36" s="20">
        <f t="shared" si="4"/>
        <v>225.45581704538475</v>
      </c>
      <c r="AM36" s="59">
        <f t="shared" si="5"/>
        <v>518.78915037871809</v>
      </c>
      <c r="AN36" s="59">
        <f ca="1">AVERAGE(OFFSET($AM$3,0,0,'Données projet'!$E$10+1,1))-AVERAGE(OFFSET($H$3,0,0,'Données projet'!$E$10+1,1))</f>
        <v>279.20364724206644</v>
      </c>
      <c r="AO36" s="59">
        <f t="shared" si="36"/>
        <v>173.99850582760712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0</v>
      </c>
      <c r="AV36" s="21">
        <f>EXP(-LN(2)/25)*AV35+(1-EXP(-LN(2)/25))/(LN(2)/25)*Calculateur!AQ36*Calculateur!AS36*VLOOKUP('Données projet'!$B$10,Paramètres!$A$1:$I$89,3,0)*0.475*44/12</f>
        <v>3.2029825300935246</v>
      </c>
      <c r="AW36" s="21">
        <f>EXP(-LN(2)/2)*AW35+(1-EXP(-LN(2)/2))/(LN(2)/2)*AQ36*AT36*VLOOKUP('Données projet'!$B$10,Paramètres!$A$1:$I$89,3,0)*0.475*44/12</f>
        <v>2.4523658580540402</v>
      </c>
      <c r="AX36" s="21">
        <f t="shared" si="6"/>
        <v>5.6553483881475648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10.000000000000004</v>
      </c>
      <c r="BD36" s="12">
        <f>IF('Données projet'!$A$88&gt;35,BD35+BC36-BL35,IF(A36&lt;'Données projet'!$A$88,$BA$205^A36,IF(A36='Données projet'!$A$88,'Données projet'!$B$88,BD35+BC36-BL35)))</f>
        <v>221.59999999999988</v>
      </c>
      <c r="BE36" s="13">
        <f>BD36*VLOOKUP('Données projet'!$B$11,Paramètres!$A$1:$I$89,3,0)*VLOOKUP('Données projet'!$B$11,Paramètres!$A$1:$I$89,5,0)</f>
        <v>103.70879999999994</v>
      </c>
      <c r="BF36" s="13">
        <f t="shared" si="37"/>
        <v>27.84368661708951</v>
      </c>
      <c r="BG36" s="20">
        <f t="shared" si="7"/>
        <v>229.12058085809744</v>
      </c>
      <c r="BH36" s="59">
        <f t="shared" si="8"/>
        <v>522.45391419143073</v>
      </c>
      <c r="BI36" s="59">
        <f ca="1">AVERAGE(OFFSET($BH$3,0,0,'Données projet'!$E$11+1,1))-AVERAGE(OFFSET($H$3,0,0,'Données projet'!$E$11+1,1))</f>
        <v>215.23235148064941</v>
      </c>
      <c r="BJ36" s="59">
        <f t="shared" si="38"/>
        <v>184.07239726900434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2.9537722708817116</v>
      </c>
      <c r="BQ36" s="21">
        <f>EXP(-LN(2)/25)*BQ35+(1-EXP(-LN(2)/25))/(LN(2)/25)*Calculateur!BL36*Calculateur!BN36*VLOOKUP('Données projet'!$B$11,Paramètres!$A$1:$I$89,3,0)*0.475*44/12</f>
        <v>7.2285012884684798</v>
      </c>
      <c r="BR36" s="21">
        <f>EXP(-LN(2)/2)*BR35+(1-EXP(-LN(2)/2))/(LN(2)/2)*BL36*BO36*VLOOKUP('Données projet'!$B$11,Paramètres!$A$1:$I$89,3,0)*0.475*44/12</f>
        <v>3.4761993315200876</v>
      </c>
      <c r="BS36" s="22">
        <f t="shared" si="9"/>
        <v>13.658472890870279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 t="e">
        <f>BY36*VLOOKUP('Données projet'!$B$12,Paramètres!$A$1:$I$89,3,0)*VLOOKUP('Données projet'!$B$12,Paramètres!$A$1:$I$89,5,0)</f>
        <v>#N/A</v>
      </c>
      <c r="CA36" s="13" t="e">
        <f t="shared" si="39"/>
        <v>#N/A</v>
      </c>
      <c r="CB36" s="20" t="e">
        <f t="shared" si="10"/>
        <v>#N/A</v>
      </c>
      <c r="CC36" s="59" t="e">
        <f t="shared" si="11"/>
        <v>#N/A</v>
      </c>
      <c r="CD36" s="59" t="e">
        <f ca="1">AVERAGE(OFFSET($CC$3,0,0,'Données projet'!$E$12+1,1))-AVERAGE(OFFSET($H$3,0,0,'Données projet'!$E$12+1,1))</f>
        <v>#N/A</v>
      </c>
      <c r="CE36" s="59" t="e">
        <f t="shared" si="40"/>
        <v>#N/A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 t="e">
        <f>EXP(-LN(2)/35)*CK35+(1-EXP(-LN(2)/35))/(LN(2)/35)*CG36*CH36*VLOOKUP('Données projet'!$B$12,Paramètres!$A$1:$I$89,3,0)*0.475*44/12</f>
        <v>#N/A</v>
      </c>
      <c r="CL36" s="21" t="e">
        <f>EXP(-LN(2)/25)*CL35+(1-EXP(-LN(2)/25))/(LN(2)/25)*Calculateur!CG36*Calculateur!CI36*VLOOKUP('Données projet'!$B$12,Paramètres!$A$1:$I$89,3,0)*0.475*44/12</f>
        <v>#N/A</v>
      </c>
      <c r="CM36" s="21" t="e">
        <f>EXP(-LN(2)/2)*CM35+(1-EXP(-LN(2)/2))/(LN(2)/2)*CG36*CJ36*VLOOKUP('Données projet'!$B$12,Paramètres!$A$1:$I$89,3,0)*0.475*44/12</f>
        <v>#N/A</v>
      </c>
      <c r="CN36" s="22" t="e">
        <f t="shared" si="12"/>
        <v>#N/A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25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30.232799999999987</v>
      </c>
      <c r="D37" s="11">
        <f t="shared" si="32"/>
        <v>9.3692052598737909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10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305.69968972534144</v>
      </c>
      <c r="H37" s="67">
        <f t="shared" si="1"/>
        <v>362.30682582761347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19.7</v>
      </c>
      <c r="N37" s="13">
        <f>IF('Données projet'!$A$36&gt;35,N36+M37-V36,IF(A37&lt;'Données projet'!$A$36,$K$205^A37,IF(A37='Données projet'!$A$36,'Données projet'!$B$36,N36+M37-V36)))</f>
        <v>260.8</v>
      </c>
      <c r="O37" s="13">
        <f>N37*VLOOKUP('Données projet'!$B$9,Paramètres!$A$1:$I$89,3,0)*VLOOKUP('Données projet'!$B$9,Paramètres!$A$1:$I$89,5,0)</f>
        <v>145.78720000000001</v>
      </c>
      <c r="P37" s="13">
        <f t="shared" si="33"/>
        <v>37.619630209734858</v>
      </c>
      <c r="Q37" s="20">
        <f t="shared" si="53"/>
        <v>319.43356261528817</v>
      </c>
      <c r="R37" s="59">
        <f t="shared" si="0"/>
        <v>612.76689594862148</v>
      </c>
      <c r="S37" s="59">
        <f ca="1">AVERAGE(OFFSET($R$3,0,0,'Données projet'!$E$9+1,1))-AVERAGE(OFFSET($H$3,0,0,'Données projet'!$E$9+1,1))</f>
        <v>279.98352834501759</v>
      </c>
      <c r="T37" s="59">
        <f t="shared" si="34"/>
        <v>281.30062655265488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3.6925424900514545</v>
      </c>
      <c r="AA37" s="21">
        <f>EXP(-LN(2)/25)*AA36+(1-EXP(-LN(2)/25))/(LN(2)/25)*Calculateur!V37*Calculateur!X37*VLOOKUP('Données projet'!$B$9,Paramètres!$A$1:$I$89,3,0)*0.475*44/12</f>
        <v>21.683725103940183</v>
      </c>
      <c r="AB37" s="21">
        <f>EXP(-LN(2)/2)*AB36+(1-EXP(-LN(2)/2))/(LN(2)/2)*V37*Y37*VLOOKUP('Données projet'!$B$9,Paramètres!$A$1:$I$89,3,0)*0.475*44/12</f>
        <v>7.0792850939536764</v>
      </c>
      <c r="AC37" s="22">
        <f t="shared" si="3"/>
        <v>32.455552687945314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8.1999999999999993</v>
      </c>
      <c r="AI37" s="13">
        <f>IF('Données projet'!$A$62&gt;35,AI36+AH37-AQ36,IF(A37&lt;'Données projet'!$A$62,$AF$205^A37,IF(A37='Données projet'!$A$62,'Données projet'!$B$62,AI36+AH37-AQ36)))</f>
        <v>108.79999999999998</v>
      </c>
      <c r="AJ37" s="13">
        <f>AI37*VLOOKUP('Données projet'!$B$10,Paramètres!$A$1:$I$89,3,0)*VLOOKUP('Données projet'!$B$10,Paramètres!$A$1:$I$89,5,0)</f>
        <v>110.32319999999999</v>
      </c>
      <c r="AK37" s="13">
        <f t="shared" si="35"/>
        <v>29.407120006092025</v>
      </c>
      <c r="AL37" s="20">
        <f t="shared" si="4"/>
        <v>243.36364067727686</v>
      </c>
      <c r="AM37" s="59">
        <f t="shared" si="5"/>
        <v>536.69697401061012</v>
      </c>
      <c r="AN37" s="59">
        <f ca="1">AVERAGE(OFFSET($AM$3,0,0,'Données projet'!$E$10+1,1))-AVERAGE(OFFSET($H$3,0,0,'Données projet'!$E$10+1,1))</f>
        <v>279.20364724206644</v>
      </c>
      <c r="AO37" s="59">
        <f t="shared" si="36"/>
        <v>173.99850582760712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0</v>
      </c>
      <c r="AV37" s="21">
        <f>EXP(-LN(2)/25)*AV36+(1-EXP(-LN(2)/25))/(LN(2)/25)*Calculateur!AQ37*Calculateur!AS37*VLOOKUP('Données projet'!$B$10,Paramètres!$A$1:$I$89,3,0)*0.475*44/12</f>
        <v>3.1153968043705866</v>
      </c>
      <c r="AW37" s="21">
        <f>EXP(-LN(2)/2)*AW36+(1-EXP(-LN(2)/2))/(LN(2)/2)*AQ37*AT37*VLOOKUP('Données projet'!$B$10,Paramètres!$A$1:$I$89,3,0)*0.475*44/12</f>
        <v>1.7340845281803781</v>
      </c>
      <c r="AX37" s="21">
        <f t="shared" si="6"/>
        <v>4.8494813325509645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10.000000000000004</v>
      </c>
      <c r="BD37" s="12">
        <f>IF('Données projet'!$A$88&gt;35,BD36+BC37-BL36,IF(A37&lt;'Données projet'!$A$88,$BA$205^A37,IF(A37='Données projet'!$A$88,'Données projet'!$B$88,BD36+BC37-BL36)))</f>
        <v>231.59999999999988</v>
      </c>
      <c r="BE37" s="13">
        <f>BD37*VLOOKUP('Données projet'!$B$11,Paramètres!$A$1:$I$89,3,0)*VLOOKUP('Données projet'!$B$11,Paramètres!$A$1:$I$89,5,0)</f>
        <v>108.38879999999993</v>
      </c>
      <c r="BF37" s="13">
        <f t="shared" si="37"/>
        <v>28.951047900249165</v>
      </c>
      <c r="BG37" s="20">
        <f t="shared" si="7"/>
        <v>239.20023509293381</v>
      </c>
      <c r="BH37" s="59">
        <f t="shared" si="8"/>
        <v>532.53356842626715</v>
      </c>
      <c r="BI37" s="59">
        <f ca="1">AVERAGE(OFFSET($BH$3,0,0,'Données projet'!$E$11+1,1))-AVERAGE(OFFSET($H$3,0,0,'Données projet'!$E$11+1,1))</f>
        <v>215.23235148064941</v>
      </c>
      <c r="BJ37" s="59">
        <f t="shared" si="38"/>
        <v>184.07239726900434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2.895850598272911</v>
      </c>
      <c r="BQ37" s="21">
        <f>EXP(-LN(2)/25)*BQ36+(1-EXP(-LN(2)/25))/(LN(2)/25)*Calculateur!BL37*Calculateur!BN37*VLOOKUP('Données projet'!$B$11,Paramètres!$A$1:$I$89,3,0)*0.475*44/12</f>
        <v>7.0308375406049475</v>
      </c>
      <c r="BR37" s="21">
        <f>EXP(-LN(2)/2)*BR36+(1-EXP(-LN(2)/2))/(LN(2)/2)*BL37*BO37*VLOOKUP('Données projet'!$B$11,Paramètres!$A$1:$I$89,3,0)*0.475*44/12</f>
        <v>2.4580441200739975</v>
      </c>
      <c r="BS37" s="22">
        <f t="shared" si="9"/>
        <v>12.384732258951857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 t="e">
        <f>BY37*VLOOKUP('Données projet'!$B$12,Paramètres!$A$1:$I$89,3,0)*VLOOKUP('Données projet'!$B$12,Paramètres!$A$1:$I$89,5,0)</f>
        <v>#N/A</v>
      </c>
      <c r="CA37" s="13" t="e">
        <f t="shared" si="39"/>
        <v>#N/A</v>
      </c>
      <c r="CB37" s="20" t="e">
        <f t="shared" si="10"/>
        <v>#N/A</v>
      </c>
      <c r="CC37" s="59" t="e">
        <f t="shared" si="11"/>
        <v>#N/A</v>
      </c>
      <c r="CD37" s="59" t="e">
        <f ca="1">AVERAGE(OFFSET($CC$3,0,0,'Données projet'!$E$12+1,1))-AVERAGE(OFFSET($H$3,0,0,'Données projet'!$E$12+1,1))</f>
        <v>#N/A</v>
      </c>
      <c r="CE37" s="59" t="e">
        <f t="shared" si="40"/>
        <v>#N/A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 t="e">
        <f>EXP(-LN(2)/35)*CK36+(1-EXP(-LN(2)/35))/(LN(2)/35)*CG37*CH37*VLOOKUP('Données projet'!$B$12,Paramètres!$A$1:$I$89,3,0)*0.475*44/12</f>
        <v>#N/A</v>
      </c>
      <c r="CL37" s="21" t="e">
        <f>EXP(-LN(2)/25)*CL36+(1-EXP(-LN(2)/25))/(LN(2)/25)*Calculateur!CG37*Calculateur!CI37*VLOOKUP('Données projet'!$B$12,Paramètres!$A$1:$I$89,3,0)*0.475*44/12</f>
        <v>#N/A</v>
      </c>
      <c r="CM37" s="21" t="e">
        <f>EXP(-LN(2)/2)*CM36+(1-EXP(-LN(2)/2))/(LN(2)/2)*CG37*CJ37*VLOOKUP('Données projet'!$B$12,Paramètres!$A$1:$I$89,3,0)*0.475*44/12</f>
        <v>#N/A</v>
      </c>
      <c r="CN37" s="22" t="e">
        <f t="shared" si="12"/>
        <v>#N/A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25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31.121999999999986</v>
      </c>
      <c r="D38" s="11">
        <f t="shared" si="32"/>
        <v>9.612282066778798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10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314.44007209443271</v>
      </c>
      <c r="H38" s="67">
        <f t="shared" si="1"/>
        <v>364.27887459963966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19.7</v>
      </c>
      <c r="N38" s="13">
        <f>IF('Données projet'!$A$36&gt;35,N37+M38-V37,IF(A38&lt;'Données projet'!$A$36,$K$205^A38,IF(A38='Données projet'!$A$36,'Données projet'!$B$36,N37+M38-V37)))</f>
        <v>280.5</v>
      </c>
      <c r="O38" s="13">
        <f>N38*VLOOKUP('Données projet'!$B$9,Paramètres!$A$1:$I$89,3,0)*VLOOKUP('Données projet'!$B$9,Paramètres!$A$1:$I$89,5,0)</f>
        <v>156.79949999999999</v>
      </c>
      <c r="P38" s="13">
        <f t="shared" si="33"/>
        <v>40.119786973579373</v>
      </c>
      <c r="Q38" s="20">
        <f t="shared" si="53"/>
        <v>342.96775814565075</v>
      </c>
      <c r="R38" s="59">
        <f t="shared" si="0"/>
        <v>636.30109147898406</v>
      </c>
      <c r="S38" s="59">
        <f ca="1">AVERAGE(OFFSET($R$3,0,0,'Données projet'!$E$9+1,1))-AVERAGE(OFFSET($H$3,0,0,'Données projet'!$E$9+1,1))</f>
        <v>279.98352834501759</v>
      </c>
      <c r="T38" s="59">
        <f t="shared" si="34"/>
        <v>281.30062655265488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3.6201339840500752</v>
      </c>
      <c r="AA38" s="21">
        <f>EXP(-LN(2)/25)*AA37+(1-EXP(-LN(2)/25))/(LN(2)/25)*Calculateur!V38*Calculateur!X38*VLOOKUP('Données projet'!$B$9,Paramètres!$A$1:$I$89,3,0)*0.475*44/12</f>
        <v>21.090782500675395</v>
      </c>
      <c r="AB38" s="21">
        <f>EXP(-LN(2)/2)*AB37+(1-EXP(-LN(2)/2))/(LN(2)/2)*V38*Y38*VLOOKUP('Données projet'!$B$9,Paramètres!$A$1:$I$89,3,0)*0.475*44/12</f>
        <v>5.0058104958874905</v>
      </c>
      <c r="AC38" s="22">
        <f t="shared" si="3"/>
        <v>29.716726980612961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8.1999999999999993</v>
      </c>
      <c r="AI38" s="13">
        <f>IF('Données projet'!$A$62&gt;35,AI37+AH38-AQ37,IF(A38&lt;'Données projet'!$A$62,$AF$205^A38,IF(A38='Données projet'!$A$62,'Données projet'!$B$62,AI37+AH38-AQ37)))</f>
        <v>116.99999999999999</v>
      </c>
      <c r="AJ38" s="13">
        <f>AI38*VLOOKUP('Données projet'!$B$10,Paramètres!$A$1:$I$89,3,0)*VLOOKUP('Données projet'!$B$10,Paramètres!$A$1:$I$89,5,0)</f>
        <v>118.63800000000001</v>
      </c>
      <c r="AK38" s="13">
        <f t="shared" si="35"/>
        <v>31.357124429643687</v>
      </c>
      <c r="AL38" s="20">
        <f t="shared" si="4"/>
        <v>261.24150838162944</v>
      </c>
      <c r="AM38" s="59">
        <f t="shared" si="5"/>
        <v>554.57484171496276</v>
      </c>
      <c r="AN38" s="59">
        <f ca="1">AVERAGE(OFFSET($AM$3,0,0,'Données projet'!$E$10+1,1))-AVERAGE(OFFSET($H$3,0,0,'Données projet'!$E$10+1,1))</f>
        <v>279.20364724206644</v>
      </c>
      <c r="AO38" s="59">
        <f t="shared" si="36"/>
        <v>173.99850582760712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0</v>
      </c>
      <c r="AV38" s="21">
        <f>EXP(-LN(2)/25)*AV37+(1-EXP(-LN(2)/25))/(LN(2)/25)*Calculateur!AQ38*Calculateur!AS38*VLOOKUP('Données projet'!$B$10,Paramètres!$A$1:$I$89,3,0)*0.475*44/12</f>
        <v>3.0302061149234754</v>
      </c>
      <c r="AW38" s="21">
        <f>EXP(-LN(2)/2)*AW37+(1-EXP(-LN(2)/2))/(LN(2)/2)*AQ38*AT38*VLOOKUP('Données projet'!$B$10,Paramètres!$A$1:$I$89,3,0)*0.475*44/12</f>
        <v>1.2261829290270201</v>
      </c>
      <c r="AX38" s="21">
        <f t="shared" si="6"/>
        <v>4.2563890439504952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10.000000000000004</v>
      </c>
      <c r="BD38" s="12">
        <f>IF('Données projet'!$A$88&gt;35,BD37+BC38-BL37,IF(A38&lt;'Données projet'!$A$88,$BA$205^A38,IF(A38='Données projet'!$A$88,'Données projet'!$B$88,BD37+BC38-BL37)))</f>
        <v>241.59999999999988</v>
      </c>
      <c r="BE38" s="13">
        <f>BD38*VLOOKUP('Données projet'!$B$11,Paramètres!$A$1:$I$89,3,0)*VLOOKUP('Données projet'!$B$11,Paramètres!$A$1:$I$89,5,0)</f>
        <v>113.06879999999995</v>
      </c>
      <c r="BF38" s="13">
        <f t="shared" si="37"/>
        <v>30.052855829090237</v>
      </c>
      <c r="BG38" s="20">
        <f t="shared" si="7"/>
        <v>249.27021723566543</v>
      </c>
      <c r="BH38" s="59">
        <f t="shared" si="8"/>
        <v>542.6035505689988</v>
      </c>
      <c r="BI38" s="59">
        <f ca="1">AVERAGE(OFFSET($BH$3,0,0,'Données projet'!$E$11+1,1))-AVERAGE(OFFSET($H$3,0,0,'Données projet'!$E$11+1,1))</f>
        <v>215.23235148064941</v>
      </c>
      <c r="BJ38" s="59">
        <f t="shared" si="38"/>
        <v>184.07239726900434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2.8390647343352371</v>
      </c>
      <c r="BQ38" s="21">
        <f>EXP(-LN(2)/25)*BQ37+(1-EXP(-LN(2)/25))/(LN(2)/25)*Calculateur!BL38*Calculateur!BN38*VLOOKUP('Données projet'!$B$11,Paramètres!$A$1:$I$89,3,0)*0.475*44/12</f>
        <v>6.8385789183214278</v>
      </c>
      <c r="BR38" s="21">
        <f>EXP(-LN(2)/2)*BR37+(1-EXP(-LN(2)/2))/(LN(2)/2)*BL38*BO38*VLOOKUP('Données projet'!$B$11,Paramètres!$A$1:$I$89,3,0)*0.475*44/12</f>
        <v>1.738099665760044</v>
      </c>
      <c r="BS38" s="22">
        <f t="shared" si="9"/>
        <v>11.415743318416709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 t="e">
        <f>BY38*VLOOKUP('Données projet'!$B$12,Paramètres!$A$1:$I$89,3,0)*VLOOKUP('Données projet'!$B$12,Paramètres!$A$1:$I$89,5,0)</f>
        <v>#N/A</v>
      </c>
      <c r="CA38" s="13" t="e">
        <f t="shared" si="39"/>
        <v>#N/A</v>
      </c>
      <c r="CB38" s="20" t="e">
        <f t="shared" si="10"/>
        <v>#N/A</v>
      </c>
      <c r="CC38" s="59" t="e">
        <f t="shared" si="11"/>
        <v>#N/A</v>
      </c>
      <c r="CD38" s="59" t="e">
        <f ca="1">AVERAGE(OFFSET($CC$3,0,0,'Données projet'!$E$12+1,1))-AVERAGE(OFFSET($H$3,0,0,'Données projet'!$E$12+1,1))</f>
        <v>#N/A</v>
      </c>
      <c r="CE38" s="59" t="e">
        <f t="shared" si="40"/>
        <v>#N/A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 t="e">
        <f>EXP(-LN(2)/35)*CK37+(1-EXP(-LN(2)/35))/(LN(2)/35)*CG38*CH38*VLOOKUP('Données projet'!$B$12,Paramètres!$A$1:$I$89,3,0)*0.475*44/12</f>
        <v>#N/A</v>
      </c>
      <c r="CL38" s="21" t="e">
        <f>EXP(-LN(2)/25)*CL37+(1-EXP(-LN(2)/25))/(LN(2)/25)*Calculateur!CG38*Calculateur!CI38*VLOOKUP('Données projet'!$B$12,Paramètres!$A$1:$I$89,3,0)*0.475*44/12</f>
        <v>#N/A</v>
      </c>
      <c r="CM38" s="21" t="e">
        <f>EXP(-LN(2)/2)*CM37+(1-EXP(-LN(2)/2))/(LN(2)/2)*CG38*CJ38*VLOOKUP('Données projet'!$B$12,Paramètres!$A$1:$I$89,3,0)*0.475*44/12</f>
        <v>#N/A</v>
      </c>
      <c r="CN38" s="22" t="e">
        <f t="shared" si="12"/>
        <v>#N/A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25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32.011199999999988</v>
      </c>
      <c r="D39" s="11">
        <f t="shared" si="32"/>
        <v>9.8545516964045738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10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323.17422362136853</v>
      </c>
      <c r="H39" s="67">
        <f t="shared" si="1"/>
        <v>366.24951753790458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19.7</v>
      </c>
      <c r="N39" s="13">
        <f>IF('Données projet'!$A$36&gt;35,N38+M39-V38,IF(A39&lt;'Données projet'!$A$36,$K$205^A39,IF(A39='Données projet'!$A$36,'Données projet'!$B$36,N38+M39-V38)))</f>
        <v>300.2</v>
      </c>
      <c r="O39" s="13">
        <f>N39*VLOOKUP('Données projet'!$B$9,Paramètres!$A$1:$I$89,3,0)*VLOOKUP('Données projet'!$B$9,Paramètres!$A$1:$I$89,5,0)</f>
        <v>167.81179999999998</v>
      </c>
      <c r="P39" s="13">
        <f t="shared" si="33"/>
        <v>42.599570666603093</v>
      </c>
      <c r="Q39" s="20">
        <f t="shared" si="53"/>
        <v>366.466470577667</v>
      </c>
      <c r="R39" s="59">
        <f t="shared" si="0"/>
        <v>659.79980391100025</v>
      </c>
      <c r="S39" s="59">
        <f ca="1">AVERAGE(OFFSET($R$3,0,0,'Données projet'!$E$9+1,1))-AVERAGE(OFFSET($H$3,0,0,'Données projet'!$E$9+1,1))</f>
        <v>279.98352834501759</v>
      </c>
      <c r="T39" s="59">
        <f t="shared" si="34"/>
        <v>281.30062655265488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3.5491453646865554</v>
      </c>
      <c r="AA39" s="21">
        <f>EXP(-LN(2)/25)*AA38+(1-EXP(-LN(2)/25))/(LN(2)/25)*Calculateur!V39*Calculateur!X39*VLOOKUP('Données projet'!$B$9,Paramètres!$A$1:$I$89,3,0)*0.475*44/12</f>
        <v>20.514053944078377</v>
      </c>
      <c r="AB39" s="21">
        <f>EXP(-LN(2)/2)*AB38+(1-EXP(-LN(2)/2))/(LN(2)/2)*V39*Y39*VLOOKUP('Données projet'!$B$9,Paramètres!$A$1:$I$89,3,0)*0.475*44/12</f>
        <v>3.5396425469768391</v>
      </c>
      <c r="AC39" s="22">
        <f t="shared" si="3"/>
        <v>27.602841855741772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8.1999999999999993</v>
      </c>
      <c r="AI39" s="13">
        <f>IF('Données projet'!$A$62&gt;35,AI38+AH39-AQ38,IF(A39&lt;'Données projet'!$A$62,$AF$205^A39,IF(A39='Données projet'!$A$62,'Données projet'!$B$62,AI38+AH39-AQ38)))</f>
        <v>125.19999999999999</v>
      </c>
      <c r="AJ39" s="13">
        <f>AI39*VLOOKUP('Données projet'!$B$10,Paramètres!$A$1:$I$89,3,0)*VLOOKUP('Données projet'!$B$10,Paramètres!$A$1:$I$89,5,0)</f>
        <v>126.9528</v>
      </c>
      <c r="AK39" s="13">
        <f t="shared" si="35"/>
        <v>33.291271832047542</v>
      </c>
      <c r="AL39" s="20">
        <f t="shared" si="4"/>
        <v>279.09175844081614</v>
      </c>
      <c r="AM39" s="59">
        <f t="shared" si="5"/>
        <v>572.42509177414945</v>
      </c>
      <c r="AN39" s="59">
        <f ca="1">AVERAGE(OFFSET($AM$3,0,0,'Données projet'!$E$10+1,1))-AVERAGE(OFFSET($H$3,0,0,'Données projet'!$E$10+1,1))</f>
        <v>279.20364724206644</v>
      </c>
      <c r="AO39" s="59">
        <f t="shared" si="36"/>
        <v>173.99850582760712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0</v>
      </c>
      <c r="AV39" s="21">
        <f>EXP(-LN(2)/25)*AV38+(1-EXP(-LN(2)/25))/(LN(2)/25)*Calculateur!AQ39*Calculateur!AS39*VLOOKUP('Données projet'!$B$10,Paramètres!$A$1:$I$89,3,0)*0.475*44/12</f>
        <v>2.9473449693592788</v>
      </c>
      <c r="AW39" s="21">
        <f>EXP(-LN(2)/2)*AW38+(1-EXP(-LN(2)/2))/(LN(2)/2)*AQ39*AT39*VLOOKUP('Données projet'!$B$10,Paramètres!$A$1:$I$89,3,0)*0.475*44/12</f>
        <v>0.86704226409018903</v>
      </c>
      <c r="AX39" s="21">
        <f t="shared" si="6"/>
        <v>3.8143872334494677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10.000000000000004</v>
      </c>
      <c r="BD39" s="12">
        <f>IF('Données projet'!$A$88&gt;35,BD38+BC39-BL38,IF(A39&lt;'Données projet'!$A$88,$BA$205^A39,IF(A39='Données projet'!$A$88,'Données projet'!$B$88,BD38+BC39-BL38)))</f>
        <v>251.59999999999988</v>
      </c>
      <c r="BE39" s="13">
        <f>BD39*VLOOKUP('Données projet'!$B$11,Paramètres!$A$1:$I$89,3,0)*VLOOKUP('Données projet'!$B$11,Paramètres!$A$1:$I$89,5,0)</f>
        <v>117.74879999999995</v>
      </c>
      <c r="BF39" s="13">
        <f t="shared" si="37"/>
        <v>31.149366548366</v>
      </c>
      <c r="BG39" s="20">
        <f t="shared" si="7"/>
        <v>259.33097340507067</v>
      </c>
      <c r="BH39" s="59">
        <f t="shared" si="8"/>
        <v>552.66430673840398</v>
      </c>
      <c r="BI39" s="59">
        <f ca="1">AVERAGE(OFFSET($BH$3,0,0,'Données projet'!$E$11+1,1))-AVERAGE(OFFSET($H$3,0,0,'Données projet'!$E$11+1,1))</f>
        <v>215.23235148064941</v>
      </c>
      <c r="BJ39" s="59">
        <f t="shared" si="38"/>
        <v>184.07239726900434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2.7833924065534239</v>
      </c>
      <c r="BQ39" s="21">
        <f>EXP(-LN(2)/25)*BQ38+(1-EXP(-LN(2)/25))/(LN(2)/25)*Calculateur!BL39*Calculateur!BN39*VLOOKUP('Données projet'!$B$11,Paramètres!$A$1:$I$89,3,0)*0.475*44/12</f>
        <v>6.6515776181746933</v>
      </c>
      <c r="BR39" s="21">
        <f>EXP(-LN(2)/2)*BR38+(1-EXP(-LN(2)/2))/(LN(2)/2)*BL39*BO39*VLOOKUP('Données projet'!$B$11,Paramètres!$A$1:$I$89,3,0)*0.475*44/12</f>
        <v>1.229022060036999</v>
      </c>
      <c r="BS39" s="22">
        <f t="shared" si="9"/>
        <v>10.663992084765116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 t="e">
        <f>BY39*VLOOKUP('Données projet'!$B$12,Paramètres!$A$1:$I$89,3,0)*VLOOKUP('Données projet'!$B$12,Paramètres!$A$1:$I$89,5,0)</f>
        <v>#N/A</v>
      </c>
      <c r="CA39" s="13" t="e">
        <f t="shared" si="39"/>
        <v>#N/A</v>
      </c>
      <c r="CB39" s="20" t="e">
        <f t="shared" si="10"/>
        <v>#N/A</v>
      </c>
      <c r="CC39" s="59" t="e">
        <f t="shared" si="11"/>
        <v>#N/A</v>
      </c>
      <c r="CD39" s="59" t="e">
        <f ca="1">AVERAGE(OFFSET($CC$3,0,0,'Données projet'!$E$12+1,1))-AVERAGE(OFFSET($H$3,0,0,'Données projet'!$E$12+1,1))</f>
        <v>#N/A</v>
      </c>
      <c r="CE39" s="59" t="e">
        <f t="shared" si="40"/>
        <v>#N/A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 t="e">
        <f>EXP(-LN(2)/35)*CK38+(1-EXP(-LN(2)/35))/(LN(2)/35)*CG39*CH39*VLOOKUP('Données projet'!$B$12,Paramètres!$A$1:$I$89,3,0)*0.475*44/12</f>
        <v>#N/A</v>
      </c>
      <c r="CL39" s="21" t="e">
        <f>EXP(-LN(2)/25)*CL38+(1-EXP(-LN(2)/25))/(LN(2)/25)*Calculateur!CG39*Calculateur!CI39*VLOOKUP('Données projet'!$B$12,Paramètres!$A$1:$I$89,3,0)*0.475*44/12</f>
        <v>#N/A</v>
      </c>
      <c r="CM39" s="21" t="e">
        <f>EXP(-LN(2)/2)*CM38+(1-EXP(-LN(2)/2))/(LN(2)/2)*CG39*CJ39*VLOOKUP('Données projet'!$B$12,Paramètres!$A$1:$I$89,3,0)*0.475*44/12</f>
        <v>#N/A</v>
      </c>
      <c r="CN39" s="22" t="e">
        <f t="shared" si="12"/>
        <v>#N/A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25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32.900399999999991</v>
      </c>
      <c r="D40" s="11">
        <f t="shared" si="32"/>
        <v>10.096039146303498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10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331.90233726971115</v>
      </c>
      <c r="H40" s="67">
        <f t="shared" si="1"/>
        <v>368.21879817981187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19.7</v>
      </c>
      <c r="N40" s="13">
        <f>IF('Données projet'!$A$36&gt;35,N39+M40-V39,IF(A40&lt;'Données projet'!$A$36,$K$205^A40,IF(A40='Données projet'!$A$36,'Données projet'!$B$36,N39+M40-V39)))</f>
        <v>319.89999999999998</v>
      </c>
      <c r="O40" s="13">
        <f>N40*VLOOKUP('Données projet'!$B$9,Paramètres!$A$1:$I$89,3,0)*VLOOKUP('Données projet'!$B$9,Paramètres!$A$1:$I$89,5,0)</f>
        <v>178.82409999999999</v>
      </c>
      <c r="P40" s="13">
        <f t="shared" si="33"/>
        <v>45.060470370141232</v>
      </c>
      <c r="Q40" s="20">
        <f t="shared" si="53"/>
        <v>389.93229339466257</v>
      </c>
      <c r="R40" s="59">
        <f t="shared" si="0"/>
        <v>683.26562672799582</v>
      </c>
      <c r="S40" s="59">
        <f ca="1">AVERAGE(OFFSET($R$3,0,0,'Données projet'!$E$9+1,1))-AVERAGE(OFFSET($H$3,0,0,'Données projet'!$E$9+1,1))</f>
        <v>279.98352834501759</v>
      </c>
      <c r="T40" s="59">
        <f t="shared" si="34"/>
        <v>281.30062655265488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3.4795487888499719</v>
      </c>
      <c r="AA40" s="21">
        <f>EXP(-LN(2)/25)*AA39+(1-EXP(-LN(2)/25))/(LN(2)/25)*Calculateur!V40*Calculateur!X40*VLOOKUP('Données projet'!$B$9,Paramètres!$A$1:$I$89,3,0)*0.475*44/12</f>
        <v>19.953096060190344</v>
      </c>
      <c r="AB40" s="21">
        <f>EXP(-LN(2)/2)*AB39+(1-EXP(-LN(2)/2))/(LN(2)/2)*V40*Y40*VLOOKUP('Données projet'!$B$9,Paramètres!$A$1:$I$89,3,0)*0.475*44/12</f>
        <v>2.5029052479437457</v>
      </c>
      <c r="AC40" s="22">
        <f t="shared" si="3"/>
        <v>25.935550096984059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8.1999999999999993</v>
      </c>
      <c r="AI40" s="13">
        <f>IF('Données projet'!$A$62&gt;35,AI39+AH40-AQ39,IF(A40&lt;'Données projet'!$A$62,$AF$205^A40,IF(A40='Données projet'!$A$62,'Données projet'!$B$62,AI39+AH40-AQ39)))</f>
        <v>133.39999999999998</v>
      </c>
      <c r="AJ40" s="13">
        <f>AI40*VLOOKUP('Données projet'!$B$10,Paramètres!$A$1:$I$89,3,0)*VLOOKUP('Données projet'!$B$10,Paramètres!$A$1:$I$89,5,0)</f>
        <v>135.26759999999999</v>
      </c>
      <c r="AK40" s="13">
        <f t="shared" si="35"/>
        <v>35.210718959789133</v>
      </c>
      <c r="AL40" s="20">
        <f t="shared" si="4"/>
        <v>296.91640552163273</v>
      </c>
      <c r="AM40" s="59">
        <f t="shared" si="5"/>
        <v>590.24973885496604</v>
      </c>
      <c r="AN40" s="59">
        <f ca="1">AVERAGE(OFFSET($AM$3,0,0,'Données projet'!$E$10+1,1))-AVERAGE(OFFSET($H$3,0,0,'Données projet'!$E$10+1,1))</f>
        <v>279.20364724206644</v>
      </c>
      <c r="AO40" s="59">
        <f t="shared" si="36"/>
        <v>173.99850582760712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0</v>
      </c>
      <c r="AV40" s="21">
        <f>EXP(-LN(2)/25)*AV39+(1-EXP(-LN(2)/25))/(LN(2)/25)*Calculateur!AQ40*Calculateur!AS40*VLOOKUP('Données projet'!$B$10,Paramètres!$A$1:$I$89,3,0)*0.475*44/12</f>
        <v>2.8667496661780136</v>
      </c>
      <c r="AW40" s="21">
        <f>EXP(-LN(2)/2)*AW39+(1-EXP(-LN(2)/2))/(LN(2)/2)*AQ40*AT40*VLOOKUP('Données projet'!$B$10,Paramètres!$A$1:$I$89,3,0)*0.475*44/12</f>
        <v>0.61309146451351004</v>
      </c>
      <c r="AX40" s="21">
        <f t="shared" si="6"/>
        <v>3.4798411306915238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10.000000000000004</v>
      </c>
      <c r="BD40" s="12">
        <f>IF('Données projet'!$A$88&gt;35,BD39+BC40-BL39,IF(A40&lt;'Données projet'!$A$88,$BA$205^A40,IF(A40='Données projet'!$A$88,'Données projet'!$B$88,BD39+BC40-BL39)))</f>
        <v>261.59999999999991</v>
      </c>
      <c r="BE40" s="13">
        <f>BD40*VLOOKUP('Données projet'!$B$11,Paramètres!$A$1:$I$89,3,0)*VLOOKUP('Données projet'!$B$11,Paramètres!$A$1:$I$89,5,0)</f>
        <v>122.42879999999995</v>
      </c>
      <c r="BF40" s="13">
        <f t="shared" si="37"/>
        <v>32.240814688958388</v>
      </c>
      <c r="BG40" s="20">
        <f t="shared" si="7"/>
        <v>269.38291224993577</v>
      </c>
      <c r="BH40" s="59">
        <f t="shared" si="8"/>
        <v>562.71624558326903</v>
      </c>
      <c r="BI40" s="59">
        <f ca="1">AVERAGE(OFFSET($BH$3,0,0,'Données projet'!$E$11+1,1))-AVERAGE(OFFSET($H$3,0,0,'Données projet'!$E$11+1,1))</f>
        <v>215.23235148064941</v>
      </c>
      <c r="BJ40" s="59">
        <f t="shared" si="38"/>
        <v>184.07239726900434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2.7288117791626449</v>
      </c>
      <c r="BQ40" s="21">
        <f>EXP(-LN(2)/25)*BQ39+(1-EXP(-LN(2)/25))/(LN(2)/25)*Calculateur!BL40*Calculateur!BN40*VLOOKUP('Données projet'!$B$11,Paramètres!$A$1:$I$89,3,0)*0.475*44/12</f>
        <v>6.4696898784144414</v>
      </c>
      <c r="BR40" s="21">
        <f>EXP(-LN(2)/2)*BR39+(1-EXP(-LN(2)/2))/(LN(2)/2)*BL40*BO40*VLOOKUP('Données projet'!$B$11,Paramètres!$A$1:$I$89,3,0)*0.475*44/12</f>
        <v>0.86904983288002213</v>
      </c>
      <c r="BS40" s="22">
        <f t="shared" si="9"/>
        <v>10.067551490457108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 t="e">
        <f>BY40*VLOOKUP('Données projet'!$B$12,Paramètres!$A$1:$I$89,3,0)*VLOOKUP('Données projet'!$B$12,Paramètres!$A$1:$I$89,5,0)</f>
        <v>#N/A</v>
      </c>
      <c r="CA40" s="13" t="e">
        <f t="shared" si="39"/>
        <v>#N/A</v>
      </c>
      <c r="CB40" s="20" t="e">
        <f t="shared" si="10"/>
        <v>#N/A</v>
      </c>
      <c r="CC40" s="59" t="e">
        <f t="shared" si="11"/>
        <v>#N/A</v>
      </c>
      <c r="CD40" s="59" t="e">
        <f ca="1">AVERAGE(OFFSET($CC$3,0,0,'Données projet'!$E$12+1,1))-AVERAGE(OFFSET($H$3,0,0,'Données projet'!$E$12+1,1))</f>
        <v>#N/A</v>
      </c>
      <c r="CE40" s="59" t="e">
        <f t="shared" si="40"/>
        <v>#N/A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 t="e">
        <f>EXP(-LN(2)/35)*CK39+(1-EXP(-LN(2)/35))/(LN(2)/35)*CG40*CH40*VLOOKUP('Données projet'!$B$12,Paramètres!$A$1:$I$89,3,0)*0.475*44/12</f>
        <v>#N/A</v>
      </c>
      <c r="CL40" s="21" t="e">
        <f>EXP(-LN(2)/25)*CL39+(1-EXP(-LN(2)/25))/(LN(2)/25)*Calculateur!CG40*Calculateur!CI40*VLOOKUP('Données projet'!$B$12,Paramètres!$A$1:$I$89,3,0)*0.475*44/12</f>
        <v>#N/A</v>
      </c>
      <c r="CM40" s="21" t="e">
        <f>EXP(-LN(2)/2)*CM39+(1-EXP(-LN(2)/2))/(LN(2)/2)*CG40*CJ40*VLOOKUP('Données projet'!$B$12,Paramètres!$A$1:$I$89,3,0)*0.475*44/12</f>
        <v>#N/A</v>
      </c>
      <c r="CN40" s="22" t="e">
        <f t="shared" si="12"/>
        <v>#N/A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25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33.789599999999993</v>
      </c>
      <c r="D41" s="11">
        <f t="shared" si="32"/>
        <v>10.336767985889495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10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340.62459497879604</v>
      </c>
      <c r="H41" s="67">
        <f t="shared" si="1"/>
        <v>370.18675757542417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19.7</v>
      </c>
      <c r="N41" s="13">
        <f>IF('Données projet'!$A$36&gt;35,N40+M41-V40,IF(A41&lt;'Données projet'!$A$36,$K$205^A41,IF(A41='Données projet'!$A$36,'Données projet'!$B$36,N40+M41-V40)))</f>
        <v>339.59999999999997</v>
      </c>
      <c r="O41" s="13">
        <f>N41*VLOOKUP('Données projet'!$B$9,Paramètres!$A$1:$I$89,3,0)*VLOOKUP('Données projet'!$B$9,Paramètres!$A$1:$I$89,5,0)</f>
        <v>189.8364</v>
      </c>
      <c r="P41" s="13">
        <f t="shared" si="33"/>
        <v>47.503781400896202</v>
      </c>
      <c r="Q41" s="20">
        <f t="shared" si="53"/>
        <v>413.36748260656083</v>
      </c>
      <c r="R41" s="59">
        <f t="shared" si="0"/>
        <v>706.70081593989414</v>
      </c>
      <c r="S41" s="59">
        <f ca="1">AVERAGE(OFFSET($R$3,0,0,'Données projet'!$E$9+1,1))-AVERAGE(OFFSET($H$3,0,0,'Données projet'!$E$9+1,1))</f>
        <v>279.98352834501759</v>
      </c>
      <c r="T41" s="59">
        <f t="shared" si="34"/>
        <v>281.30062655265488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3.4113169594158239</v>
      </c>
      <c r="AA41" s="21">
        <f>EXP(-LN(2)/25)*AA40+(1-EXP(-LN(2)/25))/(LN(2)/25)*Calculateur!V41*Calculateur!X41*VLOOKUP('Données projet'!$B$9,Paramètres!$A$1:$I$89,3,0)*0.475*44/12</f>
        <v>19.407477599136719</v>
      </c>
      <c r="AB41" s="21">
        <f>EXP(-LN(2)/2)*AB40+(1-EXP(-LN(2)/2))/(LN(2)/2)*V41*Y41*VLOOKUP('Données projet'!$B$9,Paramètres!$A$1:$I$89,3,0)*0.475*44/12</f>
        <v>1.7698212734884198</v>
      </c>
      <c r="AC41" s="22">
        <f t="shared" si="3"/>
        <v>24.588615832040965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8.1999999999999993</v>
      </c>
      <c r="AI41" s="13">
        <f>IF('Données projet'!$A$62&gt;35,AI40+AH41-AQ40,IF(A41&lt;'Données projet'!$A$62,$AF$205^A41,IF(A41='Données projet'!$A$62,'Données projet'!$B$62,AI40+AH41-AQ40)))</f>
        <v>141.59999999999997</v>
      </c>
      <c r="AJ41" s="13">
        <f>AI41*VLOOKUP('Données projet'!$B$10,Paramètres!$A$1:$I$89,3,0)*VLOOKUP('Données projet'!$B$10,Paramètres!$A$1:$I$89,5,0)</f>
        <v>143.58239999999998</v>
      </c>
      <c r="AK41" s="13">
        <f t="shared" si="35"/>
        <v>37.116472314400653</v>
      </c>
      <c r="AL41" s="20">
        <f t="shared" si="4"/>
        <v>314.71720261424775</v>
      </c>
      <c r="AM41" s="59">
        <f t="shared" si="5"/>
        <v>608.05053594758101</v>
      </c>
      <c r="AN41" s="59">
        <f ca="1">AVERAGE(OFFSET($AM$3,0,0,'Données projet'!$E$10+1,1))-AVERAGE(OFFSET($H$3,0,0,'Données projet'!$E$10+1,1))</f>
        <v>279.20364724206644</v>
      </c>
      <c r="AO41" s="59">
        <f t="shared" si="36"/>
        <v>173.99850582760712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0</v>
      </c>
      <c r="AV41" s="21">
        <f>EXP(-LN(2)/25)*AV40+(1-EXP(-LN(2)/25))/(LN(2)/25)*Calculateur!AQ41*Calculateur!AS41*VLOOKUP('Données projet'!$B$10,Paramètres!$A$1:$I$89,3,0)*0.475*44/12</f>
        <v>2.7883582458005631</v>
      </c>
      <c r="AW41" s="21">
        <f>EXP(-LN(2)/2)*AW40+(1-EXP(-LN(2)/2))/(LN(2)/2)*AQ41*AT41*VLOOKUP('Données projet'!$B$10,Paramètres!$A$1:$I$89,3,0)*0.475*44/12</f>
        <v>0.43352113204509451</v>
      </c>
      <c r="AX41" s="21">
        <f t="shared" si="6"/>
        <v>3.2218793778456578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10.000000000000004</v>
      </c>
      <c r="BD41" s="12">
        <f>IF('Données projet'!$A$88&gt;35,BD40+BC41-BL40,IF(A41&lt;'Données projet'!$A$88,$BA$205^A41,IF(A41='Données projet'!$A$88,'Données projet'!$B$88,BD40+BC41-BL40)))</f>
        <v>271.59999999999991</v>
      </c>
      <c r="BE41" s="13">
        <f>BD41*VLOOKUP('Données projet'!$B$11,Paramètres!$A$1:$I$89,3,0)*VLOOKUP('Données projet'!$B$11,Paramètres!$A$1:$I$89,5,0)</f>
        <v>127.10879999999996</v>
      </c>
      <c r="BF41" s="13">
        <f t="shared" si="37"/>
        <v>33.32741592766736</v>
      </c>
      <c r="BG41" s="20">
        <f t="shared" si="7"/>
        <v>279.4264094073539</v>
      </c>
      <c r="BH41" s="59">
        <f t="shared" si="8"/>
        <v>572.75974274068722</v>
      </c>
      <c r="BI41" s="59">
        <f ca="1">AVERAGE(OFFSET($BH$3,0,0,'Données projet'!$E$11+1,1))-AVERAGE(OFFSET($H$3,0,0,'Données projet'!$E$11+1,1))</f>
        <v>215.23235148064941</v>
      </c>
      <c r="BJ41" s="59">
        <f t="shared" si="38"/>
        <v>184.07239726900434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2.6753014445841039</v>
      </c>
      <c r="BQ41" s="21">
        <f>EXP(-LN(2)/25)*BQ40+(1-EXP(-LN(2)/25))/(LN(2)/25)*Calculateur!BL41*Calculateur!BN41*VLOOKUP('Données projet'!$B$11,Paramètres!$A$1:$I$89,3,0)*0.475*44/12</f>
        <v>6.2927758684629946</v>
      </c>
      <c r="BR41" s="21">
        <f>EXP(-LN(2)/2)*BR40+(1-EXP(-LN(2)/2))/(LN(2)/2)*BL41*BO41*VLOOKUP('Données projet'!$B$11,Paramètres!$A$1:$I$89,3,0)*0.475*44/12</f>
        <v>0.61451103001849949</v>
      </c>
      <c r="BS41" s="22">
        <f t="shared" si="9"/>
        <v>9.5825883430655985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 t="e">
        <f>BY41*VLOOKUP('Données projet'!$B$12,Paramètres!$A$1:$I$89,3,0)*VLOOKUP('Données projet'!$B$12,Paramètres!$A$1:$I$89,5,0)</f>
        <v>#N/A</v>
      </c>
      <c r="CA41" s="13" t="e">
        <f t="shared" si="39"/>
        <v>#N/A</v>
      </c>
      <c r="CB41" s="20" t="e">
        <f t="shared" si="10"/>
        <v>#N/A</v>
      </c>
      <c r="CC41" s="59" t="e">
        <f t="shared" si="11"/>
        <v>#N/A</v>
      </c>
      <c r="CD41" s="59" t="e">
        <f ca="1">AVERAGE(OFFSET($CC$3,0,0,'Données projet'!$E$12+1,1))-AVERAGE(OFFSET($H$3,0,0,'Données projet'!$E$12+1,1))</f>
        <v>#N/A</v>
      </c>
      <c r="CE41" s="59" t="e">
        <f t="shared" si="40"/>
        <v>#N/A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 t="e">
        <f>EXP(-LN(2)/35)*CK40+(1-EXP(-LN(2)/35))/(LN(2)/35)*CG41*CH41*VLOOKUP('Données projet'!$B$12,Paramètres!$A$1:$I$89,3,0)*0.475*44/12</f>
        <v>#N/A</v>
      </c>
      <c r="CL41" s="21" t="e">
        <f>EXP(-LN(2)/25)*CL40+(1-EXP(-LN(2)/25))/(LN(2)/25)*Calculateur!CG41*Calculateur!CI41*VLOOKUP('Données projet'!$B$12,Paramètres!$A$1:$I$89,3,0)*0.475*44/12</f>
        <v>#N/A</v>
      </c>
      <c r="CM41" s="21" t="e">
        <f>EXP(-LN(2)/2)*CM40+(1-EXP(-LN(2)/2))/(LN(2)/2)*CG41*CJ41*VLOOKUP('Données projet'!$B$12,Paramètres!$A$1:$I$89,3,0)*0.475*44/12</f>
        <v>#N/A</v>
      </c>
      <c r="CN41" s="22" t="e">
        <f t="shared" si="12"/>
        <v>#N/A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25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34.678799999999995</v>
      </c>
      <c r="D42" s="11">
        <f t="shared" si="32"/>
        <v>10.576760473435781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10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349.34116856687268</v>
      </c>
      <c r="H42" s="67">
        <f t="shared" si="1"/>
        <v>372.15343449123395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19.7</v>
      </c>
      <c r="N42" s="13">
        <f>IF('Données projet'!$A$36&gt;35,N41+M42-V41,IF(A42&lt;'Données projet'!$A$36,$K$205^A42,IF(A42='Données projet'!$A$36,'Données projet'!$B$36,N41+M42-V41)))</f>
        <v>359.29999999999995</v>
      </c>
      <c r="O42" s="13">
        <f>N42*VLOOKUP('Données projet'!$B$9,Paramètres!$A$1:$I$89,3,0)*VLOOKUP('Données projet'!$B$9,Paramètres!$A$1:$I$89,5,0)</f>
        <v>200.84869999999995</v>
      </c>
      <c r="P42" s="13">
        <f t="shared" si="33"/>
        <v>49.930640305560686</v>
      </c>
      <c r="Q42" s="20">
        <f t="shared" si="53"/>
        <v>436.77401769885142</v>
      </c>
      <c r="R42" s="59">
        <f t="shared" si="0"/>
        <v>730.10735103218474</v>
      </c>
      <c r="S42" s="59">
        <f ca="1">AVERAGE(OFFSET($R$3,0,0,'Données projet'!$E$9+1,1))-AVERAGE(OFFSET($H$3,0,0,'Données projet'!$E$9+1,1))</f>
        <v>279.98352834501759</v>
      </c>
      <c r="T42" s="59">
        <f t="shared" si="34"/>
        <v>281.30062655265488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3.3444231145395729</v>
      </c>
      <c r="AA42" s="21">
        <f>EXP(-LN(2)/25)*AA41+(1-EXP(-LN(2)/25))/(LN(2)/25)*Calculateur!V42*Calculateur!X42*VLOOKUP('Données projet'!$B$9,Paramètres!$A$1:$I$89,3,0)*0.475*44/12</f>
        <v>18.876779103593435</v>
      </c>
      <c r="AB42" s="21">
        <f>EXP(-LN(2)/2)*AB41+(1-EXP(-LN(2)/2))/(LN(2)/2)*V42*Y42*VLOOKUP('Données projet'!$B$9,Paramètres!$A$1:$I$89,3,0)*0.475*44/12</f>
        <v>1.2514526239718731</v>
      </c>
      <c r="AC42" s="22">
        <f t="shared" si="3"/>
        <v>23.47265484210488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8.1999999999999993</v>
      </c>
      <c r="AI42" s="13">
        <f>IF('Données projet'!$A$62&gt;35,AI41+AH42-AQ41,IF(A42&lt;'Données projet'!$A$62,$AF$205^A42,IF(A42='Données projet'!$A$62,'Données projet'!$B$62,AI41+AH42-AQ41)))</f>
        <v>149.79999999999995</v>
      </c>
      <c r="AJ42" s="13">
        <f>AI42*VLOOKUP('Données projet'!$B$10,Paramètres!$A$1:$I$89,3,0)*VLOOKUP('Données projet'!$B$10,Paramètres!$A$1:$I$89,5,0)</f>
        <v>151.89719999999997</v>
      </c>
      <c r="AK42" s="13">
        <f t="shared" si="35"/>
        <v>39.009415240495969</v>
      </c>
      <c r="AL42" s="20">
        <f t="shared" si="4"/>
        <v>332.49568821053043</v>
      </c>
      <c r="AM42" s="59">
        <f t="shared" si="5"/>
        <v>625.82902154386375</v>
      </c>
      <c r="AN42" s="59">
        <f ca="1">AVERAGE(OFFSET($AM$3,0,0,'Données projet'!$E$10+1,1))-AVERAGE(OFFSET($H$3,0,0,'Données projet'!$E$10+1,1))</f>
        <v>279.20364724206644</v>
      </c>
      <c r="AO42" s="59">
        <f t="shared" si="36"/>
        <v>173.99850582760712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0</v>
      </c>
      <c r="AV42" s="21">
        <f>EXP(-LN(2)/25)*AV41+(1-EXP(-LN(2)/25))/(LN(2)/25)*Calculateur!AQ42*Calculateur!AS42*VLOOKUP('Données projet'!$B$10,Paramètres!$A$1:$I$89,3,0)*0.475*44/12</f>
        <v>2.7121104429357596</v>
      </c>
      <c r="AW42" s="21">
        <f>EXP(-LN(2)/2)*AW41+(1-EXP(-LN(2)/2))/(LN(2)/2)*AQ42*AT42*VLOOKUP('Données projet'!$B$10,Paramètres!$A$1:$I$89,3,0)*0.475*44/12</f>
        <v>0.30654573225675502</v>
      </c>
      <c r="AX42" s="21">
        <f t="shared" si="6"/>
        <v>3.0186561751925147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10.000000000000004</v>
      </c>
      <c r="BD42" s="12">
        <f>IF('Données projet'!$A$88&gt;35,BD41+BC42-BL41,IF(A42&lt;'Données projet'!$A$88,$BA$205^A42,IF(A42='Données projet'!$A$88,'Données projet'!$B$88,BD41+BC42-BL41)))</f>
        <v>281.59999999999991</v>
      </c>
      <c r="BE42" s="13">
        <f>BD42*VLOOKUP('Données projet'!$B$11,Paramètres!$A$1:$I$89,3,0)*VLOOKUP('Données projet'!$B$11,Paramètres!$A$1:$I$89,5,0)</f>
        <v>131.78879999999995</v>
      </c>
      <c r="BF42" s="13">
        <f t="shared" si="37"/>
        <v>34.409369159409614</v>
      </c>
      <c r="BG42" s="20">
        <f t="shared" si="7"/>
        <v>289.46181128597163</v>
      </c>
      <c r="BH42" s="59">
        <f t="shared" si="8"/>
        <v>582.79514461930489</v>
      </c>
      <c r="BI42" s="59">
        <f ca="1">AVERAGE(OFFSET($BH$3,0,0,'Données projet'!$E$11+1,1))-AVERAGE(OFFSET($H$3,0,0,'Données projet'!$E$11+1,1))</f>
        <v>215.23235148064941</v>
      </c>
      <c r="BJ42" s="59">
        <f t="shared" si="38"/>
        <v>184.07239726900434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2.6228404150285667</v>
      </c>
      <c r="BQ42" s="21">
        <f>EXP(-LN(2)/25)*BQ41+(1-EXP(-LN(2)/25))/(LN(2)/25)*Calculateur!BL42*Calculateur!BN42*VLOOKUP('Données projet'!$B$11,Paramètres!$A$1:$I$89,3,0)*0.475*44/12</f>
        <v>6.1206995814171732</v>
      </c>
      <c r="BR42" s="21">
        <f>EXP(-LN(2)/2)*BR41+(1-EXP(-LN(2)/2))/(LN(2)/2)*BL42*BO42*VLOOKUP('Données projet'!$B$11,Paramètres!$A$1:$I$89,3,0)*0.475*44/12</f>
        <v>0.43452491644001107</v>
      </c>
      <c r="BS42" s="22">
        <f t="shared" si="9"/>
        <v>9.1780649128857519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 t="e">
        <f>BY42*VLOOKUP('Données projet'!$B$12,Paramètres!$A$1:$I$89,3,0)*VLOOKUP('Données projet'!$B$12,Paramètres!$A$1:$I$89,5,0)</f>
        <v>#N/A</v>
      </c>
      <c r="CA42" s="13" t="e">
        <f t="shared" si="39"/>
        <v>#N/A</v>
      </c>
      <c r="CB42" s="20" t="e">
        <f t="shared" si="10"/>
        <v>#N/A</v>
      </c>
      <c r="CC42" s="59" t="e">
        <f t="shared" si="11"/>
        <v>#N/A</v>
      </c>
      <c r="CD42" s="59" t="e">
        <f ca="1">AVERAGE(OFFSET($CC$3,0,0,'Données projet'!$E$12+1,1))-AVERAGE(OFFSET($H$3,0,0,'Données projet'!$E$12+1,1))</f>
        <v>#N/A</v>
      </c>
      <c r="CE42" s="59" t="e">
        <f t="shared" si="40"/>
        <v>#N/A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 t="e">
        <f>EXP(-LN(2)/35)*CK41+(1-EXP(-LN(2)/35))/(LN(2)/35)*CG42*CH42*VLOOKUP('Données projet'!$B$12,Paramètres!$A$1:$I$89,3,0)*0.475*44/12</f>
        <v>#N/A</v>
      </c>
      <c r="CL42" s="21" t="e">
        <f>EXP(-LN(2)/25)*CL41+(1-EXP(-LN(2)/25))/(LN(2)/25)*Calculateur!CG42*Calculateur!CI42*VLOOKUP('Données projet'!$B$12,Paramètres!$A$1:$I$89,3,0)*0.475*44/12</f>
        <v>#N/A</v>
      </c>
      <c r="CM42" s="21" t="e">
        <f>EXP(-LN(2)/2)*CM41+(1-EXP(-LN(2)/2))/(LN(2)/2)*CG42*CJ42*VLOOKUP('Données projet'!$B$12,Paramètres!$A$1:$I$89,3,0)*0.475*44/12</f>
        <v>#N/A</v>
      </c>
      <c r="CN42" s="22" t="e">
        <f t="shared" si="12"/>
        <v>#N/A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25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35.567999999999998</v>
      </c>
      <c r="D43" s="11">
        <f t="shared" si="32"/>
        <v>10.816037660735208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10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358.0522205390086</v>
      </c>
      <c r="H43" s="67">
        <f t="shared" si="1"/>
        <v>374.11886559244715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>
        <f>VLOOKUP(A43,'Données projet'!$A$35:$I$55,2,0)</f>
        <v>379</v>
      </c>
      <c r="L43" s="12">
        <f>VLOOKUP(A43,'Données projet'!$A$35:$I$55,9,0)</f>
        <v>19.7</v>
      </c>
      <c r="M43" s="12">
        <f t="array" ref="M43">INDEX(L:L,MIN(IF(ISNUMBER(L43:L239),ROW(L43:L239),"")))</f>
        <v>19.7</v>
      </c>
      <c r="N43" s="13">
        <f>IF('Données projet'!$A$36&gt;35,N42+M43-V42,IF(A43&lt;'Données projet'!$A$36,$K$205^A43,IF(A43='Données projet'!$A$36,'Données projet'!$B$36,N42+M43-V42)))</f>
        <v>378.99999999999994</v>
      </c>
      <c r="O43" s="13">
        <f>N43*VLOOKUP('Données projet'!$B$9,Paramètres!$A$1:$I$89,3,0)*VLOOKUP('Données projet'!$B$9,Paramètres!$A$1:$I$89,5,0)</f>
        <v>211.86099999999996</v>
      </c>
      <c r="P43" s="13">
        <f t="shared" si="33"/>
        <v>52.342051960836379</v>
      </c>
      <c r="Q43" s="20">
        <f t="shared" si="53"/>
        <v>460.15364883178995</v>
      </c>
      <c r="R43" s="59">
        <f t="shared" si="0"/>
        <v>753.48698216512321</v>
      </c>
      <c r="S43" s="59">
        <f ca="1">AVERAGE(OFFSET($R$3,0,0,'Données projet'!$E$9+1,1))-AVERAGE(OFFSET($H$3,0,0,'Données projet'!$E$9+1,1))</f>
        <v>279.98352834501759</v>
      </c>
      <c r="T43" s="59">
        <f t="shared" si="34"/>
        <v>281.30062655265488</v>
      </c>
      <c r="U43" s="15">
        <f>IF(ISNA(VLOOKUP(A43,'Données projet'!$A$35:$I$55,3,0)),0,VLOOKUP(A43,'Données projet'!$A$35:$I$55,3,0))</f>
        <v>3</v>
      </c>
      <c r="V43" s="15">
        <f>IF(ISNA(VLOOKUP(A43,'Données projet'!$A$35:$I$55,4,0)),0,VLOOKUP(A43,'Données projet'!$A$35:$I$55,4,0))</f>
        <v>98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3.2788410171601288</v>
      </c>
      <c r="AA43" s="21">
        <f>EXP(-LN(2)/25)*AA42+(1-EXP(-LN(2)/25))/(LN(2)/25)*Calculateur!V43*Calculateur!X43*VLOOKUP('Données projet'!$B$9,Paramètres!$A$1:$I$89,3,0)*0.475*44/12</f>
        <v>18.360592586319004</v>
      </c>
      <c r="AB43" s="21">
        <f>EXP(-LN(2)/2)*AB42+(1-EXP(-LN(2)/2))/(LN(2)/2)*V43*Y43*VLOOKUP('Données projet'!$B$9,Paramètres!$A$1:$I$89,3,0)*0.475*44/12</f>
        <v>0.88491063674421</v>
      </c>
      <c r="AC43" s="22">
        <f t="shared" si="3"/>
        <v>22.524344240223343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>
        <f>VLOOKUP(A43,'Données projet'!$A$61:$I$81,2,0)</f>
        <v>158</v>
      </c>
      <c r="AG43" s="12">
        <f>VLOOKUP(A43,'Données projet'!$A$61:$I$81,9,0)</f>
        <v>8.1999999999999993</v>
      </c>
      <c r="AH43" s="12">
        <f t="array" ref="AH43">INDEX(AG:AG,MIN(IF(ISNUMBER(AG43:AG239),ROW(AG43:AG239),"")))</f>
        <v>8.1999999999999993</v>
      </c>
      <c r="AI43" s="13">
        <f>IF('Données projet'!$A$62&gt;35,AI42+AH43-AQ42,IF(A43&lt;'Données projet'!$A$62,$AF$205^A43,IF(A43='Données projet'!$A$62,'Données projet'!$B$62,AI42+AH43-AQ42)))</f>
        <v>157.99999999999994</v>
      </c>
      <c r="AJ43" s="13">
        <f>AI43*VLOOKUP('Données projet'!$B$10,Paramètres!$A$1:$I$89,3,0)*VLOOKUP('Données projet'!$B$10,Paramètres!$A$1:$I$89,5,0)</f>
        <v>160.21199999999993</v>
      </c>
      <c r="AK43" s="13">
        <f t="shared" si="35"/>
        <v>40.890328912852695</v>
      </c>
      <c r="AL43" s="20">
        <f t="shared" si="4"/>
        <v>350.25322285655164</v>
      </c>
      <c r="AM43" s="59">
        <f t="shared" si="5"/>
        <v>643.58655618988496</v>
      </c>
      <c r="AN43" s="59">
        <f ca="1">AVERAGE(OFFSET($AM$3,0,0,'Données projet'!$E$10+1,1))-AVERAGE(OFFSET($H$3,0,0,'Données projet'!$E$10+1,1))</f>
        <v>279.20364724206644</v>
      </c>
      <c r="AO43" s="59">
        <f t="shared" si="36"/>
        <v>173.99850582760712</v>
      </c>
      <c r="AP43" s="15">
        <f>IF(ISNA(VLOOKUP(A43,'Données projet'!$A$61:$I$81,3,0)),0,VLOOKUP(A43,'Données projet'!$A$61:$I$81,3,0))</f>
        <v>2</v>
      </c>
      <c r="AQ43" s="15">
        <f>IF(ISNA(VLOOKUP(A43,'Données projet'!$A$61:$I$81,4,0)),0,VLOOKUP(A43,'Données projet'!$A$61:$I$81,4,0))</f>
        <v>42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0</v>
      </c>
      <c r="AV43" s="21">
        <f>EXP(-LN(2)/25)*AV42+(1-EXP(-LN(2)/25))/(LN(2)/25)*Calculateur!AQ43*Calculateur!AS43*VLOOKUP('Données projet'!$B$10,Paramètres!$A$1:$I$89,3,0)*0.475*44/12</f>
        <v>2.6379476402499917</v>
      </c>
      <c r="AW43" s="21">
        <f>EXP(-LN(2)/2)*AW42+(1-EXP(-LN(2)/2))/(LN(2)/2)*AQ43*AT43*VLOOKUP('Données projet'!$B$10,Paramètres!$A$1:$I$89,3,0)*0.475*44/12</f>
        <v>0.21676056602254726</v>
      </c>
      <c r="AX43" s="21">
        <f t="shared" si="6"/>
        <v>2.8547082062725391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>
        <f>VLOOKUP(A43,'Données projet'!$A$87:$I$107,2,0)</f>
        <v>291.60000000000002</v>
      </c>
      <c r="BB43" s="12">
        <f>VLOOKUP(A43,'Données projet'!$A$87:$I$107,9,0)</f>
        <v>10.000000000000004</v>
      </c>
      <c r="BC43" s="12">
        <f t="array" ref="BC43">INDEX(BB:BB,MIN(IF(ISNUMBER(BB43:BB239),ROW(BB43:BB239),"")))</f>
        <v>10.000000000000004</v>
      </c>
      <c r="BD43" s="12">
        <f>IF('Données projet'!$A$88&gt;35,BD42+BC43-BL42,IF(A43&lt;'Données projet'!$A$88,$BA$205^A43,IF(A43='Données projet'!$A$88,'Données projet'!$B$88,BD42+BC43-BL42)))</f>
        <v>291.59999999999991</v>
      </c>
      <c r="BE43" s="13">
        <f>BD43*VLOOKUP('Données projet'!$B$11,Paramètres!$A$1:$I$89,3,0)*VLOOKUP('Données projet'!$B$11,Paramètres!$A$1:$I$89,5,0)</f>
        <v>136.46879999999996</v>
      </c>
      <c r="BF43" s="13">
        <f t="shared" si="37"/>
        <v>35.486858352195874</v>
      </c>
      <c r="BG43" s="20">
        <f t="shared" si="7"/>
        <v>299.48943829674107</v>
      </c>
      <c r="BH43" s="59">
        <f t="shared" si="8"/>
        <v>592.82277163007439</v>
      </c>
      <c r="BI43" s="59">
        <f ca="1">AVERAGE(OFFSET($BH$3,0,0,'Données projet'!$E$11+1,1))-AVERAGE(OFFSET($H$3,0,0,'Données projet'!$E$11+1,1))</f>
        <v>215.23235148064941</v>
      </c>
      <c r="BJ43" s="59">
        <f t="shared" si="38"/>
        <v>184.07239726900434</v>
      </c>
      <c r="BK43" s="15">
        <f>IF(ISNA(VLOOKUP(A43,'Données projet'!$A$87:$I$107,3,0)),0,VLOOKUP(A43,'Données projet'!$A$87:$I$107,3,0))</f>
        <v>3</v>
      </c>
      <c r="BL43" s="15">
        <f>IF(ISNA(VLOOKUP(A43,'Données projet'!$A$87:$I$107,4,0)),0,VLOOKUP(A43,'Données projet'!$A$87:$I$107,4,0))</f>
        <v>83.4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2.5714081142645449</v>
      </c>
      <c r="BQ43" s="21">
        <f>EXP(-LN(2)/25)*BQ42+(1-EXP(-LN(2)/25))/(LN(2)/25)*Calculateur!BL43*Calculateur!BN43*VLOOKUP('Données projet'!$B$11,Paramètres!$A$1:$I$89,3,0)*0.475*44/12</f>
        <v>5.9533287294897184</v>
      </c>
      <c r="BR43" s="21">
        <f>EXP(-LN(2)/2)*BR42+(1-EXP(-LN(2)/2))/(LN(2)/2)*BL43*BO43*VLOOKUP('Données projet'!$B$11,Paramètres!$A$1:$I$89,3,0)*0.475*44/12</f>
        <v>0.30725551500924975</v>
      </c>
      <c r="BS43" s="22">
        <f t="shared" si="9"/>
        <v>8.8319923587635127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 t="e">
        <f>BY43*VLOOKUP('Données projet'!$B$12,Paramètres!$A$1:$I$89,3,0)*VLOOKUP('Données projet'!$B$12,Paramètres!$A$1:$I$89,5,0)</f>
        <v>#N/A</v>
      </c>
      <c r="CA43" s="13" t="e">
        <f t="shared" si="39"/>
        <v>#N/A</v>
      </c>
      <c r="CB43" s="20" t="e">
        <f t="shared" si="10"/>
        <v>#N/A</v>
      </c>
      <c r="CC43" s="59" t="e">
        <f t="shared" si="11"/>
        <v>#N/A</v>
      </c>
      <c r="CD43" s="59" t="e">
        <f ca="1">AVERAGE(OFFSET($CC$3,0,0,'Données projet'!$E$12+1,1))-AVERAGE(OFFSET($H$3,0,0,'Données projet'!$E$12+1,1))</f>
        <v>#N/A</v>
      </c>
      <c r="CE43" s="59" t="e">
        <f t="shared" si="40"/>
        <v>#N/A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 t="e">
        <f>EXP(-LN(2)/35)*CK42+(1-EXP(-LN(2)/35))/(LN(2)/35)*CG43*CH43*VLOOKUP('Données projet'!$B$12,Paramètres!$A$1:$I$89,3,0)*0.475*44/12</f>
        <v>#N/A</v>
      </c>
      <c r="CL43" s="21" t="e">
        <f>EXP(-LN(2)/25)*CL42+(1-EXP(-LN(2)/25))/(LN(2)/25)*Calculateur!CG43*Calculateur!CI43*VLOOKUP('Données projet'!$B$12,Paramètres!$A$1:$I$89,3,0)*0.475*44/12</f>
        <v>#N/A</v>
      </c>
      <c r="CM43" s="21" t="e">
        <f>EXP(-LN(2)/2)*CM42+(1-EXP(-LN(2)/2))/(LN(2)/2)*CG43*CJ43*VLOOKUP('Données projet'!$B$12,Paramètres!$A$1:$I$89,3,0)*0.475*44/12</f>
        <v>#N/A</v>
      </c>
      <c r="CN43" s="22" t="e">
        <f t="shared" si="12"/>
        <v>#N/A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25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36.4572</v>
      </c>
      <c r="D44" s="11">
        <f t="shared" si="32"/>
        <v>11.054619486999963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10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366.75790481192956</v>
      </c>
      <c r="H44" s="67">
        <f t="shared" si="1"/>
        <v>376.08308560652495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17.399999999999999</v>
      </c>
      <c r="N44" s="13">
        <f>IF('Données projet'!$A$36&gt;35,N43+M44-V43,IF(A44&lt;'Données projet'!$A$36,$K$205^A44,IF(A44='Données projet'!$A$36,'Données projet'!$B$36,N43+M44-V43)))</f>
        <v>298.39999999999992</v>
      </c>
      <c r="O44" s="13">
        <f>N44*VLOOKUP('Données projet'!$B$9,Paramètres!$A$1:$I$89,3,0)*VLOOKUP('Données projet'!$B$9,Paramètres!$A$1:$I$89,5,0)</f>
        <v>166.80559999999994</v>
      </c>
      <c r="P44" s="13">
        <f t="shared" si="33"/>
        <v>42.373796309738111</v>
      </c>
      <c r="Q44" s="20">
        <f t="shared" si="53"/>
        <v>364.32078190612714</v>
      </c>
      <c r="R44" s="59">
        <f t="shared" si="0"/>
        <v>657.65411523946045</v>
      </c>
      <c r="S44" s="59">
        <f ca="1">AVERAGE(OFFSET($R$3,0,0,'Données projet'!$E$9+1,1))-AVERAGE(OFFSET($H$3,0,0,'Données projet'!$E$9+1,1))</f>
        <v>279.98352834501759</v>
      </c>
      <c r="T44" s="59">
        <f t="shared" si="34"/>
        <v>281.30062655265488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3.2145449447091656</v>
      </c>
      <c r="AA44" s="21">
        <f>EXP(-LN(2)/25)*AA43+(1-EXP(-LN(2)/25))/(LN(2)/25)*Calculateur!V44*Calculateur!X44*VLOOKUP('Données projet'!$B$9,Paramètres!$A$1:$I$89,3,0)*0.475*44/12</f>
        <v>17.85852121650451</v>
      </c>
      <c r="AB44" s="21">
        <f>EXP(-LN(2)/2)*AB43+(1-EXP(-LN(2)/2))/(LN(2)/2)*V44*Y44*VLOOKUP('Données projet'!$B$9,Paramètres!$A$1:$I$89,3,0)*0.475*44/12</f>
        <v>0.62572631198593653</v>
      </c>
      <c r="AC44" s="22">
        <f t="shared" si="3"/>
        <v>21.69879247319961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8.3000000000000007</v>
      </c>
      <c r="AI44" s="13">
        <f>IF('Données projet'!$A$62&gt;35,AI43+AH44-AQ43,IF(A44&lt;'Données projet'!$A$62,$AF$205^A44,IF(A44='Données projet'!$A$62,'Données projet'!$B$62,AI43+AH44-AQ43)))</f>
        <v>124.29999999999995</v>
      </c>
      <c r="AJ44" s="13">
        <f>AI44*VLOOKUP('Données projet'!$B$10,Paramètres!$A$1:$I$89,3,0)*VLOOKUP('Données projet'!$B$10,Paramètres!$A$1:$I$89,5,0)</f>
        <v>126.04019999999996</v>
      </c>
      <c r="AK44" s="13">
        <f t="shared" si="35"/>
        <v>33.079725051468074</v>
      </c>
      <c r="AL44" s="20">
        <f t="shared" si="4"/>
        <v>277.13386946464016</v>
      </c>
      <c r="AM44" s="59">
        <f t="shared" si="5"/>
        <v>570.46720279797341</v>
      </c>
      <c r="AN44" s="59">
        <f ca="1">AVERAGE(OFFSET($AM$3,0,0,'Données projet'!$E$10+1,1))-AVERAGE(OFFSET($H$3,0,0,'Données projet'!$E$10+1,1))</f>
        <v>279.20364724206644</v>
      </c>
      <c r="AO44" s="59">
        <f t="shared" si="36"/>
        <v>173.99850582760712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0</v>
      </c>
      <c r="AV44" s="21">
        <f>EXP(-LN(2)/25)*AV43+(1-EXP(-LN(2)/25))/(LN(2)/25)*Calculateur!AQ44*Calculateur!AS44*VLOOKUP('Données projet'!$B$10,Paramètres!$A$1:$I$89,3,0)*0.475*44/12</f>
        <v>2.5658128233037183</v>
      </c>
      <c r="AW44" s="21">
        <f>EXP(-LN(2)/2)*AW43+(1-EXP(-LN(2)/2))/(LN(2)/2)*AQ44*AT44*VLOOKUP('Données projet'!$B$10,Paramètres!$A$1:$I$89,3,0)*0.475*44/12</f>
        <v>0.15327286612837751</v>
      </c>
      <c r="AX44" s="21">
        <f t="shared" si="6"/>
        <v>2.7190856894320956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11.499999999999996</v>
      </c>
      <c r="BD44" s="12">
        <f>IF('Données projet'!$A$88&gt;35,BD43+BC44-BL43,IF(A44&lt;'Données projet'!$A$88,$BA$205^A44,IF(A44='Données projet'!$A$88,'Données projet'!$B$88,BD43+BC44-BL43)))</f>
        <v>219.6999999999999</v>
      </c>
      <c r="BE44" s="13">
        <f>BD44*VLOOKUP('Données projet'!$B$11,Paramètres!$A$1:$I$89,3,0)*VLOOKUP('Données projet'!$B$11,Paramètres!$A$1:$I$89,5,0)</f>
        <v>102.81959999999995</v>
      </c>
      <c r="BF44" s="13">
        <f t="shared" si="37"/>
        <v>27.632637448562328</v>
      </c>
      <c r="BG44" s="20">
        <f t="shared" si="7"/>
        <v>227.20431355624598</v>
      </c>
      <c r="BH44" s="59">
        <f t="shared" si="8"/>
        <v>520.53764688957926</v>
      </c>
      <c r="BI44" s="59">
        <f ca="1">AVERAGE(OFFSET($BH$3,0,0,'Données projet'!$E$11+1,1))-AVERAGE(OFFSET($H$3,0,0,'Données projet'!$E$11+1,1))</f>
        <v>215.23235148064941</v>
      </c>
      <c r="BJ44" s="59">
        <f t="shared" si="38"/>
        <v>184.07239726900434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2.5209843695478997</v>
      </c>
      <c r="BQ44" s="21">
        <f>EXP(-LN(2)/25)*BQ43+(1-EXP(-LN(2)/25))/(LN(2)/25)*Calculateur!BL44*Calculateur!BN44*VLOOKUP('Données projet'!$B$11,Paramètres!$A$1:$I$89,3,0)*0.475*44/12</f>
        <v>5.7905346423098703</v>
      </c>
      <c r="BR44" s="21">
        <f>EXP(-LN(2)/2)*BR43+(1-EXP(-LN(2)/2))/(LN(2)/2)*BL44*BO44*VLOOKUP('Données projet'!$B$11,Paramètres!$A$1:$I$89,3,0)*0.475*44/12</f>
        <v>0.21726245822000553</v>
      </c>
      <c r="BS44" s="22">
        <f t="shared" si="9"/>
        <v>8.5287814700777762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 t="e">
        <f>BY44*VLOOKUP('Données projet'!$B$12,Paramètres!$A$1:$I$89,3,0)*VLOOKUP('Données projet'!$B$12,Paramètres!$A$1:$I$89,5,0)</f>
        <v>#N/A</v>
      </c>
      <c r="CA44" s="13" t="e">
        <f t="shared" si="39"/>
        <v>#N/A</v>
      </c>
      <c r="CB44" s="20" t="e">
        <f t="shared" si="10"/>
        <v>#N/A</v>
      </c>
      <c r="CC44" s="59" t="e">
        <f t="shared" si="11"/>
        <v>#N/A</v>
      </c>
      <c r="CD44" s="59" t="e">
        <f ca="1">AVERAGE(OFFSET($CC$3,0,0,'Données projet'!$E$12+1,1))-AVERAGE(OFFSET($H$3,0,0,'Données projet'!$E$12+1,1))</f>
        <v>#N/A</v>
      </c>
      <c r="CE44" s="59" t="e">
        <f t="shared" si="40"/>
        <v>#N/A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 t="e">
        <f>EXP(-LN(2)/35)*CK43+(1-EXP(-LN(2)/35))/(LN(2)/35)*CG44*CH44*VLOOKUP('Données projet'!$B$12,Paramètres!$A$1:$I$89,3,0)*0.475*44/12</f>
        <v>#N/A</v>
      </c>
      <c r="CL44" s="21" t="e">
        <f>EXP(-LN(2)/25)*CL43+(1-EXP(-LN(2)/25))/(LN(2)/25)*Calculateur!CG44*Calculateur!CI44*VLOOKUP('Données projet'!$B$12,Paramètres!$A$1:$I$89,3,0)*0.475*44/12</f>
        <v>#N/A</v>
      </c>
      <c r="CM44" s="21" t="e">
        <f>EXP(-LN(2)/2)*CM43+(1-EXP(-LN(2)/2))/(LN(2)/2)*CG44*CJ44*VLOOKUP('Données projet'!$B$12,Paramètres!$A$1:$I$89,3,0)*0.475*44/12</f>
        <v>#N/A</v>
      </c>
      <c r="CN44" s="22" t="e">
        <f t="shared" si="12"/>
        <v>#N/A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25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37.346400000000003</v>
      </c>
      <c r="D45" s="11">
        <f t="shared" si="32"/>
        <v>11.292524863342397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10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375.45836736615183</v>
      </c>
      <c r="H45" s="67">
        <f t="shared" si="1"/>
        <v>378.04612747032132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17.399999999999999</v>
      </c>
      <c r="N45" s="13">
        <f>IF('Données projet'!$A$36&gt;35,N44+M45-V44,IF(A45&lt;'Données projet'!$A$36,$K$205^A45,IF(A45='Données projet'!$A$36,'Données projet'!$B$36,N44+M45-V44)))</f>
        <v>315.7999999999999</v>
      </c>
      <c r="O45" s="13">
        <f>N45*VLOOKUP('Données projet'!$B$9,Paramètres!$A$1:$I$89,3,0)*VLOOKUP('Données projet'!$B$9,Paramètres!$A$1:$I$89,5,0)</f>
        <v>176.53219999999996</v>
      </c>
      <c r="P45" s="13">
        <f t="shared" si="33"/>
        <v>44.549793218265783</v>
      </c>
      <c r="Q45" s="20">
        <f t="shared" si="53"/>
        <v>385.05113818847946</v>
      </c>
      <c r="R45" s="59">
        <f t="shared" si="0"/>
        <v>678.38447152181277</v>
      </c>
      <c r="S45" s="59">
        <f ca="1">AVERAGE(OFFSET($R$3,0,0,'Données projet'!$E$9+1,1))-AVERAGE(OFFSET($H$3,0,0,'Données projet'!$E$9+1,1))</f>
        <v>279.98352834501759</v>
      </c>
      <c r="T45" s="59">
        <f t="shared" si="34"/>
        <v>281.30062655265488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3.1515096790222343</v>
      </c>
      <c r="AA45" s="21">
        <f>EXP(-LN(2)/25)*AA44+(1-EXP(-LN(2)/25))/(LN(2)/25)*Calculateur!V45*Calculateur!X45*VLOOKUP('Données projet'!$B$9,Paramètres!$A$1:$I$89,3,0)*0.475*44/12</f>
        <v>17.37017901470038</v>
      </c>
      <c r="AB45" s="21">
        <f>EXP(-LN(2)/2)*AB44+(1-EXP(-LN(2)/2))/(LN(2)/2)*V45*Y45*VLOOKUP('Données projet'!$B$9,Paramètres!$A$1:$I$89,3,0)*0.475*44/12</f>
        <v>0.442455318372105</v>
      </c>
      <c r="AC45" s="22">
        <f t="shared" si="3"/>
        <v>20.964144012094717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8.3000000000000007</v>
      </c>
      <c r="AI45" s="13">
        <f>IF('Données projet'!$A$62&gt;35,AI44+AH45-AQ44,IF(A45&lt;'Données projet'!$A$62,$AF$205^A45,IF(A45='Données projet'!$A$62,'Données projet'!$B$62,AI44+AH45-AQ44)))</f>
        <v>132.59999999999997</v>
      </c>
      <c r="AJ45" s="13">
        <f>AI45*VLOOKUP('Données projet'!$B$10,Paramètres!$A$1:$I$89,3,0)*VLOOKUP('Données projet'!$B$10,Paramètres!$A$1:$I$89,5,0)</f>
        <v>134.45639999999997</v>
      </c>
      <c r="AK45" s="13">
        <f t="shared" si="35"/>
        <v>35.024073835162383</v>
      </c>
      <c r="AL45" s="20">
        <f t="shared" si="4"/>
        <v>295.17849192957436</v>
      </c>
      <c r="AM45" s="59">
        <f t="shared" si="5"/>
        <v>588.51182526290768</v>
      </c>
      <c r="AN45" s="59">
        <f ca="1">AVERAGE(OFFSET($AM$3,0,0,'Données projet'!$E$10+1,1))-AVERAGE(OFFSET($H$3,0,0,'Données projet'!$E$10+1,1))</f>
        <v>279.20364724206644</v>
      </c>
      <c r="AO45" s="59">
        <f t="shared" si="36"/>
        <v>173.99850582760712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0</v>
      </c>
      <c r="AV45" s="21">
        <f>EXP(-LN(2)/25)*AV44+(1-EXP(-LN(2)/25))/(LN(2)/25)*Calculateur!AQ45*Calculateur!AS45*VLOOKUP('Données projet'!$B$10,Paramètres!$A$1:$I$89,3,0)*0.475*44/12</f>
        <v>2.4956505367202459</v>
      </c>
      <c r="AW45" s="21">
        <f>EXP(-LN(2)/2)*AW44+(1-EXP(-LN(2)/2))/(LN(2)/2)*AQ45*AT45*VLOOKUP('Données projet'!$B$10,Paramètres!$A$1:$I$89,3,0)*0.475*44/12</f>
        <v>0.10838028301127363</v>
      </c>
      <c r="AX45" s="21">
        <f t="shared" si="6"/>
        <v>2.6040308197315194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11.499999999999996</v>
      </c>
      <c r="BD45" s="12">
        <f>IF('Données projet'!$A$88&gt;35,BD44+BC45-BL44,IF(A45&lt;'Données projet'!$A$88,$BA$205^A45,IF(A45='Données projet'!$A$88,'Données projet'!$B$88,BD44+BC45-BL44)))</f>
        <v>231.1999999999999</v>
      </c>
      <c r="BE45" s="13">
        <f>BD45*VLOOKUP('Données projet'!$B$11,Paramètres!$A$1:$I$89,3,0)*VLOOKUP('Données projet'!$B$11,Paramètres!$A$1:$I$89,5,0)</f>
        <v>108.20159999999994</v>
      </c>
      <c r="BF45" s="13">
        <f t="shared" si="37"/>
        <v>28.906861857161235</v>
      </c>
      <c r="BG45" s="20">
        <f t="shared" si="7"/>
        <v>238.79723773455569</v>
      </c>
      <c r="BH45" s="59">
        <f t="shared" si="8"/>
        <v>532.13057106788904</v>
      </c>
      <c r="BI45" s="59">
        <f ca="1">AVERAGE(OFFSET($BH$3,0,0,'Données projet'!$E$11+1,1))-AVERAGE(OFFSET($H$3,0,0,'Données projet'!$E$11+1,1))</f>
        <v>215.23235148064941</v>
      </c>
      <c r="BJ45" s="59">
        <f t="shared" si="38"/>
        <v>184.07239726900434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2.4715494037097008</v>
      </c>
      <c r="BQ45" s="21">
        <f>EXP(-LN(2)/25)*BQ44+(1-EXP(-LN(2)/25))/(LN(2)/25)*Calculateur!BL45*Calculateur!BN45*VLOOKUP('Données projet'!$B$11,Paramètres!$A$1:$I$89,3,0)*0.475*44/12</f>
        <v>5.6321921680049245</v>
      </c>
      <c r="BR45" s="21">
        <f>EXP(-LN(2)/2)*BR44+(1-EXP(-LN(2)/2))/(LN(2)/2)*BL45*BO45*VLOOKUP('Données projet'!$B$11,Paramètres!$A$1:$I$89,3,0)*0.475*44/12</f>
        <v>0.15362775750462487</v>
      </c>
      <c r="BS45" s="22">
        <f t="shared" si="9"/>
        <v>8.2573693292192498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 t="e">
        <f>BY45*VLOOKUP('Données projet'!$B$12,Paramètres!$A$1:$I$89,3,0)*VLOOKUP('Données projet'!$B$12,Paramètres!$A$1:$I$89,5,0)</f>
        <v>#N/A</v>
      </c>
      <c r="CA45" s="13" t="e">
        <f t="shared" si="39"/>
        <v>#N/A</v>
      </c>
      <c r="CB45" s="20" t="e">
        <f t="shared" si="10"/>
        <v>#N/A</v>
      </c>
      <c r="CC45" s="59" t="e">
        <f t="shared" si="11"/>
        <v>#N/A</v>
      </c>
      <c r="CD45" s="59" t="e">
        <f ca="1">AVERAGE(OFFSET($CC$3,0,0,'Données projet'!$E$12+1,1))-AVERAGE(OFFSET($H$3,0,0,'Données projet'!$E$12+1,1))</f>
        <v>#N/A</v>
      </c>
      <c r="CE45" s="59" t="e">
        <f t="shared" si="40"/>
        <v>#N/A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 t="e">
        <f>EXP(-LN(2)/35)*CK44+(1-EXP(-LN(2)/35))/(LN(2)/35)*CG45*CH45*VLOOKUP('Données projet'!$B$12,Paramètres!$A$1:$I$89,3,0)*0.475*44/12</f>
        <v>#N/A</v>
      </c>
      <c r="CL45" s="21" t="e">
        <f>EXP(-LN(2)/25)*CL44+(1-EXP(-LN(2)/25))/(LN(2)/25)*Calculateur!CG45*Calculateur!CI45*VLOOKUP('Données projet'!$B$12,Paramètres!$A$1:$I$89,3,0)*0.475*44/12</f>
        <v>#N/A</v>
      </c>
      <c r="CM45" s="21" t="e">
        <f>EXP(-LN(2)/2)*CM44+(1-EXP(-LN(2)/2))/(LN(2)/2)*CG45*CJ45*VLOOKUP('Données projet'!$B$12,Paramètres!$A$1:$I$89,3,0)*0.475*44/12</f>
        <v>#N/A</v>
      </c>
      <c r="CN45" s="22" t="e">
        <f t="shared" si="12"/>
        <v>#N/A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25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38.235600000000005</v>
      </c>
      <c r="D46" s="11">
        <f t="shared" si="32"/>
        <v>11.529771748983352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10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384.15374683425745</v>
      </c>
      <c r="H46" s="67">
        <f t="shared" si="1"/>
        <v>380.00802246281268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17.399999999999999</v>
      </c>
      <c r="N46" s="13">
        <f>IF('Données projet'!$A$36&gt;35,N45+M46-V45,IF(A46&lt;'Données projet'!$A$36,$K$205^A46,IF(A46='Données projet'!$A$36,'Données projet'!$B$36,N45+M46-V45)))</f>
        <v>333.19999999999987</v>
      </c>
      <c r="O46" s="13">
        <f>N46*VLOOKUP('Données projet'!$B$9,Paramètres!$A$1:$I$89,3,0)*VLOOKUP('Données projet'!$B$9,Paramètres!$A$1:$I$89,5,0)</f>
        <v>186.25879999999995</v>
      </c>
      <c r="P46" s="13">
        <f t="shared" si="33"/>
        <v>46.711871753529699</v>
      </c>
      <c r="Q46" s="20">
        <f t="shared" si="53"/>
        <v>405.75725330406408</v>
      </c>
      <c r="R46" s="59">
        <f t="shared" si="0"/>
        <v>699.09058663739734</v>
      </c>
      <c r="S46" s="59">
        <f ca="1">AVERAGE(OFFSET($R$3,0,0,'Données projet'!$E$9+1,1))-AVERAGE(OFFSET($H$3,0,0,'Données projet'!$E$9+1,1))</f>
        <v>279.98352834501759</v>
      </c>
      <c r="T46" s="59">
        <f t="shared" si="34"/>
        <v>281.30062655265488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3.089710496447708</v>
      </c>
      <c r="AA46" s="21">
        <f>EXP(-LN(2)/25)*AA45+(1-EXP(-LN(2)/25))/(LN(2)/25)*Calculateur!V46*Calculateur!X46*VLOOKUP('Données projet'!$B$9,Paramètres!$A$1:$I$89,3,0)*0.475*44/12</f>
        <v>16.895190556085385</v>
      </c>
      <c r="AB46" s="21">
        <f>EXP(-LN(2)/2)*AB45+(1-EXP(-LN(2)/2))/(LN(2)/2)*V46*Y46*VLOOKUP('Données projet'!$B$9,Paramètres!$A$1:$I$89,3,0)*0.475*44/12</f>
        <v>0.31286315599296827</v>
      </c>
      <c r="AC46" s="22">
        <f t="shared" si="3"/>
        <v>20.297764208526061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8.3000000000000007</v>
      </c>
      <c r="AI46" s="13">
        <f>IF('Données projet'!$A$62&gt;35,AI45+AH46-AQ45,IF(A46&lt;'Données projet'!$A$62,$AF$205^A46,IF(A46='Données projet'!$A$62,'Données projet'!$B$62,AI45+AH46-AQ45)))</f>
        <v>140.89999999999998</v>
      </c>
      <c r="AJ46" s="13">
        <f>AI46*VLOOKUP('Données projet'!$B$10,Paramètres!$A$1:$I$89,3,0)*VLOOKUP('Données projet'!$B$10,Paramètres!$A$1:$I$89,5,0)</f>
        <v>142.87260000000001</v>
      </c>
      <c r="AK46" s="13">
        <f t="shared" si="35"/>
        <v>36.954297895468954</v>
      </c>
      <c r="AL46" s="20">
        <f t="shared" si="4"/>
        <v>313.19851383460843</v>
      </c>
      <c r="AM46" s="59">
        <f t="shared" si="5"/>
        <v>606.53184716794181</v>
      </c>
      <c r="AN46" s="59">
        <f ca="1">AVERAGE(OFFSET($AM$3,0,0,'Données projet'!$E$10+1,1))-AVERAGE(OFFSET($H$3,0,0,'Données projet'!$E$10+1,1))</f>
        <v>279.20364724206644</v>
      </c>
      <c r="AO46" s="59">
        <f t="shared" si="36"/>
        <v>173.99850582760712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0</v>
      </c>
      <c r="AV46" s="21">
        <f>EXP(-LN(2)/25)*AV45+(1-EXP(-LN(2)/25))/(LN(2)/25)*Calculateur!AQ46*Calculateur!AS46*VLOOKUP('Données projet'!$B$10,Paramètres!$A$1:$I$89,3,0)*0.475*44/12</f>
        <v>2.427406841553073</v>
      </c>
      <c r="AW46" s="21">
        <f>EXP(-LN(2)/2)*AW45+(1-EXP(-LN(2)/2))/(LN(2)/2)*AQ46*AT46*VLOOKUP('Données projet'!$B$10,Paramètres!$A$1:$I$89,3,0)*0.475*44/12</f>
        <v>7.6636433064188755E-2</v>
      </c>
      <c r="AX46" s="21">
        <f t="shared" si="6"/>
        <v>2.5040432746172616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11.499999999999996</v>
      </c>
      <c r="BD46" s="12">
        <f>IF('Données projet'!$A$88&gt;35,BD45+BC46-BL45,IF(A46&lt;'Données projet'!$A$88,$BA$205^A46,IF(A46='Données projet'!$A$88,'Données projet'!$B$88,BD45+BC46-BL45)))</f>
        <v>242.6999999999999</v>
      </c>
      <c r="BE46" s="13">
        <f>BD46*VLOOKUP('Données projet'!$B$11,Paramètres!$A$1:$I$89,3,0)*VLOOKUP('Données projet'!$B$11,Paramètres!$A$1:$I$89,5,0)</f>
        <v>113.58359999999995</v>
      </c>
      <c r="BF46" s="13">
        <f t="shared" si="37"/>
        <v>30.17372688298952</v>
      </c>
      <c r="BG46" s="20">
        <f t="shared" si="7"/>
        <v>250.37734432120666</v>
      </c>
      <c r="BH46" s="59">
        <f t="shared" si="8"/>
        <v>543.71067765453995</v>
      </c>
      <c r="BI46" s="59">
        <f ca="1">AVERAGE(OFFSET($BH$3,0,0,'Données projet'!$E$11+1,1))-AVERAGE(OFFSET($H$3,0,0,'Données projet'!$E$11+1,1))</f>
        <v>215.23235148064941</v>
      </c>
      <c r="BJ46" s="59">
        <f t="shared" si="38"/>
        <v>184.07239726900434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2.4230838273992368</v>
      </c>
      <c r="BQ46" s="21">
        <f>EXP(-LN(2)/25)*BQ45+(1-EXP(-LN(2)/25))/(LN(2)/25)*Calculateur!BL46*Calculateur!BN46*VLOOKUP('Données projet'!$B$11,Paramètres!$A$1:$I$89,3,0)*0.475*44/12</f>
        <v>5.4781795769867161</v>
      </c>
      <c r="BR46" s="21">
        <f>EXP(-LN(2)/2)*BR45+(1-EXP(-LN(2)/2))/(LN(2)/2)*BL46*BO46*VLOOKUP('Données projet'!$B$11,Paramètres!$A$1:$I$89,3,0)*0.475*44/12</f>
        <v>0.10863122911000277</v>
      </c>
      <c r="BS46" s="22">
        <f t="shared" si="9"/>
        <v>8.0098946334959553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 t="e">
        <f>BY46*VLOOKUP('Données projet'!$B$12,Paramètres!$A$1:$I$89,3,0)*VLOOKUP('Données projet'!$B$12,Paramètres!$A$1:$I$89,5,0)</f>
        <v>#N/A</v>
      </c>
      <c r="CA46" s="13" t="e">
        <f t="shared" si="39"/>
        <v>#N/A</v>
      </c>
      <c r="CB46" s="20" t="e">
        <f t="shared" si="10"/>
        <v>#N/A</v>
      </c>
      <c r="CC46" s="59" t="e">
        <f t="shared" si="11"/>
        <v>#N/A</v>
      </c>
      <c r="CD46" s="59" t="e">
        <f ca="1">AVERAGE(OFFSET($CC$3,0,0,'Données projet'!$E$12+1,1))-AVERAGE(OFFSET($H$3,0,0,'Données projet'!$E$12+1,1))</f>
        <v>#N/A</v>
      </c>
      <c r="CE46" s="59" t="e">
        <f t="shared" si="40"/>
        <v>#N/A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 t="e">
        <f>EXP(-LN(2)/35)*CK45+(1-EXP(-LN(2)/35))/(LN(2)/35)*CG46*CH46*VLOOKUP('Données projet'!$B$12,Paramètres!$A$1:$I$89,3,0)*0.475*44/12</f>
        <v>#N/A</v>
      </c>
      <c r="CL46" s="21" t="e">
        <f>EXP(-LN(2)/25)*CL45+(1-EXP(-LN(2)/25))/(LN(2)/25)*Calculateur!CG46*Calculateur!CI46*VLOOKUP('Données projet'!$B$12,Paramètres!$A$1:$I$89,3,0)*0.475*44/12</f>
        <v>#N/A</v>
      </c>
      <c r="CM46" s="21" t="e">
        <f>EXP(-LN(2)/2)*CM45+(1-EXP(-LN(2)/2))/(LN(2)/2)*CG46*CJ46*VLOOKUP('Données projet'!$B$12,Paramètres!$A$1:$I$89,3,0)*0.475*44/12</f>
        <v>#N/A</v>
      </c>
      <c r="CN46" s="22" t="e">
        <f t="shared" si="12"/>
        <v>#N/A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25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39.124800000000008</v>
      </c>
      <c r="D47" s="11">
        <f t="shared" si="32"/>
        <v>11.766377220171686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10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392.84417503290433</v>
      </c>
      <c r="H47" s="67">
        <f t="shared" si="1"/>
        <v>381.96880032513235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17.399999999999999</v>
      </c>
      <c r="N47" s="13">
        <f>IF('Données projet'!$A$36&gt;35,N46+M47-V46,IF(A47&lt;'Données projet'!$A$36,$K$205^A47,IF(A47='Données projet'!$A$36,'Données projet'!$B$36,N46+M47-V46)))</f>
        <v>350.59999999999985</v>
      </c>
      <c r="O47" s="13">
        <f>N47*VLOOKUP('Données projet'!$B$9,Paramètres!$A$1:$I$89,3,0)*VLOOKUP('Données projet'!$B$9,Paramètres!$A$1:$I$89,5,0)</f>
        <v>195.98539999999991</v>
      </c>
      <c r="P47" s="13">
        <f t="shared" si="33"/>
        <v>48.860841641820492</v>
      </c>
      <c r="Q47" s="20">
        <f t="shared" si="53"/>
        <v>426.44053752617054</v>
      </c>
      <c r="R47" s="59">
        <f t="shared" si="0"/>
        <v>719.77387085950386</v>
      </c>
      <c r="S47" s="59">
        <f ca="1">AVERAGE(OFFSET($R$3,0,0,'Données projet'!$E$9+1,1))-AVERAGE(OFFSET($H$3,0,0,'Données projet'!$E$9+1,1))</f>
        <v>279.98352834501759</v>
      </c>
      <c r="T47" s="59">
        <f t="shared" si="34"/>
        <v>281.30062655265488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3.0291231581496887</v>
      </c>
      <c r="AA47" s="21">
        <f>EXP(-LN(2)/25)*AA46+(1-EXP(-LN(2)/25))/(LN(2)/25)*Calculateur!V47*Calculateur!X47*VLOOKUP('Données projet'!$B$9,Paramètres!$A$1:$I$89,3,0)*0.475*44/12</f>
        <v>16.433190681849773</v>
      </c>
      <c r="AB47" s="21">
        <f>EXP(-LN(2)/2)*AB46+(1-EXP(-LN(2)/2))/(LN(2)/2)*V47*Y47*VLOOKUP('Données projet'!$B$9,Paramètres!$A$1:$I$89,3,0)*0.475*44/12</f>
        <v>0.2212276591860525</v>
      </c>
      <c r="AC47" s="22">
        <f t="shared" si="3"/>
        <v>19.683541499185512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8.3000000000000007</v>
      </c>
      <c r="AI47" s="13">
        <f>IF('Données projet'!$A$62&gt;35,AI46+AH47-AQ46,IF(A47&lt;'Données projet'!$A$62,$AF$205^A47,IF(A47='Données projet'!$A$62,'Données projet'!$B$62,AI46+AH47-AQ46)))</f>
        <v>149.19999999999999</v>
      </c>
      <c r="AJ47" s="13">
        <f>AI47*VLOOKUP('Données projet'!$B$10,Paramètres!$A$1:$I$89,3,0)*VLOOKUP('Données projet'!$B$10,Paramètres!$A$1:$I$89,5,0)</f>
        <v>151.28879999999998</v>
      </c>
      <c r="AK47" s="13">
        <f t="shared" si="35"/>
        <v>38.871324053555178</v>
      </c>
      <c r="AL47" s="20">
        <f t="shared" si="4"/>
        <v>331.19554939327526</v>
      </c>
      <c r="AM47" s="59">
        <f t="shared" si="5"/>
        <v>624.52888272660857</v>
      </c>
      <c r="AN47" s="59">
        <f ca="1">AVERAGE(OFFSET($AM$3,0,0,'Données projet'!$E$10+1,1))-AVERAGE(OFFSET($H$3,0,0,'Données projet'!$E$10+1,1))</f>
        <v>279.20364724206644</v>
      </c>
      <c r="AO47" s="59">
        <f t="shared" si="36"/>
        <v>173.99850582760712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0</v>
      </c>
      <c r="AV47" s="21">
        <f>EXP(-LN(2)/25)*AV46+(1-EXP(-LN(2)/25))/(LN(2)/25)*Calculateur!AQ47*Calculateur!AS47*VLOOKUP('Données projet'!$B$10,Paramètres!$A$1:$I$89,3,0)*0.475*44/12</f>
        <v>2.3610292738190264</v>
      </c>
      <c r="AW47" s="21">
        <f>EXP(-LN(2)/2)*AW46+(1-EXP(-LN(2)/2))/(LN(2)/2)*AQ47*AT47*VLOOKUP('Données projet'!$B$10,Paramètres!$A$1:$I$89,3,0)*0.475*44/12</f>
        <v>5.4190141505636814E-2</v>
      </c>
      <c r="AX47" s="21">
        <f t="shared" si="6"/>
        <v>2.4152194153246631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11.499999999999996</v>
      </c>
      <c r="BD47" s="12">
        <f>IF('Données projet'!$A$88&gt;35,BD46+BC47-BL46,IF(A47&lt;'Données projet'!$A$88,$BA$205^A47,IF(A47='Données projet'!$A$88,'Données projet'!$B$88,BD46+BC47-BL46)))</f>
        <v>254.1999999999999</v>
      </c>
      <c r="BE47" s="13">
        <f>BD47*VLOOKUP('Données projet'!$B$11,Paramètres!$A$1:$I$89,3,0)*VLOOKUP('Données projet'!$B$11,Paramètres!$A$1:$I$89,5,0)</f>
        <v>118.96559999999995</v>
      </c>
      <c r="BF47" s="13">
        <f t="shared" si="37"/>
        <v>31.433621056182272</v>
      </c>
      <c r="BG47" s="20">
        <f t="shared" si="7"/>
        <v>261.945310006184</v>
      </c>
      <c r="BH47" s="59">
        <f t="shared" si="8"/>
        <v>555.27864333951732</v>
      </c>
      <c r="BI47" s="59">
        <f ca="1">AVERAGE(OFFSET($BH$3,0,0,'Données projet'!$E$11+1,1))-AVERAGE(OFFSET($H$3,0,0,'Données projet'!$E$11+1,1))</f>
        <v>215.23235148064941</v>
      </c>
      <c r="BJ47" s="59">
        <f t="shared" si="38"/>
        <v>184.07239726900434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2.3755686314791387</v>
      </c>
      <c r="BQ47" s="21">
        <f>EXP(-LN(2)/25)*BQ46+(1-EXP(-LN(2)/25))/(LN(2)/25)*Calculateur!BL47*Calculateur!BN47*VLOOKUP('Données projet'!$B$11,Paramètres!$A$1:$I$89,3,0)*0.475*44/12</f>
        <v>5.3283784683690714</v>
      </c>
      <c r="BR47" s="21">
        <f>EXP(-LN(2)/2)*BR46+(1-EXP(-LN(2)/2))/(LN(2)/2)*BL47*BO47*VLOOKUP('Données projet'!$B$11,Paramètres!$A$1:$I$89,3,0)*0.475*44/12</f>
        <v>7.6813878752312437E-2</v>
      </c>
      <c r="BS47" s="22">
        <f t="shared" si="9"/>
        <v>7.7807609786005223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 t="e">
        <f>BY47*VLOOKUP('Données projet'!$B$12,Paramètres!$A$1:$I$89,3,0)*VLOOKUP('Données projet'!$B$12,Paramètres!$A$1:$I$89,5,0)</f>
        <v>#N/A</v>
      </c>
      <c r="CA47" s="13" t="e">
        <f t="shared" si="39"/>
        <v>#N/A</v>
      </c>
      <c r="CB47" s="20" t="e">
        <f t="shared" si="10"/>
        <v>#N/A</v>
      </c>
      <c r="CC47" s="59" t="e">
        <f t="shared" si="11"/>
        <v>#N/A</v>
      </c>
      <c r="CD47" s="59" t="e">
        <f ca="1">AVERAGE(OFFSET($CC$3,0,0,'Données projet'!$E$12+1,1))-AVERAGE(OFFSET($H$3,0,0,'Données projet'!$E$12+1,1))</f>
        <v>#N/A</v>
      </c>
      <c r="CE47" s="59" t="e">
        <f t="shared" si="40"/>
        <v>#N/A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 t="e">
        <f>EXP(-LN(2)/35)*CK46+(1-EXP(-LN(2)/35))/(LN(2)/35)*CG47*CH47*VLOOKUP('Données projet'!$B$12,Paramètres!$A$1:$I$89,3,0)*0.475*44/12</f>
        <v>#N/A</v>
      </c>
      <c r="CL47" s="21" t="e">
        <f>EXP(-LN(2)/25)*CL46+(1-EXP(-LN(2)/25))/(LN(2)/25)*Calculateur!CG47*Calculateur!CI47*VLOOKUP('Données projet'!$B$12,Paramètres!$A$1:$I$89,3,0)*0.475*44/12</f>
        <v>#N/A</v>
      </c>
      <c r="CM47" s="21" t="e">
        <f>EXP(-LN(2)/2)*CM46+(1-EXP(-LN(2)/2))/(LN(2)/2)*CG47*CJ47*VLOOKUP('Données projet'!$B$12,Paramètres!$A$1:$I$89,3,0)*0.475*44/12</f>
        <v>#N/A</v>
      </c>
      <c r="CN47" s="22" t="e">
        <f t="shared" si="12"/>
        <v>#N/A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25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40.01400000000001</v>
      </c>
      <c r="D48" s="11">
        <f t="shared" si="32"/>
        <v>12.002357532661732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10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401.52977744510821</v>
      </c>
      <c r="H48" s="67">
        <f t="shared" si="1"/>
        <v>383.92848936938583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17.399999999999999</v>
      </c>
      <c r="N48" s="13">
        <f>IF('Données projet'!$A$36&gt;35,N47+M48-V47,IF(A48&lt;'Données projet'!$A$36,$K$205^A48,IF(A48='Données projet'!$A$36,'Données projet'!$B$36,N47+M48-V47)))</f>
        <v>367.99999999999983</v>
      </c>
      <c r="O48" s="13">
        <f>N48*VLOOKUP('Données projet'!$B$9,Paramètres!$A$1:$I$89,3,0)*VLOOKUP('Données projet'!$B$9,Paramètres!$A$1:$I$89,5,0)</f>
        <v>205.7119999999999</v>
      </c>
      <c r="P48" s="13">
        <f t="shared" si="33"/>
        <v>50.99742769693372</v>
      </c>
      <c r="Q48" s="20">
        <f t="shared" si="53"/>
        <v>447.10225323882605</v>
      </c>
      <c r="R48" s="59">
        <f t="shared" si="0"/>
        <v>740.43558657215931</v>
      </c>
      <c r="S48" s="59">
        <f ca="1">AVERAGE(OFFSET($R$3,0,0,'Données projet'!$E$9+1,1))-AVERAGE(OFFSET($H$3,0,0,'Données projet'!$E$9+1,1))</f>
        <v>279.98352834501759</v>
      </c>
      <c r="T48" s="59">
        <f t="shared" si="34"/>
        <v>281.30062655265488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2.9697239006010663</v>
      </c>
      <c r="AA48" s="21">
        <f>EXP(-LN(2)/25)*AA47+(1-EXP(-LN(2)/25))/(LN(2)/25)*Calculateur!V48*Calculateur!X48*VLOOKUP('Données projet'!$B$9,Paramètres!$A$1:$I$89,3,0)*0.475*44/12</f>
        <v>15.983824218470652</v>
      </c>
      <c r="AB48" s="21">
        <f>EXP(-LN(2)/2)*AB47+(1-EXP(-LN(2)/2))/(LN(2)/2)*V48*Y48*VLOOKUP('Données projet'!$B$9,Paramètres!$A$1:$I$89,3,0)*0.475*44/12</f>
        <v>0.15643157799648413</v>
      </c>
      <c r="AC48" s="22">
        <f t="shared" si="3"/>
        <v>19.109979697068205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8.3000000000000007</v>
      </c>
      <c r="AI48" s="13">
        <f>IF('Données projet'!$A$62&gt;35,AI47+AH48-AQ47,IF(A48&lt;'Données projet'!$A$62,$AF$205^A48,IF(A48='Données projet'!$A$62,'Données projet'!$B$62,AI47+AH48-AQ47)))</f>
        <v>157.5</v>
      </c>
      <c r="AJ48" s="13">
        <f>AI48*VLOOKUP('Données projet'!$B$10,Paramètres!$A$1:$I$89,3,0)*VLOOKUP('Données projet'!$B$10,Paramètres!$A$1:$I$89,5,0)</f>
        <v>159.70500000000001</v>
      </c>
      <c r="AK48" s="13">
        <f t="shared" si="35"/>
        <v>40.775970188397643</v>
      </c>
      <c r="AL48" s="20">
        <f t="shared" si="4"/>
        <v>349.17102307812593</v>
      </c>
      <c r="AM48" s="59">
        <f t="shared" si="5"/>
        <v>642.50435641145918</v>
      </c>
      <c r="AN48" s="59">
        <f ca="1">AVERAGE(OFFSET($AM$3,0,0,'Données projet'!$E$10+1,1))-AVERAGE(OFFSET($H$3,0,0,'Données projet'!$E$10+1,1))</f>
        <v>279.20364724206644</v>
      </c>
      <c r="AO48" s="59">
        <f t="shared" si="36"/>
        <v>173.99850582760712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0</v>
      </c>
      <c r="AV48" s="21">
        <f>EXP(-LN(2)/25)*AV47+(1-EXP(-LN(2)/25))/(LN(2)/25)*Calculateur!AQ48*Calculateur!AS48*VLOOKUP('Données projet'!$B$10,Paramètres!$A$1:$I$89,3,0)*0.475*44/12</f>
        <v>2.2964668041653118</v>
      </c>
      <c r="AW48" s="21">
        <f>EXP(-LN(2)/2)*AW47+(1-EXP(-LN(2)/2))/(LN(2)/2)*AQ48*AT48*VLOOKUP('Données projet'!$B$10,Paramètres!$A$1:$I$89,3,0)*0.475*44/12</f>
        <v>3.8318216532094378E-2</v>
      </c>
      <c r="AX48" s="21">
        <f t="shared" si="6"/>
        <v>2.3347850206974061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11.499999999999996</v>
      </c>
      <c r="BD48" s="12">
        <f>IF('Données projet'!$A$88&gt;35,BD47+BC48-BL47,IF(A48&lt;'Données projet'!$A$88,$BA$205^A48,IF(A48='Données projet'!$A$88,'Données projet'!$B$88,BD47+BC48-BL47)))</f>
        <v>265.69999999999987</v>
      </c>
      <c r="BE48" s="13">
        <f>BD48*VLOOKUP('Données projet'!$B$11,Paramètres!$A$1:$I$89,3,0)*VLOOKUP('Données projet'!$B$11,Paramètres!$A$1:$I$89,5,0)</f>
        <v>124.34759999999994</v>
      </c>
      <c r="BF48" s="13">
        <f t="shared" si="37"/>
        <v>32.68689576547478</v>
      </c>
      <c r="BG48" s="20">
        <f t="shared" si="7"/>
        <v>273.50174679153514</v>
      </c>
      <c r="BH48" s="59">
        <f t="shared" si="8"/>
        <v>566.83508012486845</v>
      </c>
      <c r="BI48" s="59">
        <f ca="1">AVERAGE(OFFSET($BH$3,0,0,'Données projet'!$E$11+1,1))-AVERAGE(OFFSET($H$3,0,0,'Données projet'!$E$11+1,1))</f>
        <v>215.23235148064941</v>
      </c>
      <c r="BJ48" s="59">
        <f t="shared" si="38"/>
        <v>184.07239726900434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2.3289851795696257</v>
      </c>
      <c r="BQ48" s="21">
        <f>EXP(-LN(2)/25)*BQ47+(1-EXP(-LN(2)/25))/(LN(2)/25)*Calculateur!BL48*Calculateur!BN48*VLOOKUP('Données projet'!$B$11,Paramètres!$A$1:$I$89,3,0)*0.475*44/12</f>
        <v>5.1826736789442736</v>
      </c>
      <c r="BR48" s="21">
        <f>EXP(-LN(2)/2)*BR47+(1-EXP(-LN(2)/2))/(LN(2)/2)*BL48*BO48*VLOOKUP('Données projet'!$B$11,Paramètres!$A$1:$I$89,3,0)*0.475*44/12</f>
        <v>5.4315614555001383E-2</v>
      </c>
      <c r="BS48" s="22">
        <f t="shared" si="9"/>
        <v>7.5659744730689003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 t="e">
        <f>BY48*VLOOKUP('Données projet'!$B$12,Paramètres!$A$1:$I$89,3,0)*VLOOKUP('Données projet'!$B$12,Paramètres!$A$1:$I$89,5,0)</f>
        <v>#N/A</v>
      </c>
      <c r="CA48" s="13" t="e">
        <f t="shared" si="39"/>
        <v>#N/A</v>
      </c>
      <c r="CB48" s="20" t="e">
        <f t="shared" si="10"/>
        <v>#N/A</v>
      </c>
      <c r="CC48" s="59" t="e">
        <f t="shared" si="11"/>
        <v>#N/A</v>
      </c>
      <c r="CD48" s="59" t="e">
        <f ca="1">AVERAGE(OFFSET($CC$3,0,0,'Données projet'!$E$12+1,1))-AVERAGE(OFFSET($H$3,0,0,'Données projet'!$E$12+1,1))</f>
        <v>#N/A</v>
      </c>
      <c r="CE48" s="59" t="e">
        <f t="shared" si="40"/>
        <v>#N/A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 t="e">
        <f>EXP(-LN(2)/35)*CK47+(1-EXP(-LN(2)/35))/(LN(2)/35)*CG48*CH48*VLOOKUP('Données projet'!$B$12,Paramètres!$A$1:$I$89,3,0)*0.475*44/12</f>
        <v>#N/A</v>
      </c>
      <c r="CL48" s="21" t="e">
        <f>EXP(-LN(2)/25)*CL47+(1-EXP(-LN(2)/25))/(LN(2)/25)*Calculateur!CG48*Calculateur!CI48*VLOOKUP('Données projet'!$B$12,Paramètres!$A$1:$I$89,3,0)*0.475*44/12</f>
        <v>#N/A</v>
      </c>
      <c r="CM48" s="21" t="e">
        <f>EXP(-LN(2)/2)*CM47+(1-EXP(-LN(2)/2))/(LN(2)/2)*CG48*CJ48*VLOOKUP('Données projet'!$B$12,Paramètres!$A$1:$I$89,3,0)*0.475*44/12</f>
        <v>#N/A</v>
      </c>
      <c r="CN48" s="22" t="e">
        <f t="shared" si="12"/>
        <v>#N/A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25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40.903200000000012</v>
      </c>
      <c r="D49" s="11">
        <f t="shared" si="32"/>
        <v>12.237728178480605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10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410.21067365844692</v>
      </c>
      <c r="H49" s="67">
        <f t="shared" si="1"/>
        <v>385.88711657752037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17.399999999999999</v>
      </c>
      <c r="N49" s="13">
        <f>IF('Données projet'!$A$36&gt;35,N48+M49-V48,IF(A49&lt;'Données projet'!$A$36,$K$205^A49,IF(A49='Données projet'!$A$36,'Données projet'!$B$36,N48+M49-V48)))</f>
        <v>385.39999999999981</v>
      </c>
      <c r="O49" s="13">
        <f>N49*VLOOKUP('Données projet'!$B$9,Paramètres!$A$1:$I$89,3,0)*VLOOKUP('Données projet'!$B$9,Paramètres!$A$1:$I$89,5,0)</f>
        <v>215.43859999999989</v>
      </c>
      <c r="P49" s="13">
        <f t="shared" si="33"/>
        <v>53.122282317277623</v>
      </c>
      <c r="Q49" s="20">
        <f t="shared" si="53"/>
        <v>467.74353670259165</v>
      </c>
      <c r="R49" s="59">
        <f t="shared" si="0"/>
        <v>761.07687003592491</v>
      </c>
      <c r="S49" s="59">
        <f ca="1">AVERAGE(OFFSET($R$3,0,0,'Données projet'!$E$9+1,1))-AVERAGE(OFFSET($H$3,0,0,'Données projet'!$E$9+1,1))</f>
        <v>279.98352834501759</v>
      </c>
      <c r="T49" s="59">
        <f t="shared" si="34"/>
        <v>281.30062655265488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2.9114894262630027</v>
      </c>
      <c r="AA49" s="21">
        <f>EXP(-LN(2)/25)*AA48+(1-EXP(-LN(2)/25))/(LN(2)/25)*Calculateur!V49*Calculateur!X49*VLOOKUP('Données projet'!$B$9,Paramètres!$A$1:$I$89,3,0)*0.475*44/12</f>
        <v>15.546745704663788</v>
      </c>
      <c r="AB49" s="21">
        <f>EXP(-LN(2)/2)*AB48+(1-EXP(-LN(2)/2))/(LN(2)/2)*V49*Y49*VLOOKUP('Données projet'!$B$9,Paramètres!$A$1:$I$89,3,0)*0.475*44/12</f>
        <v>0.11061382959302625</v>
      </c>
      <c r="AC49" s="22">
        <f t="shared" si="3"/>
        <v>18.568848960519819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8.3000000000000007</v>
      </c>
      <c r="AI49" s="13">
        <f>IF('Données projet'!$A$62&gt;35,AI48+AH49-AQ48,IF(A49&lt;'Données projet'!$A$62,$AF$205^A49,IF(A49='Données projet'!$A$62,'Données projet'!$B$62,AI48+AH49-AQ48)))</f>
        <v>165.8</v>
      </c>
      <c r="AJ49" s="13">
        <f>AI49*VLOOKUP('Données projet'!$B$10,Paramètres!$A$1:$I$89,3,0)*VLOOKUP('Données projet'!$B$10,Paramètres!$A$1:$I$89,5,0)</f>
        <v>168.12120000000002</v>
      </c>
      <c r="AK49" s="13">
        <f t="shared" si="35"/>
        <v>42.668963108479424</v>
      </c>
      <c r="AL49" s="20">
        <f t="shared" si="4"/>
        <v>367.12620074726834</v>
      </c>
      <c r="AM49" s="59">
        <f t="shared" si="5"/>
        <v>660.45953408060166</v>
      </c>
      <c r="AN49" s="59">
        <f ca="1">AVERAGE(OFFSET($AM$3,0,0,'Données projet'!$E$10+1,1))-AVERAGE(OFFSET($H$3,0,0,'Données projet'!$E$10+1,1))</f>
        <v>279.20364724206644</v>
      </c>
      <c r="AO49" s="59">
        <f t="shared" si="36"/>
        <v>173.99850582760712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0</v>
      </c>
      <c r="AV49" s="21">
        <f>EXP(-LN(2)/25)*AV48+(1-EXP(-LN(2)/25))/(LN(2)/25)*Calculateur!AQ49*Calculateur!AS49*VLOOKUP('Données projet'!$B$10,Paramètres!$A$1:$I$89,3,0)*0.475*44/12</f>
        <v>2.2336697986394709</v>
      </c>
      <c r="AW49" s="21">
        <f>EXP(-LN(2)/2)*AW48+(1-EXP(-LN(2)/2))/(LN(2)/2)*AQ49*AT49*VLOOKUP('Données projet'!$B$10,Paramètres!$A$1:$I$89,3,0)*0.475*44/12</f>
        <v>2.7095070752818407E-2</v>
      </c>
      <c r="AX49" s="21">
        <f t="shared" si="6"/>
        <v>2.2607648693922893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11.499999999999996</v>
      </c>
      <c r="BD49" s="12">
        <f>IF('Données projet'!$A$88&gt;35,BD48+BC49-BL48,IF(A49&lt;'Données projet'!$A$88,$BA$205^A49,IF(A49='Données projet'!$A$88,'Données projet'!$B$88,BD48+BC49-BL48)))</f>
        <v>277.19999999999987</v>
      </c>
      <c r="BE49" s="13">
        <f>BD49*VLOOKUP('Données projet'!$B$11,Paramètres!$A$1:$I$89,3,0)*VLOOKUP('Données projet'!$B$11,Paramètres!$A$1:$I$89,5,0)</f>
        <v>129.72959999999992</v>
      </c>
      <c r="BF49" s="13">
        <f t="shared" si="37"/>
        <v>33.933870261867483</v>
      </c>
      <c r="BG49" s="20">
        <f t="shared" si="7"/>
        <v>285.04721070608576</v>
      </c>
      <c r="BH49" s="59">
        <f t="shared" si="8"/>
        <v>578.38054403941908</v>
      </c>
      <c r="BI49" s="59">
        <f ca="1">AVERAGE(OFFSET($BH$3,0,0,'Données projet'!$E$11+1,1))-AVERAGE(OFFSET($H$3,0,0,'Données projet'!$E$11+1,1))</f>
        <v>215.23235148064941</v>
      </c>
      <c r="BJ49" s="59">
        <f t="shared" si="38"/>
        <v>184.07239726900434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2.2833152007389583</v>
      </c>
      <c r="BQ49" s="21">
        <f>EXP(-LN(2)/25)*BQ48+(1-EXP(-LN(2)/25))/(LN(2)/25)*Calculateur!BL49*Calculateur!BN49*VLOOKUP('Données projet'!$B$11,Paramètres!$A$1:$I$89,3,0)*0.475*44/12</f>
        <v>5.040953194648579</v>
      </c>
      <c r="BR49" s="21">
        <f>EXP(-LN(2)/2)*BR48+(1-EXP(-LN(2)/2))/(LN(2)/2)*BL49*BO49*VLOOKUP('Données projet'!$B$11,Paramètres!$A$1:$I$89,3,0)*0.475*44/12</f>
        <v>3.8406939376156218E-2</v>
      </c>
      <c r="BS49" s="22">
        <f t="shared" si="9"/>
        <v>7.3626753347636944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 t="e">
        <f>BY49*VLOOKUP('Données projet'!$B$12,Paramètres!$A$1:$I$89,3,0)*VLOOKUP('Données projet'!$B$12,Paramètres!$A$1:$I$89,5,0)</f>
        <v>#N/A</v>
      </c>
      <c r="CA49" s="13" t="e">
        <f t="shared" si="39"/>
        <v>#N/A</v>
      </c>
      <c r="CB49" s="20" t="e">
        <f t="shared" si="10"/>
        <v>#N/A</v>
      </c>
      <c r="CC49" s="59" t="e">
        <f t="shared" si="11"/>
        <v>#N/A</v>
      </c>
      <c r="CD49" s="59" t="e">
        <f ca="1">AVERAGE(OFFSET($CC$3,0,0,'Données projet'!$E$12+1,1))-AVERAGE(OFFSET($H$3,0,0,'Données projet'!$E$12+1,1))</f>
        <v>#N/A</v>
      </c>
      <c r="CE49" s="59" t="e">
        <f t="shared" si="40"/>
        <v>#N/A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 t="e">
        <f>EXP(-LN(2)/35)*CK48+(1-EXP(-LN(2)/35))/(LN(2)/35)*CG49*CH49*VLOOKUP('Données projet'!$B$12,Paramètres!$A$1:$I$89,3,0)*0.475*44/12</f>
        <v>#N/A</v>
      </c>
      <c r="CL49" s="21" t="e">
        <f>EXP(-LN(2)/25)*CL48+(1-EXP(-LN(2)/25))/(LN(2)/25)*Calculateur!CG49*Calculateur!CI49*VLOOKUP('Données projet'!$B$12,Paramètres!$A$1:$I$89,3,0)*0.475*44/12</f>
        <v>#N/A</v>
      </c>
      <c r="CM49" s="21" t="e">
        <f>EXP(-LN(2)/2)*CM48+(1-EXP(-LN(2)/2))/(LN(2)/2)*CG49*CJ49*VLOOKUP('Données projet'!$B$12,Paramètres!$A$1:$I$89,3,0)*0.475*44/12</f>
        <v>#N/A</v>
      </c>
      <c r="CN49" s="22" t="e">
        <f t="shared" si="12"/>
        <v>#N/A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25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41.792400000000015</v>
      </c>
      <c r="D50" s="11">
        <f t="shared" si="32"/>
        <v>12.472503937619972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10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418.88697776408418</v>
      </c>
      <c r="H50" s="67">
        <f t="shared" si="1"/>
        <v>387.84470769135481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17.399999999999999</v>
      </c>
      <c r="N50" s="13">
        <f>IF('Données projet'!$A$36&gt;35,N49+M50-V49,IF(A50&lt;'Données projet'!$A$36,$K$205^A50,IF(A50='Données projet'!$A$36,'Données projet'!$B$36,N49+M50-V49)))</f>
        <v>402.79999999999978</v>
      </c>
      <c r="O50" s="13">
        <f>N50*VLOOKUP('Données projet'!$B$9,Paramètres!$A$1:$I$89,3,0)*VLOOKUP('Données projet'!$B$9,Paramètres!$A$1:$I$89,5,0)</f>
        <v>225.16519999999986</v>
      </c>
      <c r="P50" s="13">
        <f t="shared" si="33"/>
        <v>55.235995662330488</v>
      </c>
      <c r="Q50" s="20">
        <f t="shared" si="53"/>
        <v>488.3654157785586</v>
      </c>
      <c r="R50" s="59">
        <f t="shared" si="0"/>
        <v>781.69874911189186</v>
      </c>
      <c r="S50" s="59">
        <f ca="1">AVERAGE(OFFSET($R$3,0,0,'Données projet'!$E$9+1,1))-AVERAGE(OFFSET($H$3,0,0,'Données projet'!$E$9+1,1))</f>
        <v>279.98352834501759</v>
      </c>
      <c r="T50" s="59">
        <f t="shared" si="34"/>
        <v>281.30062655265488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2.854396894447186</v>
      </c>
      <c r="AA50" s="21">
        <f>EXP(-LN(2)/25)*AA49+(1-EXP(-LN(2)/25))/(LN(2)/25)*Calculateur!V50*Calculateur!X50*VLOOKUP('Données projet'!$B$9,Paramètres!$A$1:$I$89,3,0)*0.475*44/12</f>
        <v>15.121619125801933</v>
      </c>
      <c r="AB50" s="21">
        <f>EXP(-LN(2)/2)*AB49+(1-EXP(-LN(2)/2))/(LN(2)/2)*V50*Y50*VLOOKUP('Données projet'!$B$9,Paramètres!$A$1:$I$89,3,0)*0.475*44/12</f>
        <v>7.8215788998242067E-2</v>
      </c>
      <c r="AC50" s="22">
        <f t="shared" si="3"/>
        <v>18.054231809247362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8.3000000000000007</v>
      </c>
      <c r="AI50" s="13">
        <f>IF('Données projet'!$A$62&gt;35,AI49+AH50-AQ49,IF(A50&lt;'Données projet'!$A$62,$AF$205^A50,IF(A50='Données projet'!$A$62,'Données projet'!$B$62,AI49+AH50-AQ49)))</f>
        <v>174.10000000000002</v>
      </c>
      <c r="AJ50" s="13">
        <f>AI50*VLOOKUP('Données projet'!$B$10,Paramètres!$A$1:$I$89,3,0)*VLOOKUP('Données projet'!$B$10,Paramètres!$A$1:$I$89,5,0)</f>
        <v>176.53740000000005</v>
      </c>
      <c r="AK50" s="13">
        <f t="shared" si="35"/>
        <v>44.550952743128576</v>
      </c>
      <c r="AL50" s="20">
        <f t="shared" si="4"/>
        <v>385.06221436094899</v>
      </c>
      <c r="AM50" s="59">
        <f t="shared" si="5"/>
        <v>678.3955476942823</v>
      </c>
      <c r="AN50" s="59">
        <f ca="1">AVERAGE(OFFSET($AM$3,0,0,'Données projet'!$E$10+1,1))-AVERAGE(OFFSET($H$3,0,0,'Données projet'!$E$10+1,1))</f>
        <v>279.20364724206644</v>
      </c>
      <c r="AO50" s="59">
        <f t="shared" si="36"/>
        <v>173.99850582760712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0</v>
      </c>
      <c r="AV50" s="21">
        <f>EXP(-LN(2)/25)*AV49+(1-EXP(-LN(2)/25))/(LN(2)/25)*Calculateur!AQ50*Calculateur!AS50*VLOOKUP('Données projet'!$B$10,Paramètres!$A$1:$I$89,3,0)*0.475*44/12</f>
        <v>2.1725899805320852</v>
      </c>
      <c r="AW50" s="21">
        <f>EXP(-LN(2)/2)*AW49+(1-EXP(-LN(2)/2))/(LN(2)/2)*AQ50*AT50*VLOOKUP('Données projet'!$B$10,Paramètres!$A$1:$I$89,3,0)*0.475*44/12</f>
        <v>1.9159108266047189E-2</v>
      </c>
      <c r="AX50" s="21">
        <f t="shared" si="6"/>
        <v>2.1917490887981326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11.499999999999996</v>
      </c>
      <c r="BD50" s="12">
        <f>IF('Données projet'!$A$88&gt;35,BD49+BC50-BL49,IF(A50&lt;'Données projet'!$A$88,$BA$205^A50,IF(A50='Données projet'!$A$88,'Données projet'!$B$88,BD49+BC50-BL49)))</f>
        <v>288.69999999999987</v>
      </c>
      <c r="BE50" s="13">
        <f>BD50*VLOOKUP('Données projet'!$B$11,Paramètres!$A$1:$I$89,3,0)*VLOOKUP('Données projet'!$B$11,Paramètres!$A$1:$I$89,5,0)</f>
        <v>135.11159999999992</v>
      </c>
      <c r="BF50" s="13">
        <f t="shared" si="37"/>
        <v>35.174835808562257</v>
      </c>
      <c r="BG50" s="20">
        <f t="shared" si="7"/>
        <v>296.58220903324576</v>
      </c>
      <c r="BH50" s="59">
        <f t="shared" si="8"/>
        <v>589.91554236657907</v>
      </c>
      <c r="BI50" s="59">
        <f ca="1">AVERAGE(OFFSET($BH$3,0,0,'Données projet'!$E$11+1,1))-AVERAGE(OFFSET($H$3,0,0,'Données projet'!$E$11+1,1))</f>
        <v>215.23235148064941</v>
      </c>
      <c r="BJ50" s="59">
        <f t="shared" si="38"/>
        <v>184.07239726900434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2.2385407823372234</v>
      </c>
      <c r="BQ50" s="21">
        <f>EXP(-LN(2)/25)*BQ49+(1-EXP(-LN(2)/25))/(LN(2)/25)*Calculateur!BL50*Calculateur!BN50*VLOOKUP('Données projet'!$B$11,Paramètres!$A$1:$I$89,3,0)*0.475*44/12</f>
        <v>4.9031080644487064</v>
      </c>
      <c r="BR50" s="21">
        <f>EXP(-LN(2)/2)*BR49+(1-EXP(-LN(2)/2))/(LN(2)/2)*BL50*BO50*VLOOKUP('Données projet'!$B$11,Paramètres!$A$1:$I$89,3,0)*0.475*44/12</f>
        <v>2.7157807277500692E-2</v>
      </c>
      <c r="BS50" s="22">
        <f t="shared" si="9"/>
        <v>7.168806654063431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 t="e">
        <f>BY50*VLOOKUP('Données projet'!$B$12,Paramètres!$A$1:$I$89,3,0)*VLOOKUP('Données projet'!$B$12,Paramètres!$A$1:$I$89,5,0)</f>
        <v>#N/A</v>
      </c>
      <c r="CA50" s="13" t="e">
        <f t="shared" si="39"/>
        <v>#N/A</v>
      </c>
      <c r="CB50" s="20" t="e">
        <f t="shared" si="10"/>
        <v>#N/A</v>
      </c>
      <c r="CC50" s="59" t="e">
        <f t="shared" si="11"/>
        <v>#N/A</v>
      </c>
      <c r="CD50" s="59" t="e">
        <f ca="1">AVERAGE(OFFSET($CC$3,0,0,'Données projet'!$E$12+1,1))-AVERAGE(OFFSET($H$3,0,0,'Données projet'!$E$12+1,1))</f>
        <v>#N/A</v>
      </c>
      <c r="CE50" s="59" t="e">
        <f t="shared" si="40"/>
        <v>#N/A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 t="e">
        <f>EXP(-LN(2)/35)*CK49+(1-EXP(-LN(2)/35))/(LN(2)/35)*CG50*CH50*VLOOKUP('Données projet'!$B$12,Paramètres!$A$1:$I$89,3,0)*0.475*44/12</f>
        <v>#N/A</v>
      </c>
      <c r="CL50" s="21" t="e">
        <f>EXP(-LN(2)/25)*CL49+(1-EXP(-LN(2)/25))/(LN(2)/25)*Calculateur!CG50*Calculateur!CI50*VLOOKUP('Données projet'!$B$12,Paramètres!$A$1:$I$89,3,0)*0.475*44/12</f>
        <v>#N/A</v>
      </c>
      <c r="CM50" s="21" t="e">
        <f>EXP(-LN(2)/2)*CM49+(1-EXP(-LN(2)/2))/(LN(2)/2)*CG50*CJ50*VLOOKUP('Données projet'!$B$12,Paramètres!$A$1:$I$89,3,0)*0.475*44/12</f>
        <v>#N/A</v>
      </c>
      <c r="CN50" s="22" t="e">
        <f t="shared" si="12"/>
        <v>#N/A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25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42.681600000000017</v>
      </c>
      <c r="D51" s="11">
        <f t="shared" si="32"/>
        <v>12.706698925204435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10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427.55879872087644</v>
      </c>
      <c r="H51" s="67">
        <f t="shared" si="1"/>
        <v>389.80128729473108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17.399999999999999</v>
      </c>
      <c r="N51" s="13">
        <f>IF('Données projet'!$A$36&gt;35,N50+M51-V50,IF(A51&lt;'Données projet'!$A$36,$K$205^A51,IF(A51='Données projet'!$A$36,'Données projet'!$B$36,N50+M51-V50)))</f>
        <v>420.19999999999976</v>
      </c>
      <c r="O51" s="13">
        <f>N51*VLOOKUP('Données projet'!$B$9,Paramètres!$A$1:$I$89,3,0)*VLOOKUP('Données projet'!$B$9,Paramètres!$A$1:$I$89,5,0)</f>
        <v>234.89179999999988</v>
      </c>
      <c r="P51" s="13">
        <f t="shared" si="33"/>
        <v>57.339104021098166</v>
      </c>
      <c r="Q51" s="20">
        <f t="shared" si="53"/>
        <v>508.96882450341235</v>
      </c>
      <c r="R51" s="59">
        <f t="shared" si="0"/>
        <v>802.30215783674566</v>
      </c>
      <c r="S51" s="59">
        <f ca="1">AVERAGE(OFFSET($R$3,0,0,'Données projet'!$E$9+1,1))-AVERAGE(OFFSET($H$3,0,0,'Données projet'!$E$9+1,1))</f>
        <v>279.98352834501759</v>
      </c>
      <c r="T51" s="59">
        <f t="shared" si="34"/>
        <v>281.30062655265488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2.7984239123572721</v>
      </c>
      <c r="AA51" s="21">
        <f>EXP(-LN(2)/25)*AA50+(1-EXP(-LN(2)/25))/(LN(2)/25)*Calculateur!V51*Calculateur!X51*VLOOKUP('Données projet'!$B$9,Paramètres!$A$1:$I$89,3,0)*0.475*44/12</f>
        <v>14.70811765559549</v>
      </c>
      <c r="AB51" s="21">
        <f>EXP(-LN(2)/2)*AB50+(1-EXP(-LN(2)/2))/(LN(2)/2)*V51*Y51*VLOOKUP('Données projet'!$B$9,Paramètres!$A$1:$I$89,3,0)*0.475*44/12</f>
        <v>5.5306914796513125E-2</v>
      </c>
      <c r="AC51" s="22">
        <f t="shared" si="3"/>
        <v>17.561848482749276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8.3000000000000007</v>
      </c>
      <c r="AI51" s="13">
        <f>IF('Données projet'!$A$62&gt;35,AI50+AH51-AQ50,IF(A51&lt;'Données projet'!$A$62,$AF$205^A51,IF(A51='Données projet'!$A$62,'Données projet'!$B$62,AI50+AH51-AQ50)))</f>
        <v>182.40000000000003</v>
      </c>
      <c r="AJ51" s="13">
        <f>AI51*VLOOKUP('Données projet'!$B$10,Paramètres!$A$1:$I$89,3,0)*VLOOKUP('Données projet'!$B$10,Paramètres!$A$1:$I$89,5,0)</f>
        <v>184.95360000000005</v>
      </c>
      <c r="AK51" s="13">
        <f t="shared" si="35"/>
        <v>46.42252355095799</v>
      </c>
      <c r="AL51" s="20">
        <f t="shared" si="4"/>
        <v>402.9800818512519</v>
      </c>
      <c r="AM51" s="59">
        <f t="shared" si="5"/>
        <v>696.31341518458521</v>
      </c>
      <c r="AN51" s="59">
        <f ca="1">AVERAGE(OFFSET($AM$3,0,0,'Données projet'!$E$10+1,1))-AVERAGE(OFFSET($H$3,0,0,'Données projet'!$E$10+1,1))</f>
        <v>279.20364724206644</v>
      </c>
      <c r="AO51" s="59">
        <f t="shared" si="36"/>
        <v>173.99850582760712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0</v>
      </c>
      <c r="AV51" s="21">
        <f>EXP(-LN(2)/25)*AV50+(1-EXP(-LN(2)/25))/(LN(2)/25)*Calculateur!AQ51*Calculateur!AS51*VLOOKUP('Données projet'!$B$10,Paramètres!$A$1:$I$89,3,0)*0.475*44/12</f>
        <v>2.1131803932628936</v>
      </c>
      <c r="AW51" s="21">
        <f>EXP(-LN(2)/2)*AW50+(1-EXP(-LN(2)/2))/(LN(2)/2)*AQ51*AT51*VLOOKUP('Données projet'!$B$10,Paramètres!$A$1:$I$89,3,0)*0.475*44/12</f>
        <v>1.3547535376409204E-2</v>
      </c>
      <c r="AX51" s="21">
        <f t="shared" si="6"/>
        <v>2.126727928639303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11.499999999999996</v>
      </c>
      <c r="BD51" s="12">
        <f>IF('Données projet'!$A$88&gt;35,BD50+BC51-BL50,IF(A51&lt;'Données projet'!$A$88,$BA$205^A51,IF(A51='Données projet'!$A$88,'Données projet'!$B$88,BD50+BC51-BL50)))</f>
        <v>300.19999999999987</v>
      </c>
      <c r="BE51" s="13">
        <f>BD51*VLOOKUP('Données projet'!$B$11,Paramètres!$A$1:$I$89,3,0)*VLOOKUP('Données projet'!$B$11,Paramètres!$A$1:$I$89,5,0)</f>
        <v>140.49359999999993</v>
      </c>
      <c r="BF51" s="13">
        <f t="shared" si="37"/>
        <v>36.410059151057915</v>
      </c>
      <c r="BG51" s="20">
        <f t="shared" si="7"/>
        <v>308.10720635475906</v>
      </c>
      <c r="BH51" s="59">
        <f t="shared" si="8"/>
        <v>601.44053968809237</v>
      </c>
      <c r="BI51" s="59">
        <f ca="1">AVERAGE(OFFSET($BH$3,0,0,'Données projet'!$E$11+1,1))-AVERAGE(OFFSET($H$3,0,0,'Données projet'!$E$11+1,1))</f>
        <v>215.23235148064941</v>
      </c>
      <c r="BJ51" s="59">
        <f t="shared" si="38"/>
        <v>184.07239726900434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2.194644362970648</v>
      </c>
      <c r="BQ51" s="21">
        <f>EXP(-LN(2)/25)*BQ50+(1-EXP(-LN(2)/25))/(LN(2)/25)*Calculateur!BL51*Calculateur!BN51*VLOOKUP('Données projet'!$B$11,Paramètres!$A$1:$I$89,3,0)*0.475*44/12</f>
        <v>4.7690323165831092</v>
      </c>
      <c r="BR51" s="21">
        <f>EXP(-LN(2)/2)*BR50+(1-EXP(-LN(2)/2))/(LN(2)/2)*BL51*BO51*VLOOKUP('Données projet'!$B$11,Paramètres!$A$1:$I$89,3,0)*0.475*44/12</f>
        <v>1.9203469688078109E-2</v>
      </c>
      <c r="BS51" s="22">
        <f t="shared" si="9"/>
        <v>6.9828801492418346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 t="e">
        <f>BY51*VLOOKUP('Données projet'!$B$12,Paramètres!$A$1:$I$89,3,0)*VLOOKUP('Données projet'!$B$12,Paramètres!$A$1:$I$89,5,0)</f>
        <v>#N/A</v>
      </c>
      <c r="CA51" s="13" t="e">
        <f t="shared" si="39"/>
        <v>#N/A</v>
      </c>
      <c r="CB51" s="20" t="e">
        <f t="shared" si="10"/>
        <v>#N/A</v>
      </c>
      <c r="CC51" s="59" t="e">
        <f t="shared" si="11"/>
        <v>#N/A</v>
      </c>
      <c r="CD51" s="59" t="e">
        <f ca="1">AVERAGE(OFFSET($CC$3,0,0,'Données projet'!$E$12+1,1))-AVERAGE(OFFSET($H$3,0,0,'Données projet'!$E$12+1,1))</f>
        <v>#N/A</v>
      </c>
      <c r="CE51" s="59" t="e">
        <f t="shared" si="40"/>
        <v>#N/A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 t="e">
        <f>EXP(-LN(2)/35)*CK50+(1-EXP(-LN(2)/35))/(LN(2)/35)*CG51*CH51*VLOOKUP('Données projet'!$B$12,Paramètres!$A$1:$I$89,3,0)*0.475*44/12</f>
        <v>#N/A</v>
      </c>
      <c r="CL51" s="21" t="e">
        <f>EXP(-LN(2)/25)*CL50+(1-EXP(-LN(2)/25))/(LN(2)/25)*Calculateur!CG51*Calculateur!CI51*VLOOKUP('Données projet'!$B$12,Paramètres!$A$1:$I$89,3,0)*0.475*44/12</f>
        <v>#N/A</v>
      </c>
      <c r="CM51" s="21" t="e">
        <f>EXP(-LN(2)/2)*CM50+(1-EXP(-LN(2)/2))/(LN(2)/2)*CG51*CJ51*VLOOKUP('Données projet'!$B$12,Paramètres!$A$1:$I$89,3,0)*0.475*44/12</f>
        <v>#N/A</v>
      </c>
      <c r="CN51" s="22" t="e">
        <f t="shared" si="12"/>
        <v>#N/A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25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43.57080000000002</v>
      </c>
      <c r="D52" s="11">
        <f t="shared" si="32"/>
        <v>12.940326634618209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10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436.22624068828105</v>
      </c>
      <c r="H52" s="67">
        <f t="shared" si="1"/>
        <v>391.75687888862672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17.399999999999999</v>
      </c>
      <c r="N52" s="13">
        <f>IF('Données projet'!$A$36&gt;35,N51+M52-V51,IF(A52&lt;'Données projet'!$A$36,$K$205^A52,IF(A52='Données projet'!$A$36,'Données projet'!$B$36,N51+M52-V51)))</f>
        <v>437.59999999999974</v>
      </c>
      <c r="O52" s="13">
        <f>N52*VLOOKUP('Données projet'!$B$9,Paramètres!$A$1:$I$89,3,0)*VLOOKUP('Données projet'!$B$9,Paramètres!$A$1:$I$89,5,0)</f>
        <v>244.61839999999987</v>
      </c>
      <c r="P52" s="13">
        <f t="shared" si="33"/>
        <v>59.432096755407493</v>
      </c>
      <c r="Q52" s="20">
        <f t="shared" si="53"/>
        <v>529.55461518233449</v>
      </c>
      <c r="R52" s="59">
        <f t="shared" si="0"/>
        <v>822.88794851566786</v>
      </c>
      <c r="S52" s="59">
        <f ca="1">AVERAGE(OFFSET($R$3,0,0,'Données projet'!$E$9+1,1))-AVERAGE(OFFSET($H$3,0,0,'Données projet'!$E$9+1,1))</f>
        <v>279.98352834501759</v>
      </c>
      <c r="T52" s="59">
        <f t="shared" si="34"/>
        <v>281.30062655265488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2.7435485263059931</v>
      </c>
      <c r="AA52" s="21">
        <f>EXP(-LN(2)/25)*AA51+(1-EXP(-LN(2)/25))/(LN(2)/25)*Calculateur!V52*Calculateur!X52*VLOOKUP('Données projet'!$B$9,Paramètres!$A$1:$I$89,3,0)*0.475*44/12</f>
        <v>14.305923404836941</v>
      </c>
      <c r="AB52" s="21">
        <f>EXP(-LN(2)/2)*AB51+(1-EXP(-LN(2)/2))/(LN(2)/2)*V52*Y52*VLOOKUP('Données projet'!$B$9,Paramètres!$A$1:$I$89,3,0)*0.475*44/12</f>
        <v>3.9107894499121033E-2</v>
      </c>
      <c r="AC52" s="22">
        <f t="shared" si="3"/>
        <v>17.088579825642054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8.3000000000000007</v>
      </c>
      <c r="AI52" s="13">
        <f>IF('Données projet'!$A$62&gt;35,AI51+AH52-AQ51,IF(A52&lt;'Données projet'!$A$62,$AF$205^A52,IF(A52='Données projet'!$A$62,'Données projet'!$B$62,AI51+AH52-AQ51)))</f>
        <v>190.70000000000005</v>
      </c>
      <c r="AJ52" s="13">
        <f>AI52*VLOOKUP('Données projet'!$B$10,Paramètres!$A$1:$I$89,3,0)*VLOOKUP('Données projet'!$B$10,Paramètres!$A$1:$I$89,5,0)</f>
        <v>193.36980000000005</v>
      </c>
      <c r="AK52" s="13">
        <f t="shared" si="35"/>
        <v>48.284203793067718</v>
      </c>
      <c r="AL52" s="20">
        <f t="shared" si="4"/>
        <v>420.88072327292639</v>
      </c>
      <c r="AM52" s="59">
        <f t="shared" si="5"/>
        <v>714.21405660625965</v>
      </c>
      <c r="AN52" s="59">
        <f ca="1">AVERAGE(OFFSET($AM$3,0,0,'Données projet'!$E$10+1,1))-AVERAGE(OFFSET($H$3,0,0,'Données projet'!$E$10+1,1))</f>
        <v>279.20364724206644</v>
      </c>
      <c r="AO52" s="59">
        <f t="shared" si="36"/>
        <v>173.99850582760712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0</v>
      </c>
      <c r="AV52" s="21">
        <f>EXP(-LN(2)/25)*AV51+(1-EXP(-LN(2)/25))/(LN(2)/25)*Calculateur!AQ52*Calculateur!AS52*VLOOKUP('Données projet'!$B$10,Paramètres!$A$1:$I$89,3,0)*0.475*44/12</f>
        <v>2.0553953642817926</v>
      </c>
      <c r="AW52" s="21">
        <f>EXP(-LN(2)/2)*AW51+(1-EXP(-LN(2)/2))/(LN(2)/2)*AQ52*AT52*VLOOKUP('Données projet'!$B$10,Paramètres!$A$1:$I$89,3,0)*0.475*44/12</f>
        <v>9.5795541330235944E-3</v>
      </c>
      <c r="AX52" s="21">
        <f t="shared" si="6"/>
        <v>2.0649749184148161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11.499999999999996</v>
      </c>
      <c r="BD52" s="12">
        <f>IF('Données projet'!$A$88&gt;35,BD51+BC52-BL51,IF(A52&lt;'Données projet'!$A$88,$BA$205^A52,IF(A52='Données projet'!$A$88,'Données projet'!$B$88,BD51+BC52-BL51)))</f>
        <v>311.69999999999987</v>
      </c>
      <c r="BE52" s="13">
        <f>BD52*VLOOKUP('Données projet'!$B$11,Paramètres!$A$1:$I$89,3,0)*VLOOKUP('Données projet'!$B$11,Paramètres!$A$1:$I$89,5,0)</f>
        <v>145.87559999999993</v>
      </c>
      <c r="BF52" s="13">
        <f t="shared" si="37"/>
        <v>37.639785440563628</v>
      </c>
      <c r="BG52" s="20">
        <f t="shared" si="7"/>
        <v>319.62262964231485</v>
      </c>
      <c r="BH52" s="59">
        <f t="shared" si="8"/>
        <v>612.95596297564816</v>
      </c>
      <c r="BI52" s="59">
        <f ca="1">AVERAGE(OFFSET($BH$3,0,0,'Données projet'!$E$11+1,1))-AVERAGE(OFFSET($H$3,0,0,'Données projet'!$E$11+1,1))</f>
        <v>215.23235148064941</v>
      </c>
      <c r="BJ52" s="59">
        <f t="shared" si="38"/>
        <v>184.07239726900434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2.1516087256136793</v>
      </c>
      <c r="BQ52" s="21">
        <f>EXP(-LN(2)/25)*BQ51+(1-EXP(-LN(2)/25))/(LN(2)/25)*Calculateur!BL52*Calculateur!BN52*VLOOKUP('Données projet'!$B$11,Paramètres!$A$1:$I$89,3,0)*0.475*44/12</f>
        <v>4.638622877093634</v>
      </c>
      <c r="BR52" s="21">
        <f>EXP(-LN(2)/2)*BR51+(1-EXP(-LN(2)/2))/(LN(2)/2)*BL52*BO52*VLOOKUP('Données projet'!$B$11,Paramètres!$A$1:$I$89,3,0)*0.475*44/12</f>
        <v>1.3578903638750346E-2</v>
      </c>
      <c r="BS52" s="22">
        <f t="shared" si="9"/>
        <v>6.8038105063460641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 t="e">
        <f>BY52*VLOOKUP('Données projet'!$B$12,Paramètres!$A$1:$I$89,3,0)*VLOOKUP('Données projet'!$B$12,Paramètres!$A$1:$I$89,5,0)</f>
        <v>#N/A</v>
      </c>
      <c r="CA52" s="13" t="e">
        <f t="shared" si="39"/>
        <v>#N/A</v>
      </c>
      <c r="CB52" s="20" t="e">
        <f t="shared" si="10"/>
        <v>#N/A</v>
      </c>
      <c r="CC52" s="59" t="e">
        <f t="shared" si="11"/>
        <v>#N/A</v>
      </c>
      <c r="CD52" s="59" t="e">
        <f ca="1">AVERAGE(OFFSET($CC$3,0,0,'Données projet'!$E$12+1,1))-AVERAGE(OFFSET($H$3,0,0,'Données projet'!$E$12+1,1))</f>
        <v>#N/A</v>
      </c>
      <c r="CE52" s="59" t="e">
        <f t="shared" si="40"/>
        <v>#N/A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 t="e">
        <f>EXP(-LN(2)/35)*CK51+(1-EXP(-LN(2)/35))/(LN(2)/35)*CG52*CH52*VLOOKUP('Données projet'!$B$12,Paramètres!$A$1:$I$89,3,0)*0.475*44/12</f>
        <v>#N/A</v>
      </c>
      <c r="CL52" s="21" t="e">
        <f>EXP(-LN(2)/25)*CL51+(1-EXP(-LN(2)/25))/(LN(2)/25)*Calculateur!CG52*Calculateur!CI52*VLOOKUP('Données projet'!$B$12,Paramètres!$A$1:$I$89,3,0)*0.475*44/12</f>
        <v>#N/A</v>
      </c>
      <c r="CM52" s="21" t="e">
        <f>EXP(-LN(2)/2)*CM51+(1-EXP(-LN(2)/2))/(LN(2)/2)*CG52*CJ52*VLOOKUP('Données projet'!$B$12,Paramètres!$A$1:$I$89,3,0)*0.475*44/12</f>
        <v>#N/A</v>
      </c>
      <c r="CN52" s="22" t="e">
        <f t="shared" si="12"/>
        <v>#N/A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25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44.460000000000022</v>
      </c>
      <c r="D53" s="11">
        <f t="shared" si="32"/>
        <v>13.17339997701186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10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444.88940333131978</v>
      </c>
      <c r="H53" s="67">
        <f t="shared" si="1"/>
        <v>393.71150495996233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>
        <f>VLOOKUP(A53,'Données projet'!$A$35:$I$55,2,0)</f>
        <v>455</v>
      </c>
      <c r="L53" s="12">
        <f>VLOOKUP(A53,'Données projet'!$A$35:$I$55,9,0)</f>
        <v>17.399999999999999</v>
      </c>
      <c r="M53" s="12">
        <f t="array" ref="M53">INDEX(L:L,MIN(IF(ISNUMBER(L53:L249),ROW(L53:L249),"")))</f>
        <v>17.399999999999999</v>
      </c>
      <c r="N53" s="13">
        <f>IF('Données projet'!$A$36&gt;35,N52+M53-V52,IF(A53&lt;'Données projet'!$A$36,$K$205^A53,IF(A53='Données projet'!$A$36,'Données projet'!$B$36,N52+M53-V52)))</f>
        <v>454.99999999999972</v>
      </c>
      <c r="O53" s="13">
        <f>N53*VLOOKUP('Données projet'!$B$9,Paramètres!$A$1:$I$89,3,0)*VLOOKUP('Données projet'!$B$9,Paramètres!$A$1:$I$89,5,0)</f>
        <v>254.34499999999983</v>
      </c>
      <c r="P53" s="13">
        <f t="shared" si="33"/>
        <v>61.515422107791508</v>
      </c>
      <c r="Q53" s="20">
        <f t="shared" si="53"/>
        <v>550.12356850440324</v>
      </c>
      <c r="R53" s="59">
        <f t="shared" si="0"/>
        <v>843.4569018377365</v>
      </c>
      <c r="S53" s="59">
        <f ca="1">AVERAGE(OFFSET($R$3,0,0,'Données projet'!$E$9+1,1))-AVERAGE(OFFSET($H$3,0,0,'Données projet'!$E$9+1,1))</f>
        <v>279.98352834501759</v>
      </c>
      <c r="T53" s="59">
        <f t="shared" si="34"/>
        <v>281.30062655265488</v>
      </c>
      <c r="U53" s="15">
        <f>IF(ISNA(VLOOKUP(A53,'Données projet'!$A$35:$I$55,3,0)),0,VLOOKUP(A53,'Données projet'!$A$35:$I$55,3,0))</f>
        <v>4</v>
      </c>
      <c r="V53" s="15">
        <f>IF(ISNA(VLOOKUP(A53,'Données projet'!$A$35:$I$55,4,0)),0,VLOOKUP(A53,'Données projet'!$A$35:$I$55,4,0))</f>
        <v>98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2.6897492131044993</v>
      </c>
      <c r="AA53" s="21">
        <f>EXP(-LN(2)/25)*AA52+(1-EXP(-LN(2)/25))/(LN(2)/25)*Calculateur!V53*Calculateur!X53*VLOOKUP('Données projet'!$B$9,Paramètres!$A$1:$I$89,3,0)*0.475*44/12</f>
        <v>13.914727177015859</v>
      </c>
      <c r="AB53" s="21">
        <f>EXP(-LN(2)/2)*AB52+(1-EXP(-LN(2)/2))/(LN(2)/2)*V53*Y53*VLOOKUP('Données projet'!$B$9,Paramètres!$A$1:$I$89,3,0)*0.475*44/12</f>
        <v>2.7653457398256562E-2</v>
      </c>
      <c r="AC53" s="22">
        <f t="shared" si="3"/>
        <v>16.632129847518613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199</v>
      </c>
      <c r="AG53" s="12">
        <f>VLOOKUP(A53,'Données projet'!$A$61:$I$81,9,0)</f>
        <v>8.3000000000000007</v>
      </c>
      <c r="AH53" s="12">
        <f t="array" ref="AH53">INDEX(AG:AG,MIN(IF(ISNUMBER(AG53:AG249),ROW(AG53:AG249),"")))</f>
        <v>8.3000000000000007</v>
      </c>
      <c r="AI53" s="13">
        <f>IF('Données projet'!$A$62&gt;35,AI52+AH53-AQ52,IF(A53&lt;'Données projet'!$A$62,$AF$205^A53,IF(A53='Données projet'!$A$62,'Données projet'!$B$62,AI52+AH53-AQ52)))</f>
        <v>199.00000000000006</v>
      </c>
      <c r="AJ53" s="13">
        <f>AI53*VLOOKUP('Données projet'!$B$10,Paramètres!$A$1:$I$89,3,0)*VLOOKUP('Données projet'!$B$10,Paramètres!$A$1:$I$89,5,0)</f>
        <v>201.78600000000009</v>
      </c>
      <c r="AK53" s="13">
        <f t="shared" si="35"/>
        <v>50.136473146268756</v>
      </c>
      <c r="AL53" s="20">
        <f t="shared" si="4"/>
        <v>438.76497406308482</v>
      </c>
      <c r="AM53" s="59">
        <f t="shared" si="5"/>
        <v>732.09830739641814</v>
      </c>
      <c r="AN53" s="59">
        <f ca="1">AVERAGE(OFFSET($AM$3,0,0,'Données projet'!$E$10+1,1))-AVERAGE(OFFSET($H$3,0,0,'Données projet'!$E$10+1,1))</f>
        <v>279.20364724206644</v>
      </c>
      <c r="AO53" s="59">
        <f t="shared" si="36"/>
        <v>173.99850582760712</v>
      </c>
      <c r="AP53" s="15">
        <f>IF(ISNA(VLOOKUP(A53,'Données projet'!$A$61:$I$81,3,0)),0,VLOOKUP(A53,'Données projet'!$A$61:$I$81,3,0))</f>
        <v>3</v>
      </c>
      <c r="AQ53" s="15">
        <f>IF(ISNA(VLOOKUP(A53,'Données projet'!$A$61:$I$81,4,0)),0,VLOOKUP(A53,'Données projet'!$A$61:$I$81,4,0))</f>
        <v>42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0</v>
      </c>
      <c r="AV53" s="21">
        <f>EXP(-LN(2)/25)*AV52+(1-EXP(-LN(2)/25))/(LN(2)/25)*Calculateur!AQ53*Calculateur!AS53*VLOOKUP('Données projet'!$B$10,Paramètres!$A$1:$I$89,3,0)*0.475*44/12</f>
        <v>1.9991904699569625</v>
      </c>
      <c r="AW53" s="21">
        <f>EXP(-LN(2)/2)*AW52+(1-EXP(-LN(2)/2))/(LN(2)/2)*AQ53*AT53*VLOOKUP('Données projet'!$B$10,Paramètres!$A$1:$I$89,3,0)*0.475*44/12</f>
        <v>6.7737676882046018E-3</v>
      </c>
      <c r="AX53" s="21">
        <f t="shared" si="6"/>
        <v>2.0059642376451672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>
        <f>VLOOKUP(A53,'Données projet'!$A$87:$I$107,2,0)</f>
        <v>323.2</v>
      </c>
      <c r="BB53" s="12">
        <f>VLOOKUP(A53,'Données projet'!$A$87:$I$107,9,0)</f>
        <v>11.499999999999996</v>
      </c>
      <c r="BC53" s="12">
        <f t="array" ref="BC53">INDEX(BB:BB,MIN(IF(ISNUMBER(BB53:BB249),ROW(BB53:BB249),"")))</f>
        <v>11.499999999999996</v>
      </c>
      <c r="BD53" s="12">
        <f>IF('Données projet'!$A$88&gt;35,BD52+BC53-BL52,IF(A53&lt;'Données projet'!$A$88,$BA$205^A53,IF(A53='Données projet'!$A$88,'Données projet'!$B$88,BD52+BC53-BL52)))</f>
        <v>323.19999999999987</v>
      </c>
      <c r="BE53" s="13">
        <f>BD53*VLOOKUP('Données projet'!$B$11,Paramètres!$A$1:$I$89,3,0)*VLOOKUP('Données projet'!$B$11,Paramètres!$A$1:$I$89,5,0)</f>
        <v>151.25759999999994</v>
      </c>
      <c r="BF53" s="13">
        <f t="shared" si="37"/>
        <v>38.864240713854024</v>
      </c>
      <c r="BG53" s="20">
        <f t="shared" si="7"/>
        <v>331.12887257662896</v>
      </c>
      <c r="BH53" s="59">
        <f t="shared" si="8"/>
        <v>624.46220590996222</v>
      </c>
      <c r="BI53" s="59">
        <f ca="1">AVERAGE(OFFSET($BH$3,0,0,'Données projet'!$E$11+1,1))-AVERAGE(OFFSET($H$3,0,0,'Données projet'!$E$11+1,1))</f>
        <v>215.23235148064941</v>
      </c>
      <c r="BJ53" s="59">
        <f t="shared" si="38"/>
        <v>184.07239726900434</v>
      </c>
      <c r="BK53" s="15">
        <f>IF(ISNA(VLOOKUP(A53,'Données projet'!$A$87:$I$107,3,0)),0,VLOOKUP(A53,'Données projet'!$A$87:$I$107,3,0))</f>
        <v>4</v>
      </c>
      <c r="BL53" s="15">
        <f>IF(ISNA(VLOOKUP(A53,'Données projet'!$A$87:$I$107,4,0)),0,VLOOKUP(A53,'Données projet'!$A$87:$I$107,4,0))</f>
        <v>83.4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2.1094169908561335</v>
      </c>
      <c r="BQ53" s="21">
        <f>EXP(-LN(2)/25)*BQ52+(1-EXP(-LN(2)/25))/(LN(2)/25)*Calculateur!BL53*Calculateur!BN53*VLOOKUP('Données projet'!$B$11,Paramètres!$A$1:$I$89,3,0)*0.475*44/12</f>
        <v>4.5117794905849333</v>
      </c>
      <c r="BR53" s="21">
        <f>EXP(-LN(2)/2)*BR52+(1-EXP(-LN(2)/2))/(LN(2)/2)*BL53*BO53*VLOOKUP('Données projet'!$B$11,Paramètres!$A$1:$I$89,3,0)*0.475*44/12</f>
        <v>9.6017348440390546E-3</v>
      </c>
      <c r="BS53" s="22">
        <f t="shared" si="9"/>
        <v>6.6307982162851058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 t="e">
        <f>BY53*VLOOKUP('Données projet'!$B$12,Paramètres!$A$1:$I$89,3,0)*VLOOKUP('Données projet'!$B$12,Paramètres!$A$1:$I$89,5,0)</f>
        <v>#N/A</v>
      </c>
      <c r="CA53" s="13" t="e">
        <f t="shared" si="39"/>
        <v>#N/A</v>
      </c>
      <c r="CB53" s="20" t="e">
        <f t="shared" si="10"/>
        <v>#N/A</v>
      </c>
      <c r="CC53" s="59" t="e">
        <f t="shared" si="11"/>
        <v>#N/A</v>
      </c>
      <c r="CD53" s="59" t="e">
        <f ca="1">AVERAGE(OFFSET($CC$3,0,0,'Données projet'!$E$12+1,1))-AVERAGE(OFFSET($H$3,0,0,'Données projet'!$E$12+1,1))</f>
        <v>#N/A</v>
      </c>
      <c r="CE53" s="59" t="e">
        <f t="shared" si="40"/>
        <v>#N/A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 t="e">
        <f>EXP(-LN(2)/35)*CK52+(1-EXP(-LN(2)/35))/(LN(2)/35)*CG53*CH53*VLOOKUP('Données projet'!$B$12,Paramètres!$A$1:$I$89,3,0)*0.475*44/12</f>
        <v>#N/A</v>
      </c>
      <c r="CL53" s="21" t="e">
        <f>EXP(-LN(2)/25)*CL52+(1-EXP(-LN(2)/25))/(LN(2)/25)*Calculateur!CG53*Calculateur!CI53*VLOOKUP('Données projet'!$B$12,Paramètres!$A$1:$I$89,3,0)*0.475*44/12</f>
        <v>#N/A</v>
      </c>
      <c r="CM53" s="21" t="e">
        <f>EXP(-LN(2)/2)*CM52+(1-EXP(-LN(2)/2))/(LN(2)/2)*CG53*CJ53*VLOOKUP('Données projet'!$B$12,Paramètres!$A$1:$I$89,3,0)*0.475*44/12</f>
        <v>#N/A</v>
      </c>
      <c r="CN53" s="22" t="e">
        <f t="shared" si="12"/>
        <v>#N/A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25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45.349200000000025</v>
      </c>
      <c r="D54" s="11">
        <f t="shared" si="32"/>
        <v>13.405931317559242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10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453.54838210045756</v>
      </c>
      <c r="H54" s="67">
        <f t="shared" si="1"/>
        <v>395.66518704474902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14.8</v>
      </c>
      <c r="N54" s="13">
        <f>IF('Données projet'!$A$36&gt;35,N53+M54-V53,IF(A54&lt;'Données projet'!$A$36,$K$205^A54,IF(A54='Données projet'!$A$36,'Données projet'!$B$36,N53+M54-V53)))</f>
        <v>371.79999999999973</v>
      </c>
      <c r="O54" s="13">
        <f>N54*VLOOKUP('Données projet'!$B$9,Paramètres!$A$1:$I$89,3,0)*VLOOKUP('Données projet'!$B$9,Paramètres!$A$1:$I$89,5,0)</f>
        <v>207.83619999999985</v>
      </c>
      <c r="P54" s="13">
        <f t="shared" si="33"/>
        <v>51.462456308309847</v>
      </c>
      <c r="Q54" s="20">
        <f t="shared" si="53"/>
        <v>451.61182640363944</v>
      </c>
      <c r="R54" s="59">
        <f t="shared" si="0"/>
        <v>744.94515973697276</v>
      </c>
      <c r="S54" s="59">
        <f ca="1">AVERAGE(OFFSET($R$3,0,0,'Données projet'!$E$9+1,1))-AVERAGE(OFFSET($H$3,0,0,'Données projet'!$E$9+1,1))</f>
        <v>279.98352834501759</v>
      </c>
      <c r="T54" s="59">
        <f t="shared" si="34"/>
        <v>281.30062655265488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2.6370048716205456</v>
      </c>
      <c r="AA54" s="21">
        <f>EXP(-LN(2)/25)*AA53+(1-EXP(-LN(2)/25))/(LN(2)/25)*Calculateur!V54*Calculateur!X54*VLOOKUP('Données projet'!$B$9,Paramètres!$A$1:$I$89,3,0)*0.475*44/12</f>
        <v>13.534228230616661</v>
      </c>
      <c r="AB54" s="21">
        <f>EXP(-LN(2)/2)*AB53+(1-EXP(-LN(2)/2))/(LN(2)/2)*V54*Y54*VLOOKUP('Données projet'!$B$9,Paramètres!$A$1:$I$89,3,0)*0.475*44/12</f>
        <v>1.9553947249560517E-2</v>
      </c>
      <c r="AC54" s="22">
        <f t="shared" si="3"/>
        <v>16.190787049486765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7.8</v>
      </c>
      <c r="AI54" s="13">
        <f>IF('Données projet'!$A$62&gt;35,AI53+AH54-AQ53,IF(A54&lt;'Données projet'!$A$62,$AF$205^A54,IF(A54='Données projet'!$A$62,'Données projet'!$B$62,AI53+AH54-AQ53)))</f>
        <v>164.80000000000007</v>
      </c>
      <c r="AJ54" s="13">
        <f>AI54*VLOOKUP('Données projet'!$B$10,Paramètres!$A$1:$I$89,3,0)*VLOOKUP('Données projet'!$B$10,Paramètres!$A$1:$I$89,5,0)</f>
        <v>167.10720000000009</v>
      </c>
      <c r="AK54" s="13">
        <f t="shared" si="35"/>
        <v>42.441486871669696</v>
      </c>
      <c r="AL54" s="20">
        <f t="shared" si="4"/>
        <v>364.96396296815823</v>
      </c>
      <c r="AM54" s="59">
        <f t="shared" si="5"/>
        <v>658.29729630149154</v>
      </c>
      <c r="AN54" s="59">
        <f ca="1">AVERAGE(OFFSET($AM$3,0,0,'Données projet'!$E$10+1,1))-AVERAGE(OFFSET($H$3,0,0,'Données projet'!$E$10+1,1))</f>
        <v>279.20364724206644</v>
      </c>
      <c r="AO54" s="59">
        <f t="shared" si="36"/>
        <v>173.99850582760712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0</v>
      </c>
      <c r="AV54" s="21">
        <f>EXP(-LN(2)/25)*AV53+(1-EXP(-LN(2)/25))/(LN(2)/25)*Calculateur!AQ54*Calculateur!AS54*VLOOKUP('Données projet'!$B$10,Paramètres!$A$1:$I$89,3,0)*0.475*44/12</f>
        <v>1.9445225014231318</v>
      </c>
      <c r="AW54" s="21">
        <f>EXP(-LN(2)/2)*AW53+(1-EXP(-LN(2)/2))/(LN(2)/2)*AQ54*AT54*VLOOKUP('Données projet'!$B$10,Paramètres!$A$1:$I$89,3,0)*0.475*44/12</f>
        <v>4.7897770665117972E-3</v>
      </c>
      <c r="AX54" s="21">
        <f t="shared" si="6"/>
        <v>1.9493122784896435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13.499999999999996</v>
      </c>
      <c r="BD54" s="12">
        <f>IF('Données projet'!$A$88&gt;35,BD53+BC54-BL53,IF(A54&lt;'Données projet'!$A$88,$BA$205^A54,IF(A54='Données projet'!$A$88,'Données projet'!$B$88,BD53+BC54-BL53)))</f>
        <v>253.29999999999987</v>
      </c>
      <c r="BE54" s="13">
        <f>BD54*VLOOKUP('Données projet'!$B$11,Paramètres!$A$1:$I$89,3,0)*VLOOKUP('Données projet'!$B$11,Paramètres!$A$1:$I$89,5,0)</f>
        <v>118.54439999999994</v>
      </c>
      <c r="BF54" s="13">
        <f t="shared" si="37"/>
        <v>31.3352637371359</v>
      </c>
      <c r="BG54" s="20">
        <f t="shared" si="7"/>
        <v>261.04041434217822</v>
      </c>
      <c r="BH54" s="59">
        <f t="shared" si="8"/>
        <v>554.37374767551159</v>
      </c>
      <c r="BI54" s="59">
        <f ca="1">AVERAGE(OFFSET($BH$3,0,0,'Données projet'!$E$11+1,1))-AVERAGE(OFFSET($H$3,0,0,'Données projet'!$E$11+1,1))</f>
        <v>215.23235148064941</v>
      </c>
      <c r="BJ54" s="59">
        <f t="shared" si="38"/>
        <v>184.07239726900434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2.0680526102827663</v>
      </c>
      <c r="BQ54" s="21">
        <f>EXP(-LN(2)/25)*BQ53+(1-EXP(-LN(2)/25))/(LN(2)/25)*Calculateur!BL54*Calculateur!BN54*VLOOKUP('Données projet'!$B$11,Paramètres!$A$1:$I$89,3,0)*0.475*44/12</f>
        <v>4.3884046431507171</v>
      </c>
      <c r="BR54" s="21">
        <f>EXP(-LN(2)/2)*BR53+(1-EXP(-LN(2)/2))/(LN(2)/2)*BL54*BO54*VLOOKUP('Données projet'!$B$11,Paramètres!$A$1:$I$89,3,0)*0.475*44/12</f>
        <v>6.7894518193751729E-3</v>
      </c>
      <c r="BS54" s="22">
        <f t="shared" si="9"/>
        <v>6.4632467052528586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 t="e">
        <f>BY54*VLOOKUP('Données projet'!$B$12,Paramètres!$A$1:$I$89,3,0)*VLOOKUP('Données projet'!$B$12,Paramètres!$A$1:$I$89,5,0)</f>
        <v>#N/A</v>
      </c>
      <c r="CA54" s="13" t="e">
        <f t="shared" si="39"/>
        <v>#N/A</v>
      </c>
      <c r="CB54" s="20" t="e">
        <f t="shared" si="10"/>
        <v>#N/A</v>
      </c>
      <c r="CC54" s="59" t="e">
        <f t="shared" si="11"/>
        <v>#N/A</v>
      </c>
      <c r="CD54" s="59" t="e">
        <f ca="1">AVERAGE(OFFSET($CC$3,0,0,'Données projet'!$E$12+1,1))-AVERAGE(OFFSET($H$3,0,0,'Données projet'!$E$12+1,1))</f>
        <v>#N/A</v>
      </c>
      <c r="CE54" s="59" t="e">
        <f t="shared" si="40"/>
        <v>#N/A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 t="e">
        <f>EXP(-LN(2)/35)*CK53+(1-EXP(-LN(2)/35))/(LN(2)/35)*CG54*CH54*VLOOKUP('Données projet'!$B$12,Paramètres!$A$1:$I$89,3,0)*0.475*44/12</f>
        <v>#N/A</v>
      </c>
      <c r="CL54" s="21" t="e">
        <f>EXP(-LN(2)/25)*CL53+(1-EXP(-LN(2)/25))/(LN(2)/25)*Calculateur!CG54*Calculateur!CI54*VLOOKUP('Données projet'!$B$12,Paramètres!$A$1:$I$89,3,0)*0.475*44/12</f>
        <v>#N/A</v>
      </c>
      <c r="CM54" s="21" t="e">
        <f>EXP(-LN(2)/2)*CM53+(1-EXP(-LN(2)/2))/(LN(2)/2)*CG54*CJ54*VLOOKUP('Données projet'!$B$12,Paramètres!$A$1:$I$89,3,0)*0.475*44/12</f>
        <v>#N/A</v>
      </c>
      <c r="CN54" s="22" t="e">
        <f t="shared" si="12"/>
        <v>#N/A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25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46.238400000000027</v>
      </c>
      <c r="D55" s="11">
        <f t="shared" si="32"/>
        <v>13.637932508790366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10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462.20326848890824</v>
      </c>
      <c r="H55" s="67">
        <f t="shared" si="1"/>
        <v>397.61794578614325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14.8</v>
      </c>
      <c r="N55" s="13">
        <f>IF('Données projet'!$A$36&gt;35,N54+M55-V54,IF(A55&lt;'Données projet'!$A$36,$K$205^A55,IF(A55='Données projet'!$A$36,'Données projet'!$B$36,N54+M55-V54)))</f>
        <v>386.59999999999974</v>
      </c>
      <c r="O55" s="13">
        <f>N55*VLOOKUP('Données projet'!$B$9,Paramètres!$A$1:$I$89,3,0)*VLOOKUP('Données projet'!$B$9,Paramètres!$A$1:$I$89,5,0)</f>
        <v>216.10939999999985</v>
      </c>
      <c r="P55" s="13">
        <f t="shared" si="33"/>
        <v>53.268406922893078</v>
      </c>
      <c r="Q55" s="20">
        <f t="shared" si="53"/>
        <v>469.16634705737187</v>
      </c>
      <c r="R55" s="59">
        <f t="shared" si="0"/>
        <v>762.49968039070518</v>
      </c>
      <c r="S55" s="59">
        <f ca="1">AVERAGE(OFFSET($R$3,0,0,'Données projet'!$E$9+1,1))-AVERAGE(OFFSET($H$3,0,0,'Données projet'!$E$9+1,1))</f>
        <v>279.98352834501759</v>
      </c>
      <c r="T55" s="59">
        <f t="shared" si="34"/>
        <v>281.30062655265488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2.5852948145022205</v>
      </c>
      <c r="AA55" s="21">
        <f>EXP(-LN(2)/25)*AA54+(1-EXP(-LN(2)/25))/(LN(2)/25)*Calculateur!V55*Calculateur!X55*VLOOKUP('Données projet'!$B$9,Paramètres!$A$1:$I$89,3,0)*0.475*44/12</f>
        <v>13.164134047916319</v>
      </c>
      <c r="AB55" s="21">
        <f>EXP(-LN(2)/2)*AB54+(1-EXP(-LN(2)/2))/(LN(2)/2)*V55*Y55*VLOOKUP('Données projet'!$B$9,Paramètres!$A$1:$I$89,3,0)*0.475*44/12</f>
        <v>1.3826728699128281E-2</v>
      </c>
      <c r="AC55" s="22">
        <f t="shared" si="3"/>
        <v>15.763255591117668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7.8</v>
      </c>
      <c r="AI55" s="13">
        <f>IF('Données projet'!$A$62&gt;35,AI54+AH55-AQ54,IF(A55&lt;'Données projet'!$A$62,$AF$205^A55,IF(A55='Données projet'!$A$62,'Données projet'!$B$62,AI54+AH55-AQ54)))</f>
        <v>172.60000000000008</v>
      </c>
      <c r="AJ55" s="13">
        <f>AI55*VLOOKUP('Données projet'!$B$10,Paramètres!$A$1:$I$89,3,0)*VLOOKUP('Données projet'!$B$10,Paramètres!$A$1:$I$89,5,0)</f>
        <v>175.01640000000009</v>
      </c>
      <c r="AK55" s="13">
        <f t="shared" si="35"/>
        <v>44.211621687190231</v>
      </c>
      <c r="AL55" s="20">
        <f t="shared" si="4"/>
        <v>381.82213777185649</v>
      </c>
      <c r="AM55" s="59">
        <f t="shared" si="5"/>
        <v>675.1554711051898</v>
      </c>
      <c r="AN55" s="59">
        <f ca="1">AVERAGE(OFFSET($AM$3,0,0,'Données projet'!$E$10+1,1))-AVERAGE(OFFSET($H$3,0,0,'Données projet'!$E$10+1,1))</f>
        <v>279.20364724206644</v>
      </c>
      <c r="AO55" s="59">
        <f t="shared" si="36"/>
        <v>173.99850582760712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0</v>
      </c>
      <c r="AV55" s="21">
        <f>EXP(-LN(2)/25)*AV54+(1-EXP(-LN(2)/25))/(LN(2)/25)*Calculateur!AQ55*Calculateur!AS55*VLOOKUP('Données projet'!$B$10,Paramètres!$A$1:$I$89,3,0)*0.475*44/12</f>
        <v>1.8913494313637222</v>
      </c>
      <c r="AW55" s="21">
        <f>EXP(-LN(2)/2)*AW54+(1-EXP(-LN(2)/2))/(LN(2)/2)*AQ55*AT55*VLOOKUP('Données projet'!$B$10,Paramètres!$A$1:$I$89,3,0)*0.475*44/12</f>
        <v>3.3868838441023009E-3</v>
      </c>
      <c r="AX55" s="21">
        <f t="shared" si="6"/>
        <v>1.8947363152078245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13.499999999999996</v>
      </c>
      <c r="BD55" s="12">
        <f>IF('Données projet'!$A$88&gt;35,BD54+BC55-BL54,IF(A55&lt;'Données projet'!$A$88,$BA$205^A55,IF(A55='Données projet'!$A$88,'Données projet'!$B$88,BD54+BC55-BL54)))</f>
        <v>266.79999999999984</v>
      </c>
      <c r="BE55" s="13">
        <f>BD55*VLOOKUP('Données projet'!$B$11,Paramètres!$A$1:$I$89,3,0)*VLOOKUP('Données projet'!$B$11,Paramètres!$A$1:$I$89,5,0)</f>
        <v>124.86239999999994</v>
      </c>
      <c r="BF55" s="13">
        <f t="shared" si="37"/>
        <v>32.80643928056157</v>
      </c>
      <c r="BG55" s="20">
        <f t="shared" si="7"/>
        <v>274.60656174697795</v>
      </c>
      <c r="BH55" s="59">
        <f t="shared" si="8"/>
        <v>567.93989508031132</v>
      </c>
      <c r="BI55" s="59">
        <f ca="1">AVERAGE(OFFSET($BH$3,0,0,'Données projet'!$E$11+1,1))-AVERAGE(OFFSET($H$3,0,0,'Données projet'!$E$11+1,1))</f>
        <v>215.23235148064941</v>
      </c>
      <c r="BJ55" s="59">
        <f t="shared" si="38"/>
        <v>184.07239726900434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2.0274993599826621</v>
      </c>
      <c r="BQ55" s="21">
        <f>EXP(-LN(2)/25)*BQ54+(1-EXP(-LN(2)/25))/(LN(2)/25)*Calculateur!BL55*Calculateur!BN55*VLOOKUP('Données projet'!$B$11,Paramètres!$A$1:$I$89,3,0)*0.475*44/12</f>
        <v>4.26840348740759</v>
      </c>
      <c r="BR55" s="21">
        <f>EXP(-LN(2)/2)*BR54+(1-EXP(-LN(2)/2))/(LN(2)/2)*BL55*BO55*VLOOKUP('Données projet'!$B$11,Paramètres!$A$1:$I$89,3,0)*0.475*44/12</f>
        <v>4.8008674220195273E-3</v>
      </c>
      <c r="BS55" s="22">
        <f t="shared" si="9"/>
        <v>6.300703714812272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 t="e">
        <f>BY55*VLOOKUP('Données projet'!$B$12,Paramètres!$A$1:$I$89,3,0)*VLOOKUP('Données projet'!$B$12,Paramètres!$A$1:$I$89,5,0)</f>
        <v>#N/A</v>
      </c>
      <c r="CA55" s="13" t="e">
        <f t="shared" si="39"/>
        <v>#N/A</v>
      </c>
      <c r="CB55" s="20" t="e">
        <f t="shared" si="10"/>
        <v>#N/A</v>
      </c>
      <c r="CC55" s="59" t="e">
        <f t="shared" si="11"/>
        <v>#N/A</v>
      </c>
      <c r="CD55" s="59" t="e">
        <f ca="1">AVERAGE(OFFSET($CC$3,0,0,'Données projet'!$E$12+1,1))-AVERAGE(OFFSET($H$3,0,0,'Données projet'!$E$12+1,1))</f>
        <v>#N/A</v>
      </c>
      <c r="CE55" s="59" t="e">
        <f t="shared" si="40"/>
        <v>#N/A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 t="e">
        <f>EXP(-LN(2)/35)*CK54+(1-EXP(-LN(2)/35))/(LN(2)/35)*CG55*CH55*VLOOKUP('Données projet'!$B$12,Paramètres!$A$1:$I$89,3,0)*0.475*44/12</f>
        <v>#N/A</v>
      </c>
      <c r="CL55" s="21" t="e">
        <f>EXP(-LN(2)/25)*CL54+(1-EXP(-LN(2)/25))/(LN(2)/25)*Calculateur!CG55*Calculateur!CI55*VLOOKUP('Données projet'!$B$12,Paramètres!$A$1:$I$89,3,0)*0.475*44/12</f>
        <v>#N/A</v>
      </c>
      <c r="CM55" s="21" t="e">
        <f>EXP(-LN(2)/2)*CM54+(1-EXP(-LN(2)/2))/(LN(2)/2)*CG55*CJ55*VLOOKUP('Données projet'!$B$12,Paramètres!$A$1:$I$89,3,0)*0.475*44/12</f>
        <v>#N/A</v>
      </c>
      <c r="CN55" s="22" t="e">
        <f t="shared" si="12"/>
        <v>#N/A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25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47.127600000000029</v>
      </c>
      <c r="D56" s="11">
        <f t="shared" si="32"/>
        <v>13.869414921287754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10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470.85415026958998</v>
      </c>
      <c r="H56" s="67">
        <f t="shared" si="1"/>
        <v>399.56980098790956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14.8</v>
      </c>
      <c r="N56" s="13">
        <f>IF('Données projet'!$A$36&gt;35,N55+M56-V55,IF(A56&lt;'Données projet'!$A$36,$K$205^A56,IF(A56='Données projet'!$A$36,'Données projet'!$B$36,N55+M56-V55)))</f>
        <v>401.39999999999975</v>
      </c>
      <c r="O56" s="13">
        <f>N56*VLOOKUP('Données projet'!$B$9,Paramètres!$A$1:$I$89,3,0)*VLOOKUP('Données projet'!$B$9,Paramètres!$A$1:$I$89,5,0)</f>
        <v>224.38259999999985</v>
      </c>
      <c r="P56" s="13">
        <f t="shared" si="33"/>
        <v>55.06632591089982</v>
      </c>
      <c r="Q56" s="20">
        <f t="shared" si="53"/>
        <v>486.70687929481687</v>
      </c>
      <c r="R56" s="59">
        <f t="shared" si="0"/>
        <v>780.04021262815013</v>
      </c>
      <c r="S56" s="59">
        <f ca="1">AVERAGE(OFFSET($R$3,0,0,'Données projet'!$E$9+1,1))-AVERAGE(OFFSET($H$3,0,0,'Données projet'!$E$9+1,1))</f>
        <v>279.98352834501759</v>
      </c>
      <c r="T56" s="59">
        <f t="shared" si="34"/>
        <v>281.30062655265488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2.5345987600639655</v>
      </c>
      <c r="AA56" s="21">
        <f>EXP(-LN(2)/25)*AA55+(1-EXP(-LN(2)/25))/(LN(2)/25)*Calculateur!V56*Calculateur!X56*VLOOKUP('Données projet'!$B$9,Paramètres!$A$1:$I$89,3,0)*0.475*44/12</f>
        <v>12.804160110104325</v>
      </c>
      <c r="AB56" s="21">
        <f>EXP(-LN(2)/2)*AB55+(1-EXP(-LN(2)/2))/(LN(2)/2)*V56*Y56*VLOOKUP('Données projet'!$B$9,Paramètres!$A$1:$I$89,3,0)*0.475*44/12</f>
        <v>9.7769736247802583E-3</v>
      </c>
      <c r="AC56" s="22">
        <f t="shared" si="3"/>
        <v>15.348535843793071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7.8</v>
      </c>
      <c r="AI56" s="13">
        <f>IF('Données projet'!$A$62&gt;35,AI55+AH56-AQ55,IF(A56&lt;'Données projet'!$A$62,$AF$205^A56,IF(A56='Données projet'!$A$62,'Données projet'!$B$62,AI55+AH56-AQ55)))</f>
        <v>180.40000000000009</v>
      </c>
      <c r="AJ56" s="13">
        <f>AI56*VLOOKUP('Données projet'!$B$10,Paramètres!$A$1:$I$89,3,0)*VLOOKUP('Données projet'!$B$10,Paramètres!$A$1:$I$89,5,0)</f>
        <v>182.92560000000012</v>
      </c>
      <c r="AK56" s="13">
        <f t="shared" si="35"/>
        <v>45.97246625045144</v>
      </c>
      <c r="AL56" s="20">
        <f t="shared" si="4"/>
        <v>398.66413205286977</v>
      </c>
      <c r="AM56" s="59">
        <f t="shared" si="5"/>
        <v>691.99746538620309</v>
      </c>
      <c r="AN56" s="59">
        <f ca="1">AVERAGE(OFFSET($AM$3,0,0,'Données projet'!$E$10+1,1))-AVERAGE(OFFSET($H$3,0,0,'Données projet'!$E$10+1,1))</f>
        <v>279.20364724206644</v>
      </c>
      <c r="AO56" s="59">
        <f t="shared" si="36"/>
        <v>173.99850582760712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0</v>
      </c>
      <c r="AV56" s="21">
        <f>EXP(-LN(2)/25)*AV55+(1-EXP(-LN(2)/25))/(LN(2)/25)*Calculateur!AQ56*Calculateur!AS56*VLOOKUP('Données projet'!$B$10,Paramètres!$A$1:$I$89,3,0)*0.475*44/12</f>
        <v>1.8396303817013373</v>
      </c>
      <c r="AW56" s="21">
        <f>EXP(-LN(2)/2)*AW55+(1-EXP(-LN(2)/2))/(LN(2)/2)*AQ56*AT56*VLOOKUP('Données projet'!$B$10,Paramètres!$A$1:$I$89,3,0)*0.475*44/12</f>
        <v>2.3948885332558986E-3</v>
      </c>
      <c r="AX56" s="21">
        <f t="shared" si="6"/>
        <v>1.8420252702345932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13.499999999999996</v>
      </c>
      <c r="BD56" s="12">
        <f>IF('Données projet'!$A$88&gt;35,BD55+BC56-BL55,IF(A56&lt;'Données projet'!$A$88,$BA$205^A56,IF(A56='Données projet'!$A$88,'Données projet'!$B$88,BD55+BC56-BL55)))</f>
        <v>280.29999999999984</v>
      </c>
      <c r="BE56" s="13">
        <f>BD56*VLOOKUP('Données projet'!$B$11,Paramètres!$A$1:$I$89,3,0)*VLOOKUP('Données projet'!$B$11,Paramètres!$A$1:$I$89,5,0)</f>
        <v>131.18039999999993</v>
      </c>
      <c r="BF56" s="13">
        <f t="shared" si="37"/>
        <v>34.268971460239172</v>
      </c>
      <c r="BG56" s="20">
        <f t="shared" si="7"/>
        <v>288.15765529324972</v>
      </c>
      <c r="BH56" s="59">
        <f t="shared" si="8"/>
        <v>581.49098862658298</v>
      </c>
      <c r="BI56" s="59">
        <f ca="1">AVERAGE(OFFSET($BH$3,0,0,'Données projet'!$E$11+1,1))-AVERAGE(OFFSET($H$3,0,0,'Données projet'!$E$11+1,1))</f>
        <v>215.23235148064941</v>
      </c>
      <c r="BJ56" s="59">
        <f t="shared" si="38"/>
        <v>184.07239726900434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1.9877413341859023</v>
      </c>
      <c r="BQ56" s="21">
        <f>EXP(-LN(2)/25)*BQ55+(1-EXP(-LN(2)/25))/(LN(2)/25)*Calculateur!BL56*Calculateur!BN56*VLOOKUP('Données projet'!$B$11,Paramètres!$A$1:$I$89,3,0)*0.475*44/12</f>
        <v>4.1516837695788453</v>
      </c>
      <c r="BR56" s="21">
        <f>EXP(-LN(2)/2)*BR55+(1-EXP(-LN(2)/2))/(LN(2)/2)*BL56*BO56*VLOOKUP('Données projet'!$B$11,Paramètres!$A$1:$I$89,3,0)*0.475*44/12</f>
        <v>3.3947259096875865E-3</v>
      </c>
      <c r="BS56" s="22">
        <f t="shared" si="9"/>
        <v>6.1428198296744343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 t="e">
        <f>BY56*VLOOKUP('Données projet'!$B$12,Paramètres!$A$1:$I$89,3,0)*VLOOKUP('Données projet'!$B$12,Paramètres!$A$1:$I$89,5,0)</f>
        <v>#N/A</v>
      </c>
      <c r="CA56" s="13" t="e">
        <f t="shared" si="39"/>
        <v>#N/A</v>
      </c>
      <c r="CB56" s="20" t="e">
        <f t="shared" si="10"/>
        <v>#N/A</v>
      </c>
      <c r="CC56" s="59" t="e">
        <f t="shared" si="11"/>
        <v>#N/A</v>
      </c>
      <c r="CD56" s="59" t="e">
        <f ca="1">AVERAGE(OFFSET($CC$3,0,0,'Données projet'!$E$12+1,1))-AVERAGE(OFFSET($H$3,0,0,'Données projet'!$E$12+1,1))</f>
        <v>#N/A</v>
      </c>
      <c r="CE56" s="59" t="e">
        <f t="shared" si="40"/>
        <v>#N/A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 t="e">
        <f>EXP(-LN(2)/35)*CK55+(1-EXP(-LN(2)/35))/(LN(2)/35)*CG56*CH56*VLOOKUP('Données projet'!$B$12,Paramètres!$A$1:$I$89,3,0)*0.475*44/12</f>
        <v>#N/A</v>
      </c>
      <c r="CL56" s="21" t="e">
        <f>EXP(-LN(2)/25)*CL55+(1-EXP(-LN(2)/25))/(LN(2)/25)*Calculateur!CG56*Calculateur!CI56*VLOOKUP('Données projet'!$B$12,Paramètres!$A$1:$I$89,3,0)*0.475*44/12</f>
        <v>#N/A</v>
      </c>
      <c r="CM56" s="21" t="e">
        <f>EXP(-LN(2)/2)*CM55+(1-EXP(-LN(2)/2))/(LN(2)/2)*CG56*CJ56*VLOOKUP('Données projet'!$B$12,Paramètres!$A$1:$I$89,3,0)*0.475*44/12</f>
        <v>#N/A</v>
      </c>
      <c r="CN56" s="22" t="e">
        <f t="shared" si="12"/>
        <v>#N/A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25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48.016800000000032</v>
      </c>
      <c r="D57" s="11">
        <f t="shared" si="32"/>
        <v>14.100389472000563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10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479.50111171368889</v>
      </c>
      <c r="H57" s="67">
        <f t="shared" si="1"/>
        <v>401.52077166373437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14.8</v>
      </c>
      <c r="N57" s="13">
        <f>IF('Données projet'!$A$36&gt;35,N56+M57-V56,IF(A57&lt;'Données projet'!$A$36,$K$205^A57,IF(A57='Données projet'!$A$36,'Données projet'!$B$36,N56+M57-V56)))</f>
        <v>416.19999999999976</v>
      </c>
      <c r="O57" s="13">
        <f>N57*VLOOKUP('Données projet'!$B$9,Paramètres!$A$1:$I$89,3,0)*VLOOKUP('Données projet'!$B$9,Paramètres!$A$1:$I$89,5,0)</f>
        <v>232.65579999999986</v>
      </c>
      <c r="P57" s="13">
        <f t="shared" si="33"/>
        <v>56.856543319741832</v>
      </c>
      <c r="Q57" s="20">
        <f t="shared" si="53"/>
        <v>504.2339979485501</v>
      </c>
      <c r="R57" s="59">
        <f t="shared" si="0"/>
        <v>797.56733128188341</v>
      </c>
      <c r="S57" s="59">
        <f ca="1">AVERAGE(OFFSET($R$3,0,0,'Données projet'!$E$9+1,1))-AVERAGE(OFFSET($H$3,0,0,'Données projet'!$E$9+1,1))</f>
        <v>279.98352834501759</v>
      </c>
      <c r="T57" s="59">
        <f t="shared" si="34"/>
        <v>281.30062655265488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2.4848968243317047</v>
      </c>
      <c r="AA57" s="21">
        <f>EXP(-LN(2)/25)*AA56+(1-EXP(-LN(2)/25))/(LN(2)/25)*Calculateur!V57*Calculateur!X57*VLOOKUP('Données projet'!$B$9,Paramètres!$A$1:$I$89,3,0)*0.475*44/12</f>
        <v>12.454029678552006</v>
      </c>
      <c r="AB57" s="21">
        <f>EXP(-LN(2)/2)*AB56+(1-EXP(-LN(2)/2))/(LN(2)/2)*V57*Y57*VLOOKUP('Données projet'!$B$9,Paramètres!$A$1:$I$89,3,0)*0.475*44/12</f>
        <v>6.9133643495641406E-3</v>
      </c>
      <c r="AC57" s="22">
        <f t="shared" si="3"/>
        <v>14.945839867233275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7.8</v>
      </c>
      <c r="AI57" s="13">
        <f>IF('Données projet'!$A$62&gt;35,AI56+AH57-AQ56,IF(A57&lt;'Données projet'!$A$62,$AF$205^A57,IF(A57='Données projet'!$A$62,'Données projet'!$B$62,AI56+AH57-AQ56)))</f>
        <v>188.2000000000001</v>
      </c>
      <c r="AJ57" s="13">
        <f>AI57*VLOOKUP('Données projet'!$B$10,Paramètres!$A$1:$I$89,3,0)*VLOOKUP('Données projet'!$B$10,Paramètres!$A$1:$I$89,5,0)</f>
        <v>190.83480000000012</v>
      </c>
      <c r="AK57" s="13">
        <f t="shared" si="35"/>
        <v>47.724468160640392</v>
      </c>
      <c r="AL57" s="20">
        <f t="shared" si="4"/>
        <v>415.49072537978219</v>
      </c>
      <c r="AM57" s="59">
        <f t="shared" si="5"/>
        <v>708.82405871311551</v>
      </c>
      <c r="AN57" s="59">
        <f ca="1">AVERAGE(OFFSET($AM$3,0,0,'Données projet'!$E$10+1,1))-AVERAGE(OFFSET($H$3,0,0,'Données projet'!$E$10+1,1))</f>
        <v>279.20364724206644</v>
      </c>
      <c r="AO57" s="59">
        <f t="shared" si="36"/>
        <v>173.99850582760712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0</v>
      </c>
      <c r="AV57" s="21">
        <f>EXP(-LN(2)/25)*AV56+(1-EXP(-LN(2)/25))/(LN(2)/25)*Calculateur!AQ57*Calculateur!AS57*VLOOKUP('Données projet'!$B$10,Paramètres!$A$1:$I$89,3,0)*0.475*44/12</f>
        <v>1.789325592171757</v>
      </c>
      <c r="AW57" s="21">
        <f>EXP(-LN(2)/2)*AW56+(1-EXP(-LN(2)/2))/(LN(2)/2)*AQ57*AT57*VLOOKUP('Données projet'!$B$10,Paramètres!$A$1:$I$89,3,0)*0.475*44/12</f>
        <v>1.6934419220511504E-3</v>
      </c>
      <c r="AX57" s="21">
        <f t="shared" si="6"/>
        <v>1.7910190340938081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13.499999999999996</v>
      </c>
      <c r="BD57" s="12">
        <f>IF('Données projet'!$A$88&gt;35,BD56+BC57-BL56,IF(A57&lt;'Données projet'!$A$88,$BA$205^A57,IF(A57='Données projet'!$A$88,'Données projet'!$B$88,BD56+BC57-BL56)))</f>
        <v>293.79999999999984</v>
      </c>
      <c r="BE57" s="13">
        <f>BD57*VLOOKUP('Données projet'!$B$11,Paramètres!$A$1:$I$89,3,0)*VLOOKUP('Données projet'!$B$11,Paramètres!$A$1:$I$89,5,0)</f>
        <v>137.49839999999992</v>
      </c>
      <c r="BF57" s="13">
        <f t="shared" si="37"/>
        <v>35.723324086274197</v>
      </c>
      <c r="BG57" s="20">
        <f t="shared" si="7"/>
        <v>301.69450278359409</v>
      </c>
      <c r="BH57" s="59">
        <f t="shared" si="8"/>
        <v>595.02783611692735</v>
      </c>
      <c r="BI57" s="59">
        <f ca="1">AVERAGE(OFFSET($BH$3,0,0,'Données projet'!$E$11+1,1))-AVERAGE(OFFSET($H$3,0,0,'Données projet'!$E$11+1,1))</f>
        <v>215.23235148064941</v>
      </c>
      <c r="BJ57" s="59">
        <f t="shared" si="38"/>
        <v>184.07239726900434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1.9487629390250159</v>
      </c>
      <c r="BQ57" s="21">
        <f>EXP(-LN(2)/25)*BQ56+(1-EXP(-LN(2)/25))/(LN(2)/25)*Calculateur!BL57*Calculateur!BN57*VLOOKUP('Données projet'!$B$11,Paramètres!$A$1:$I$89,3,0)*0.475*44/12</f>
        <v>4.0381557585721515</v>
      </c>
      <c r="BR57" s="21">
        <f>EXP(-LN(2)/2)*BR56+(1-EXP(-LN(2)/2))/(LN(2)/2)*BL57*BO57*VLOOKUP('Données projet'!$B$11,Paramètres!$A$1:$I$89,3,0)*0.475*44/12</f>
        <v>2.4004337110097636E-3</v>
      </c>
      <c r="BS57" s="22">
        <f t="shared" si="9"/>
        <v>5.9893191313081768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 t="e">
        <f>BY57*VLOOKUP('Données projet'!$B$12,Paramètres!$A$1:$I$89,3,0)*VLOOKUP('Données projet'!$B$12,Paramètres!$A$1:$I$89,5,0)</f>
        <v>#N/A</v>
      </c>
      <c r="CA57" s="13" t="e">
        <f t="shared" si="39"/>
        <v>#N/A</v>
      </c>
      <c r="CB57" s="20" t="e">
        <f t="shared" si="10"/>
        <v>#N/A</v>
      </c>
      <c r="CC57" s="59" t="e">
        <f t="shared" si="11"/>
        <v>#N/A</v>
      </c>
      <c r="CD57" s="59" t="e">
        <f ca="1">AVERAGE(OFFSET($CC$3,0,0,'Données projet'!$E$12+1,1))-AVERAGE(OFFSET($H$3,0,0,'Données projet'!$E$12+1,1))</f>
        <v>#N/A</v>
      </c>
      <c r="CE57" s="59" t="e">
        <f t="shared" si="40"/>
        <v>#N/A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 t="e">
        <f>EXP(-LN(2)/35)*CK56+(1-EXP(-LN(2)/35))/(LN(2)/35)*CG57*CH57*VLOOKUP('Données projet'!$B$12,Paramètres!$A$1:$I$89,3,0)*0.475*44/12</f>
        <v>#N/A</v>
      </c>
      <c r="CL57" s="21" t="e">
        <f>EXP(-LN(2)/25)*CL56+(1-EXP(-LN(2)/25))/(LN(2)/25)*Calculateur!CG57*Calculateur!CI57*VLOOKUP('Données projet'!$B$12,Paramètres!$A$1:$I$89,3,0)*0.475*44/12</f>
        <v>#N/A</v>
      </c>
      <c r="CM57" s="21" t="e">
        <f>EXP(-LN(2)/2)*CM56+(1-EXP(-LN(2)/2))/(LN(2)/2)*CG57*CJ57*VLOOKUP('Données projet'!$B$12,Paramètres!$A$1:$I$89,3,0)*0.475*44/12</f>
        <v>#N/A</v>
      </c>
      <c r="CN57" s="22" t="e">
        <f t="shared" si="12"/>
        <v>#N/A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25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48.906000000000034</v>
      </c>
      <c r="D58" s="11">
        <f t="shared" si="32"/>
        <v>14.330866650402033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10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488.14423379257738</v>
      </c>
      <c r="H58" s="67">
        <f t="shared" si="1"/>
        <v>403.47087608278355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14.8</v>
      </c>
      <c r="N58" s="13">
        <f>IF('Données projet'!$A$36&gt;35,N57+M58-V57,IF(A58&lt;'Données projet'!$A$36,$K$205^A58,IF(A58='Données projet'!$A$36,'Données projet'!$B$36,N57+M58-V57)))</f>
        <v>430.99999999999977</v>
      </c>
      <c r="O58" s="13">
        <f>N58*VLOOKUP('Données projet'!$B$9,Paramètres!$A$1:$I$89,3,0)*VLOOKUP('Données projet'!$B$9,Paramètres!$A$1:$I$89,5,0)</f>
        <v>240.92899999999989</v>
      </c>
      <c r="P58" s="13">
        <f t="shared" si="33"/>
        <v>58.63936439325547</v>
      </c>
      <c r="Q58" s="20">
        <f t="shared" si="53"/>
        <v>521.74823465158636</v>
      </c>
      <c r="R58" s="59">
        <f t="shared" si="0"/>
        <v>815.08156798491973</v>
      </c>
      <c r="S58" s="59">
        <f ca="1">AVERAGE(OFFSET($R$3,0,0,'Données projet'!$E$9+1,1))-AVERAGE(OFFSET($H$3,0,0,'Données projet'!$E$9+1,1))</f>
        <v>279.98352834501759</v>
      </c>
      <c r="T58" s="59">
        <f t="shared" si="34"/>
        <v>281.30062655265488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2.436169513243966</v>
      </c>
      <c r="AA58" s="21">
        <f>EXP(-LN(2)/25)*AA57+(1-EXP(-LN(2)/25))/(LN(2)/25)*Calculateur!V58*Calculateur!X58*VLOOKUP('Données projet'!$B$9,Paramètres!$A$1:$I$89,3,0)*0.475*44/12</f>
        <v>12.113473582063044</v>
      </c>
      <c r="AB58" s="21">
        <f>EXP(-LN(2)/2)*AB57+(1-EXP(-LN(2)/2))/(LN(2)/2)*V58*Y58*VLOOKUP('Données projet'!$B$9,Paramètres!$A$1:$I$89,3,0)*0.475*44/12</f>
        <v>4.8884868123901292E-3</v>
      </c>
      <c r="AC58" s="22">
        <f t="shared" si="3"/>
        <v>14.554531582119401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7.8</v>
      </c>
      <c r="AI58" s="13">
        <f>IF('Données projet'!$A$62&gt;35,AI57+AH58-AQ57,IF(A58&lt;'Données projet'!$A$62,$AF$205^A58,IF(A58='Données projet'!$A$62,'Données projet'!$B$62,AI57+AH58-AQ57)))</f>
        <v>196.00000000000011</v>
      </c>
      <c r="AJ58" s="13">
        <f>AI58*VLOOKUP('Données projet'!$B$10,Paramètres!$A$1:$I$89,3,0)*VLOOKUP('Données projet'!$B$10,Paramètres!$A$1:$I$89,5,0)</f>
        <v>198.74400000000011</v>
      </c>
      <c r="AK58" s="13">
        <f t="shared" si="35"/>
        <v>49.468035816012197</v>
      </c>
      <c r="AL58" s="20">
        <f t="shared" si="4"/>
        <v>432.3026290462214</v>
      </c>
      <c r="AM58" s="59">
        <f t="shared" si="5"/>
        <v>725.63596237955471</v>
      </c>
      <c r="AN58" s="59">
        <f ca="1">AVERAGE(OFFSET($AM$3,0,0,'Données projet'!$E$10+1,1))-AVERAGE(OFFSET($H$3,0,0,'Données projet'!$E$10+1,1))</f>
        <v>279.20364724206644</v>
      </c>
      <c r="AO58" s="59">
        <f t="shared" si="36"/>
        <v>173.99850582760712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0</v>
      </c>
      <c r="AV58" s="21">
        <f>EXP(-LN(2)/25)*AV57+(1-EXP(-LN(2)/25))/(LN(2)/25)*Calculateur!AQ58*Calculateur!AS58*VLOOKUP('Données projet'!$B$10,Paramètres!$A$1:$I$89,3,0)*0.475*44/12</f>
        <v>1.740396389757277</v>
      </c>
      <c r="AW58" s="21">
        <f>EXP(-LN(2)/2)*AW57+(1-EXP(-LN(2)/2))/(LN(2)/2)*AQ58*AT58*VLOOKUP('Données projet'!$B$10,Paramètres!$A$1:$I$89,3,0)*0.475*44/12</f>
        <v>1.1974442666279493E-3</v>
      </c>
      <c r="AX58" s="21">
        <f t="shared" si="6"/>
        <v>1.741593834023905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13.499999999999996</v>
      </c>
      <c r="BD58" s="12">
        <f>IF('Données projet'!$A$88&gt;35,BD57+BC58-BL57,IF(A58&lt;'Données projet'!$A$88,$BA$205^A58,IF(A58='Données projet'!$A$88,'Données projet'!$B$88,BD57+BC58-BL57)))</f>
        <v>307.29999999999984</v>
      </c>
      <c r="BE58" s="13">
        <f>BD58*VLOOKUP('Données projet'!$B$11,Paramètres!$A$1:$I$89,3,0)*VLOOKUP('Données projet'!$B$11,Paramètres!$A$1:$I$89,5,0)</f>
        <v>143.81639999999993</v>
      </c>
      <c r="BF58" s="13">
        <f t="shared" si="37"/>
        <v>37.169915935828818</v>
      </c>
      <c r="BG58" s="20">
        <f t="shared" si="7"/>
        <v>315.21783358823507</v>
      </c>
      <c r="BH58" s="59">
        <f t="shared" si="8"/>
        <v>608.55116692156844</v>
      </c>
      <c r="BI58" s="59">
        <f ca="1">AVERAGE(OFFSET($BH$3,0,0,'Données projet'!$E$11+1,1))-AVERAGE(OFFSET($H$3,0,0,'Données projet'!$E$11+1,1))</f>
        <v>215.23235148064941</v>
      </c>
      <c r="BJ58" s="59">
        <f t="shared" si="38"/>
        <v>184.07239726900434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1.9105488864187608</v>
      </c>
      <c r="BQ58" s="21">
        <f>EXP(-LN(2)/25)*BQ57+(1-EXP(-LN(2)/25))/(LN(2)/25)*Calculateur!BL58*Calculateur!BN58*VLOOKUP('Données projet'!$B$11,Paramètres!$A$1:$I$89,3,0)*0.475*44/12</f>
        <v>3.927732176996614</v>
      </c>
      <c r="BR58" s="21">
        <f>EXP(-LN(2)/2)*BR57+(1-EXP(-LN(2)/2))/(LN(2)/2)*BL58*BO58*VLOOKUP('Données projet'!$B$11,Paramètres!$A$1:$I$89,3,0)*0.475*44/12</f>
        <v>1.6973629548437932E-3</v>
      </c>
      <c r="BS58" s="22">
        <f t="shared" si="9"/>
        <v>5.8399784263702186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 t="e">
        <f>BY58*VLOOKUP('Données projet'!$B$12,Paramètres!$A$1:$I$89,3,0)*VLOOKUP('Données projet'!$B$12,Paramètres!$A$1:$I$89,5,0)</f>
        <v>#N/A</v>
      </c>
      <c r="CA58" s="13" t="e">
        <f t="shared" si="39"/>
        <v>#N/A</v>
      </c>
      <c r="CB58" s="20" t="e">
        <f t="shared" si="10"/>
        <v>#N/A</v>
      </c>
      <c r="CC58" s="59" t="e">
        <f t="shared" si="11"/>
        <v>#N/A</v>
      </c>
      <c r="CD58" s="59" t="e">
        <f ca="1">AVERAGE(OFFSET($CC$3,0,0,'Données projet'!$E$12+1,1))-AVERAGE(OFFSET($H$3,0,0,'Données projet'!$E$12+1,1))</f>
        <v>#N/A</v>
      </c>
      <c r="CE58" s="59" t="e">
        <f t="shared" si="40"/>
        <v>#N/A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 t="e">
        <f>EXP(-LN(2)/35)*CK57+(1-EXP(-LN(2)/35))/(LN(2)/35)*CG58*CH58*VLOOKUP('Données projet'!$B$12,Paramètres!$A$1:$I$89,3,0)*0.475*44/12</f>
        <v>#N/A</v>
      </c>
      <c r="CL58" s="21" t="e">
        <f>EXP(-LN(2)/25)*CL57+(1-EXP(-LN(2)/25))/(LN(2)/25)*Calculateur!CG58*Calculateur!CI58*VLOOKUP('Données projet'!$B$12,Paramètres!$A$1:$I$89,3,0)*0.475*44/12</f>
        <v>#N/A</v>
      </c>
      <c r="CM58" s="21" t="e">
        <f>EXP(-LN(2)/2)*CM57+(1-EXP(-LN(2)/2))/(LN(2)/2)*CG58*CJ58*VLOOKUP('Données projet'!$B$12,Paramètres!$A$1:$I$89,3,0)*0.475*44/12</f>
        <v>#N/A</v>
      </c>
      <c r="CN58" s="22" t="e">
        <f t="shared" si="12"/>
        <v>#N/A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25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49.795200000000037</v>
      </c>
      <c r="D59" s="11">
        <f t="shared" si="32"/>
        <v>14.560856542690786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10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496.78359436463097</v>
      </c>
      <c r="H59" s="67">
        <f t="shared" si="1"/>
        <v>405.42013181185314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14.8</v>
      </c>
      <c r="N59" s="13">
        <f>IF('Données projet'!$A$36&gt;35,N58+M59-V58,IF(A59&lt;'Données projet'!$A$36,$K$205^A59,IF(A59='Données projet'!$A$36,'Données projet'!$B$36,N58+M59-V58)))</f>
        <v>445.79999999999978</v>
      </c>
      <c r="O59" s="13">
        <f>N59*VLOOKUP('Données projet'!$B$9,Paramètres!$A$1:$I$89,3,0)*VLOOKUP('Données projet'!$B$9,Paramètres!$A$1:$I$89,5,0)</f>
        <v>249.20219999999989</v>
      </c>
      <c r="P59" s="13">
        <f t="shared" si="33"/>
        <v>60.415072222849211</v>
      </c>
      <c r="Q59" s="20">
        <f t="shared" si="53"/>
        <v>539.25008245479557</v>
      </c>
      <c r="R59" s="59">
        <f t="shared" si="0"/>
        <v>832.58341578812883</v>
      </c>
      <c r="S59" s="59">
        <f ca="1">AVERAGE(OFFSET($R$3,0,0,'Données projet'!$E$9+1,1))-AVERAGE(OFFSET($H$3,0,0,'Données projet'!$E$9+1,1))</f>
        <v>279.98352834501759</v>
      </c>
      <c r="T59" s="59">
        <f t="shared" si="34"/>
        <v>281.30062655265488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2.388397715005933</v>
      </c>
      <c r="AA59" s="21">
        <f>EXP(-LN(2)/25)*AA58+(1-EXP(-LN(2)/25))/(LN(2)/25)*Calculateur!V59*Calculateur!X59*VLOOKUP('Données projet'!$B$9,Paramètres!$A$1:$I$89,3,0)*0.475*44/12</f>
        <v>11.782230009941641</v>
      </c>
      <c r="AB59" s="21">
        <f>EXP(-LN(2)/2)*AB58+(1-EXP(-LN(2)/2))/(LN(2)/2)*V59*Y59*VLOOKUP('Données projet'!$B$9,Paramètres!$A$1:$I$89,3,0)*0.475*44/12</f>
        <v>3.4566821747820703E-3</v>
      </c>
      <c r="AC59" s="22">
        <f t="shared" si="3"/>
        <v>14.174084407122356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7.8</v>
      </c>
      <c r="AI59" s="13">
        <f>IF('Données projet'!$A$62&gt;35,AI58+AH59-AQ58,IF(A59&lt;'Données projet'!$A$62,$AF$205^A59,IF(A59='Données projet'!$A$62,'Données projet'!$B$62,AI58+AH59-AQ58)))</f>
        <v>203.80000000000013</v>
      </c>
      <c r="AJ59" s="13">
        <f>AI59*VLOOKUP('Données projet'!$B$10,Paramètres!$A$1:$I$89,3,0)*VLOOKUP('Données projet'!$B$10,Paramètres!$A$1:$I$89,5,0)</f>
        <v>206.65320000000014</v>
      </c>
      <c r="AK59" s="13">
        <f t="shared" si="35"/>
        <v>51.20354326964263</v>
      </c>
      <c r="AL59" s="20">
        <f t="shared" si="4"/>
        <v>449.10049452796119</v>
      </c>
      <c r="AM59" s="59">
        <f t="shared" si="5"/>
        <v>742.4338278612945</v>
      </c>
      <c r="AN59" s="59">
        <f ca="1">AVERAGE(OFFSET($AM$3,0,0,'Données projet'!$E$10+1,1))-AVERAGE(OFFSET($H$3,0,0,'Données projet'!$E$10+1,1))</f>
        <v>279.20364724206644</v>
      </c>
      <c r="AO59" s="59">
        <f t="shared" si="36"/>
        <v>173.99850582760712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0</v>
      </c>
      <c r="AV59" s="21">
        <f>EXP(-LN(2)/25)*AV58+(1-EXP(-LN(2)/25))/(LN(2)/25)*Calculateur!AQ59*Calculateur!AS59*VLOOKUP('Données projet'!$B$10,Paramètres!$A$1:$I$89,3,0)*0.475*44/12</f>
        <v>1.6928051589558959</v>
      </c>
      <c r="AW59" s="21">
        <f>EXP(-LN(2)/2)*AW58+(1-EXP(-LN(2)/2))/(LN(2)/2)*AQ59*AT59*VLOOKUP('Données projet'!$B$10,Paramètres!$A$1:$I$89,3,0)*0.475*44/12</f>
        <v>8.4672096102557522E-4</v>
      </c>
      <c r="AX59" s="21">
        <f t="shared" si="6"/>
        <v>1.6936518799169216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13.499999999999996</v>
      </c>
      <c r="BD59" s="12">
        <f>IF('Données projet'!$A$88&gt;35,BD58+BC59-BL58,IF(A59&lt;'Données projet'!$A$88,$BA$205^A59,IF(A59='Données projet'!$A$88,'Données projet'!$B$88,BD58+BC59-BL58)))</f>
        <v>320.79999999999984</v>
      </c>
      <c r="BE59" s="13">
        <f>BD59*VLOOKUP('Données projet'!$B$11,Paramètres!$A$1:$I$89,3,0)*VLOOKUP('Données projet'!$B$11,Paramètres!$A$1:$I$89,5,0)</f>
        <v>150.13439999999994</v>
      </c>
      <c r="BF59" s="13">
        <f t="shared" si="37"/>
        <v>38.609126910934812</v>
      </c>
      <c r="BG59" s="20">
        <f t="shared" si="7"/>
        <v>328.72830936987799</v>
      </c>
      <c r="BH59" s="59">
        <f t="shared" si="8"/>
        <v>622.06164270321131</v>
      </c>
      <c r="BI59" s="59">
        <f ca="1">AVERAGE(OFFSET($BH$3,0,0,'Données projet'!$E$11+1,1))-AVERAGE(OFFSET($H$3,0,0,'Données projet'!$E$11+1,1))</f>
        <v>215.23235148064941</v>
      </c>
      <c r="BJ59" s="59">
        <f t="shared" si="38"/>
        <v>184.07239726900434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1.8730841880758438</v>
      </c>
      <c r="BQ59" s="21">
        <f>EXP(-LN(2)/25)*BQ58+(1-EXP(-LN(2)/25))/(LN(2)/25)*Calculateur!BL59*Calculateur!BN59*VLOOKUP('Données projet'!$B$11,Paramètres!$A$1:$I$89,3,0)*0.475*44/12</f>
        <v>3.8203281340661834</v>
      </c>
      <c r="BR59" s="21">
        <f>EXP(-LN(2)/2)*BR58+(1-EXP(-LN(2)/2))/(LN(2)/2)*BL59*BO59*VLOOKUP('Données projet'!$B$11,Paramètres!$A$1:$I$89,3,0)*0.475*44/12</f>
        <v>1.2002168555048818E-3</v>
      </c>
      <c r="BS59" s="22">
        <f t="shared" si="9"/>
        <v>5.6946125389975322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 t="e">
        <f>BY59*VLOOKUP('Données projet'!$B$12,Paramètres!$A$1:$I$89,3,0)*VLOOKUP('Données projet'!$B$12,Paramètres!$A$1:$I$89,5,0)</f>
        <v>#N/A</v>
      </c>
      <c r="CA59" s="13" t="e">
        <f t="shared" si="39"/>
        <v>#N/A</v>
      </c>
      <c r="CB59" s="20" t="e">
        <f t="shared" si="10"/>
        <v>#N/A</v>
      </c>
      <c r="CC59" s="59" t="e">
        <f t="shared" si="11"/>
        <v>#N/A</v>
      </c>
      <c r="CD59" s="59" t="e">
        <f ca="1">AVERAGE(OFFSET($CC$3,0,0,'Données projet'!$E$12+1,1))-AVERAGE(OFFSET($H$3,0,0,'Données projet'!$E$12+1,1))</f>
        <v>#N/A</v>
      </c>
      <c r="CE59" s="59" t="e">
        <f t="shared" si="40"/>
        <v>#N/A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 t="e">
        <f>EXP(-LN(2)/35)*CK58+(1-EXP(-LN(2)/35))/(LN(2)/35)*CG59*CH59*VLOOKUP('Données projet'!$B$12,Paramètres!$A$1:$I$89,3,0)*0.475*44/12</f>
        <v>#N/A</v>
      </c>
      <c r="CL59" s="21" t="e">
        <f>EXP(-LN(2)/25)*CL58+(1-EXP(-LN(2)/25))/(LN(2)/25)*Calculateur!CG59*Calculateur!CI59*VLOOKUP('Données projet'!$B$12,Paramètres!$A$1:$I$89,3,0)*0.475*44/12</f>
        <v>#N/A</v>
      </c>
      <c r="CM59" s="21" t="e">
        <f>EXP(-LN(2)/2)*CM58+(1-EXP(-LN(2)/2))/(LN(2)/2)*CG59*CJ59*VLOOKUP('Données projet'!$B$12,Paramètres!$A$1:$I$89,3,0)*0.475*44/12</f>
        <v>#N/A</v>
      </c>
      <c r="CN59" s="22" t="e">
        <f t="shared" si="12"/>
        <v>#N/A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25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50.684400000000039</v>
      </c>
      <c r="D60" s="11">
        <f t="shared" si="32"/>
        <v>14.790368854214481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10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505.41926834832265</v>
      </c>
      <c r="H60" s="67">
        <f t="shared" si="1"/>
        <v>407.3685557544236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14.8</v>
      </c>
      <c r="N60" s="13">
        <f>IF('Données projet'!$A$36&gt;35,N59+M60-V59,IF(A60&lt;'Données projet'!$A$36,$K$205^A60,IF(A60='Données projet'!$A$36,'Données projet'!$B$36,N59+M60-V59)))</f>
        <v>460.5999999999998</v>
      </c>
      <c r="O60" s="13">
        <f>N60*VLOOKUP('Données projet'!$B$9,Paramètres!$A$1:$I$89,3,0)*VLOOKUP('Données projet'!$B$9,Paramètres!$A$1:$I$89,5,0)</f>
        <v>257.47539999999987</v>
      </c>
      <c r="P60" s="13">
        <f t="shared" si="33"/>
        <v>62.183930036702598</v>
      </c>
      <c r="Q60" s="20">
        <f t="shared" si="53"/>
        <v>556.73999981392342</v>
      </c>
      <c r="R60" s="59">
        <f t="shared" si="0"/>
        <v>850.07333314725679</v>
      </c>
      <c r="S60" s="59">
        <f ca="1">AVERAGE(OFFSET($R$3,0,0,'Données projet'!$E$9+1,1))-AVERAGE(OFFSET($H$3,0,0,'Données projet'!$E$9+1,1))</f>
        <v>279.98352834501759</v>
      </c>
      <c r="T60" s="59">
        <f t="shared" si="34"/>
        <v>281.30062655265488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2.3415626925934276</v>
      </c>
      <c r="AA60" s="21">
        <f>EXP(-LN(2)/25)*AA59+(1-EXP(-LN(2)/25))/(LN(2)/25)*Calculateur!V60*Calculateur!X60*VLOOKUP('Données projet'!$B$9,Paramètres!$A$1:$I$89,3,0)*0.475*44/12</f>
        <v>11.460044310719239</v>
      </c>
      <c r="AB60" s="21">
        <f>EXP(-LN(2)/2)*AB59+(1-EXP(-LN(2)/2))/(LN(2)/2)*V60*Y60*VLOOKUP('Données projet'!$B$9,Paramètres!$A$1:$I$89,3,0)*0.475*44/12</f>
        <v>2.4442434061950646E-3</v>
      </c>
      <c r="AC60" s="22">
        <f t="shared" si="3"/>
        <v>13.804051246718862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7.8</v>
      </c>
      <c r="AI60" s="13">
        <f>IF('Données projet'!$A$62&gt;35,AI59+AH60-AQ59,IF(A60&lt;'Données projet'!$A$62,$AF$205^A60,IF(A60='Données projet'!$A$62,'Données projet'!$B$62,AI59+AH60-AQ59)))</f>
        <v>211.60000000000014</v>
      </c>
      <c r="AJ60" s="13">
        <f>AI60*VLOOKUP('Données projet'!$B$10,Paramètres!$A$1:$I$89,3,0)*VLOOKUP('Données projet'!$B$10,Paramètres!$A$1:$I$89,5,0)</f>
        <v>214.56240000000017</v>
      </c>
      <c r="AK60" s="13">
        <f t="shared" si="35"/>
        <v>52.931334320900255</v>
      </c>
      <c r="AL60" s="20">
        <f t="shared" si="4"/>
        <v>465.88492060890161</v>
      </c>
      <c r="AM60" s="59">
        <f t="shared" si="5"/>
        <v>759.21825394223492</v>
      </c>
      <c r="AN60" s="59">
        <f ca="1">AVERAGE(OFFSET($AM$3,0,0,'Données projet'!$E$10+1,1))-AVERAGE(OFFSET($H$3,0,0,'Données projet'!$E$10+1,1))</f>
        <v>279.20364724206644</v>
      </c>
      <c r="AO60" s="59">
        <f t="shared" si="36"/>
        <v>173.99850582760712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0</v>
      </c>
      <c r="AV60" s="21">
        <f>EXP(-LN(2)/25)*AV59+(1-EXP(-LN(2)/25))/(LN(2)/25)*Calculateur!AQ60*Calculateur!AS60*VLOOKUP('Données projet'!$B$10,Paramètres!$A$1:$I$89,3,0)*0.475*44/12</f>
        <v>1.6465153128634926</v>
      </c>
      <c r="AW60" s="21">
        <f>EXP(-LN(2)/2)*AW59+(1-EXP(-LN(2)/2))/(LN(2)/2)*AQ60*AT60*VLOOKUP('Données projet'!$B$10,Paramètres!$A$1:$I$89,3,0)*0.475*44/12</f>
        <v>5.9872213331397465E-4</v>
      </c>
      <c r="AX60" s="21">
        <f t="shared" si="6"/>
        <v>1.6471140349968065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13.499999999999996</v>
      </c>
      <c r="BD60" s="12">
        <f>IF('Données projet'!$A$88&gt;35,BD59+BC60-BL59,IF(A60&lt;'Données projet'!$A$88,$BA$205^A60,IF(A60='Données projet'!$A$88,'Données projet'!$B$88,BD59+BC60-BL59)))</f>
        <v>334.29999999999984</v>
      </c>
      <c r="BE60" s="13">
        <f>BD60*VLOOKUP('Données projet'!$B$11,Paramètres!$A$1:$I$89,3,0)*VLOOKUP('Données projet'!$B$11,Paramètres!$A$1:$I$89,5,0)</f>
        <v>156.45239999999993</v>
      </c>
      <c r="BF60" s="13">
        <f t="shared" si="37"/>
        <v>40.041303130551007</v>
      </c>
      <c r="BG60" s="20">
        <f t="shared" si="7"/>
        <v>342.2265329523762</v>
      </c>
      <c r="BH60" s="59">
        <f t="shared" si="8"/>
        <v>635.55986628570952</v>
      </c>
      <c r="BI60" s="59">
        <f ca="1">AVERAGE(OFFSET($BH$3,0,0,'Données projet'!$E$11+1,1))-AVERAGE(OFFSET($H$3,0,0,'Données projet'!$E$11+1,1))</f>
        <v>215.23235148064941</v>
      </c>
      <c r="BJ60" s="59">
        <f t="shared" si="38"/>
        <v>184.07239726900434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1.8363541496162219</v>
      </c>
      <c r="BQ60" s="21">
        <f>EXP(-LN(2)/25)*BQ59+(1-EXP(-LN(2)/25))/(LN(2)/25)*Calculateur!BL60*Calculateur!BN60*VLOOKUP('Données projet'!$B$11,Paramètres!$A$1:$I$89,3,0)*0.475*44/12</f>
        <v>3.7158610603378186</v>
      </c>
      <c r="BR60" s="21">
        <f>EXP(-LN(2)/2)*BR59+(1-EXP(-LN(2)/2))/(LN(2)/2)*BL60*BO60*VLOOKUP('Données projet'!$B$11,Paramètres!$A$1:$I$89,3,0)*0.475*44/12</f>
        <v>8.4868147742189661E-4</v>
      </c>
      <c r="BS60" s="22">
        <f t="shared" si="9"/>
        <v>5.5530638914314618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 t="e">
        <f>BY60*VLOOKUP('Données projet'!$B$12,Paramètres!$A$1:$I$89,3,0)*VLOOKUP('Données projet'!$B$12,Paramètres!$A$1:$I$89,5,0)</f>
        <v>#N/A</v>
      </c>
      <c r="CA60" s="13" t="e">
        <f t="shared" si="39"/>
        <v>#N/A</v>
      </c>
      <c r="CB60" s="20" t="e">
        <f t="shared" si="10"/>
        <v>#N/A</v>
      </c>
      <c r="CC60" s="59" t="e">
        <f t="shared" si="11"/>
        <v>#N/A</v>
      </c>
      <c r="CD60" s="59" t="e">
        <f ca="1">AVERAGE(OFFSET($CC$3,0,0,'Données projet'!$E$12+1,1))-AVERAGE(OFFSET($H$3,0,0,'Données projet'!$E$12+1,1))</f>
        <v>#N/A</v>
      </c>
      <c r="CE60" s="59" t="e">
        <f t="shared" si="40"/>
        <v>#N/A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 t="e">
        <f>EXP(-LN(2)/35)*CK59+(1-EXP(-LN(2)/35))/(LN(2)/35)*CG60*CH60*VLOOKUP('Données projet'!$B$12,Paramètres!$A$1:$I$89,3,0)*0.475*44/12</f>
        <v>#N/A</v>
      </c>
      <c r="CL60" s="21" t="e">
        <f>EXP(-LN(2)/25)*CL59+(1-EXP(-LN(2)/25))/(LN(2)/25)*Calculateur!CG60*Calculateur!CI60*VLOOKUP('Données projet'!$B$12,Paramètres!$A$1:$I$89,3,0)*0.475*44/12</f>
        <v>#N/A</v>
      </c>
      <c r="CM60" s="21" t="e">
        <f>EXP(-LN(2)/2)*CM59+(1-EXP(-LN(2)/2))/(LN(2)/2)*CG60*CJ60*VLOOKUP('Données projet'!$B$12,Paramètres!$A$1:$I$89,3,0)*0.475*44/12</f>
        <v>#N/A</v>
      </c>
      <c r="CN60" s="22" t="e">
        <f t="shared" si="12"/>
        <v>#N/A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25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51.573600000000042</v>
      </c>
      <c r="D61" s="11">
        <f t="shared" si="32"/>
        <v>15.01941293027533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10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514.05132788282742</v>
      </c>
      <c r="H61" s="67">
        <f t="shared" si="1"/>
        <v>409.31616418689623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14.8</v>
      </c>
      <c r="N61" s="13">
        <f>IF('Données projet'!$A$36&gt;35,N60+M61-V60,IF(A61&lt;'Données projet'!$A$36,$K$205^A61,IF(A61='Données projet'!$A$36,'Données projet'!$B$36,N60+M61-V60)))</f>
        <v>475.39999999999981</v>
      </c>
      <c r="O61" s="13">
        <f>N61*VLOOKUP('Données projet'!$B$9,Paramètres!$A$1:$I$89,3,0)*VLOOKUP('Données projet'!$B$9,Paramètres!$A$1:$I$89,5,0)</f>
        <v>265.7485999999999</v>
      </c>
      <c r="P61" s="13">
        <f t="shared" si="33"/>
        <v>63.946183186473277</v>
      </c>
      <c r="Q61" s="20">
        <f t="shared" si="53"/>
        <v>574.21841404977397</v>
      </c>
      <c r="R61" s="59">
        <f t="shared" si="0"/>
        <v>867.55174738310734</v>
      </c>
      <c r="S61" s="59">
        <f ca="1">AVERAGE(OFFSET($R$3,0,0,'Données projet'!$E$9+1,1))-AVERAGE(OFFSET($H$3,0,0,'Données projet'!$E$9+1,1))</f>
        <v>279.98352834501759</v>
      </c>
      <c r="T61" s="59">
        <f t="shared" si="34"/>
        <v>281.30062655265488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2.2956460764038886</v>
      </c>
      <c r="AA61" s="21">
        <f>EXP(-LN(2)/25)*AA60+(1-EXP(-LN(2)/25))/(LN(2)/25)*Calculateur!V61*Calculateur!X61*VLOOKUP('Données projet'!$B$9,Paramètres!$A$1:$I$89,3,0)*0.475*44/12</f>
        <v>11.146668796385082</v>
      </c>
      <c r="AB61" s="21">
        <f>EXP(-LN(2)/2)*AB60+(1-EXP(-LN(2)/2))/(LN(2)/2)*V61*Y61*VLOOKUP('Données projet'!$B$9,Paramètres!$A$1:$I$89,3,0)*0.475*44/12</f>
        <v>1.7283410873910352E-3</v>
      </c>
      <c r="AC61" s="22">
        <f t="shared" si="3"/>
        <v>13.444043213876363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7.8</v>
      </c>
      <c r="AI61" s="13">
        <f>IF('Données projet'!$A$62&gt;35,AI60+AH61-AQ60,IF(A61&lt;'Données projet'!$A$62,$AF$205^A61,IF(A61='Données projet'!$A$62,'Données projet'!$B$62,AI60+AH61-AQ60)))</f>
        <v>219.40000000000015</v>
      </c>
      <c r="AJ61" s="13">
        <f>AI61*VLOOKUP('Données projet'!$B$10,Paramètres!$A$1:$I$89,3,0)*VLOOKUP('Données projet'!$B$10,Paramètres!$A$1:$I$89,5,0)</f>
        <v>222.47160000000017</v>
      </c>
      <c r="AK61" s="13">
        <f t="shared" si="35"/>
        <v>54.651725986680781</v>
      </c>
      <c r="AL61" s="20">
        <f t="shared" si="4"/>
        <v>482.65645942680254</v>
      </c>
      <c r="AM61" s="59">
        <f t="shared" si="5"/>
        <v>775.98979276013586</v>
      </c>
      <c r="AN61" s="59">
        <f ca="1">AVERAGE(OFFSET($AM$3,0,0,'Données projet'!$E$10+1,1))-AVERAGE(OFFSET($H$3,0,0,'Données projet'!$E$10+1,1))</f>
        <v>279.20364724206644</v>
      </c>
      <c r="AO61" s="59">
        <f t="shared" si="36"/>
        <v>173.99850582760712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0</v>
      </c>
      <c r="AV61" s="21">
        <f>EXP(-LN(2)/25)*AV60+(1-EXP(-LN(2)/25))/(LN(2)/25)*Calculateur!AQ61*Calculateur!AS61*VLOOKUP('Données projet'!$B$10,Paramètres!$A$1:$I$89,3,0)*0.475*44/12</f>
        <v>1.6014912650467632</v>
      </c>
      <c r="AW61" s="21">
        <f>EXP(-LN(2)/2)*AW60+(1-EXP(-LN(2)/2))/(LN(2)/2)*AQ61*AT61*VLOOKUP('Données projet'!$B$10,Paramètres!$A$1:$I$89,3,0)*0.475*44/12</f>
        <v>4.2336048051278761E-4</v>
      </c>
      <c r="AX61" s="21">
        <f t="shared" si="6"/>
        <v>1.601914625527276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13.499999999999996</v>
      </c>
      <c r="BD61" s="12">
        <f>IF('Données projet'!$A$88&gt;35,BD60+BC61-BL60,IF(A61&lt;'Données projet'!$A$88,$BA$205^A61,IF(A61='Données projet'!$A$88,'Données projet'!$B$88,BD60+BC61-BL60)))</f>
        <v>347.79999999999984</v>
      </c>
      <c r="BE61" s="13">
        <f>BD61*VLOOKUP('Données projet'!$B$11,Paramètres!$A$1:$I$89,3,0)*VLOOKUP('Données projet'!$B$11,Paramètres!$A$1:$I$89,5,0)</f>
        <v>162.77039999999994</v>
      </c>
      <c r="BF61" s="13">
        <f t="shared" si="37"/>
        <v>41.466761176934256</v>
      </c>
      <c r="BG61" s="20">
        <f t="shared" si="7"/>
        <v>355.71305571649367</v>
      </c>
      <c r="BH61" s="59">
        <f t="shared" si="8"/>
        <v>649.04638904982698</v>
      </c>
      <c r="BI61" s="59">
        <f ca="1">AVERAGE(OFFSET($BH$3,0,0,'Données projet'!$E$11+1,1))-AVERAGE(OFFSET($H$3,0,0,'Données projet'!$E$11+1,1))</f>
        <v>215.23235148064941</v>
      </c>
      <c r="BJ61" s="59">
        <f t="shared" si="38"/>
        <v>184.07239726900434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1.8003443648076818</v>
      </c>
      <c r="BQ61" s="21">
        <f>EXP(-LN(2)/25)*BQ60+(1-EXP(-LN(2)/25))/(LN(2)/25)*Calculateur!BL61*Calculateur!BN61*VLOOKUP('Données projet'!$B$11,Paramètres!$A$1:$I$89,3,0)*0.475*44/12</f>
        <v>3.6142506442342404</v>
      </c>
      <c r="BR61" s="21">
        <f>EXP(-LN(2)/2)*BR60+(1-EXP(-LN(2)/2))/(LN(2)/2)*BL61*BO61*VLOOKUP('Données projet'!$B$11,Paramètres!$A$1:$I$89,3,0)*0.475*44/12</f>
        <v>6.0010842775244091E-4</v>
      </c>
      <c r="BS61" s="22">
        <f t="shared" si="9"/>
        <v>5.4151951174696746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 t="e">
        <f>BY61*VLOOKUP('Données projet'!$B$12,Paramètres!$A$1:$I$89,3,0)*VLOOKUP('Données projet'!$B$12,Paramètres!$A$1:$I$89,5,0)</f>
        <v>#N/A</v>
      </c>
      <c r="CA61" s="13" t="e">
        <f t="shared" si="39"/>
        <v>#N/A</v>
      </c>
      <c r="CB61" s="20" t="e">
        <f t="shared" si="10"/>
        <v>#N/A</v>
      </c>
      <c r="CC61" s="59" t="e">
        <f t="shared" si="11"/>
        <v>#N/A</v>
      </c>
      <c r="CD61" s="59" t="e">
        <f ca="1">AVERAGE(OFFSET($CC$3,0,0,'Données projet'!$E$12+1,1))-AVERAGE(OFFSET($H$3,0,0,'Données projet'!$E$12+1,1))</f>
        <v>#N/A</v>
      </c>
      <c r="CE61" s="59" t="e">
        <f t="shared" si="40"/>
        <v>#N/A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 t="e">
        <f>EXP(-LN(2)/35)*CK60+(1-EXP(-LN(2)/35))/(LN(2)/35)*CG61*CH61*VLOOKUP('Données projet'!$B$12,Paramètres!$A$1:$I$89,3,0)*0.475*44/12</f>
        <v>#N/A</v>
      </c>
      <c r="CL61" s="21" t="e">
        <f>EXP(-LN(2)/25)*CL60+(1-EXP(-LN(2)/25))/(LN(2)/25)*Calculateur!CG61*Calculateur!CI61*VLOOKUP('Données projet'!$B$12,Paramètres!$A$1:$I$89,3,0)*0.475*44/12</f>
        <v>#N/A</v>
      </c>
      <c r="CM61" s="21" t="e">
        <f>EXP(-LN(2)/2)*CM60+(1-EXP(-LN(2)/2))/(LN(2)/2)*CG61*CJ61*VLOOKUP('Données projet'!$B$12,Paramètres!$A$1:$I$89,3,0)*0.475*44/12</f>
        <v>#N/A</v>
      </c>
      <c r="CN61" s="22" t="e">
        <f t="shared" si="12"/>
        <v>#N/A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25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52.462800000000044</v>
      </c>
      <c r="D62" s="11">
        <f t="shared" si="32"/>
        <v>15.247997775460181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10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522.67984247723678</v>
      </c>
      <c r="H62" s="67">
        <f t="shared" si="1"/>
        <v>411.26297279225986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14.8</v>
      </c>
      <c r="N62" s="13">
        <f>IF('Données projet'!$A$36&gt;35,N61+M62-V61,IF(A62&lt;'Données projet'!$A$36,$K$205^A62,IF(A62='Données projet'!$A$36,'Données projet'!$B$36,N61+M62-V61)))</f>
        <v>490.19999999999982</v>
      </c>
      <c r="O62" s="13">
        <f>N62*VLOOKUP('Données projet'!$B$9,Paramètres!$A$1:$I$89,3,0)*VLOOKUP('Données projet'!$B$9,Paramètres!$A$1:$I$89,5,0)</f>
        <v>274.02179999999993</v>
      </c>
      <c r="P62" s="13">
        <f t="shared" si="33"/>
        <v>65.702060879656386</v>
      </c>
      <c r="Q62" s="20">
        <f t="shared" si="53"/>
        <v>591.68572436540137</v>
      </c>
      <c r="R62" s="59">
        <f t="shared" si="0"/>
        <v>885.01905769873474</v>
      </c>
      <c r="S62" s="59">
        <f ca="1">AVERAGE(OFFSET($R$3,0,0,'Données projet'!$E$9+1,1))-AVERAGE(OFFSET($H$3,0,0,'Données projet'!$E$9+1,1))</f>
        <v>279.98352834501759</v>
      </c>
      <c r="T62" s="59">
        <f t="shared" si="34"/>
        <v>281.30062655265488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2.250629857051456</v>
      </c>
      <c r="AA62" s="21">
        <f>EXP(-LN(2)/25)*AA61+(1-EXP(-LN(2)/25))/(LN(2)/25)*Calculateur!V62*Calculateur!X62*VLOOKUP('Données projet'!$B$9,Paramètres!$A$1:$I$89,3,0)*0.475*44/12</f>
        <v>10.841862551970097</v>
      </c>
      <c r="AB62" s="21">
        <f>EXP(-LN(2)/2)*AB61+(1-EXP(-LN(2)/2))/(LN(2)/2)*V62*Y62*VLOOKUP('Données projet'!$B$9,Paramètres!$A$1:$I$89,3,0)*0.475*44/12</f>
        <v>1.2221217030975323E-3</v>
      </c>
      <c r="AC62" s="22">
        <f t="shared" si="3"/>
        <v>13.09371453072465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7.8</v>
      </c>
      <c r="AI62" s="13">
        <f>IF('Données projet'!$A$62&gt;35,AI61+AH62-AQ61,IF(A62&lt;'Données projet'!$A$62,$AF$205^A62,IF(A62='Données projet'!$A$62,'Données projet'!$B$62,AI61+AH62-AQ61)))</f>
        <v>227.20000000000016</v>
      </c>
      <c r="AJ62" s="13">
        <f>AI62*VLOOKUP('Données projet'!$B$10,Paramètres!$A$1:$I$89,3,0)*VLOOKUP('Données projet'!$B$10,Paramètres!$A$1:$I$89,5,0)</f>
        <v>230.38080000000019</v>
      </c>
      <c r="AK62" s="13">
        <f t="shared" si="35"/>
        <v>56.365011465140029</v>
      </c>
      <c r="AL62" s="20">
        <f t="shared" si="4"/>
        <v>499.41562163511918</v>
      </c>
      <c r="AM62" s="59">
        <f t="shared" si="5"/>
        <v>792.74895496845249</v>
      </c>
      <c r="AN62" s="59">
        <f ca="1">AVERAGE(OFFSET($AM$3,0,0,'Données projet'!$E$10+1,1))-AVERAGE(OFFSET($H$3,0,0,'Données projet'!$E$10+1,1))</f>
        <v>279.20364724206644</v>
      </c>
      <c r="AO62" s="59">
        <f t="shared" si="36"/>
        <v>173.99850582760712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0</v>
      </c>
      <c r="AV62" s="21">
        <f>EXP(-LN(2)/25)*AV61+(1-EXP(-LN(2)/25))/(LN(2)/25)*Calculateur!AQ62*Calculateur!AS62*VLOOKUP('Données projet'!$B$10,Paramètres!$A$1:$I$89,3,0)*0.475*44/12</f>
        <v>1.557698402185294</v>
      </c>
      <c r="AW62" s="21">
        <f>EXP(-LN(2)/2)*AW61+(1-EXP(-LN(2)/2))/(LN(2)/2)*AQ62*AT62*VLOOKUP('Données projet'!$B$10,Paramètres!$A$1:$I$89,3,0)*0.475*44/12</f>
        <v>2.9936106665698733E-4</v>
      </c>
      <c r="AX62" s="21">
        <f t="shared" si="6"/>
        <v>1.5579977632519511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13.499999999999996</v>
      </c>
      <c r="BD62" s="12">
        <f>IF('Données projet'!$A$88&gt;35,BD61+BC62-BL61,IF(A62&lt;'Données projet'!$A$88,$BA$205^A62,IF(A62='Données projet'!$A$88,'Données projet'!$B$88,BD61+BC62-BL61)))</f>
        <v>361.29999999999984</v>
      </c>
      <c r="BE62" s="13">
        <f>BD62*VLOOKUP('Données projet'!$B$11,Paramètres!$A$1:$I$89,3,0)*VLOOKUP('Données projet'!$B$11,Paramètres!$A$1:$I$89,5,0)</f>
        <v>169.08839999999992</v>
      </c>
      <c r="BF62" s="13">
        <f t="shared" si="37"/>
        <v>42.885791664164614</v>
      </c>
      <c r="BG62" s="20">
        <f t="shared" si="7"/>
        <v>369.18838381508658</v>
      </c>
      <c r="BH62" s="59">
        <f t="shared" si="8"/>
        <v>662.52171714841984</v>
      </c>
      <c r="BI62" s="59">
        <f ca="1">AVERAGE(OFFSET($BH$3,0,0,'Données projet'!$E$11+1,1))-AVERAGE(OFFSET($H$3,0,0,'Données projet'!$E$11+1,1))</f>
        <v>215.23235148064941</v>
      </c>
      <c r="BJ62" s="59">
        <f t="shared" si="38"/>
        <v>184.07239726900434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1.765040709915437</v>
      </c>
      <c r="BQ62" s="21">
        <f>EXP(-LN(2)/25)*BQ61+(1-EXP(-LN(2)/25))/(LN(2)/25)*Calculateur!BL62*Calculateur!BN62*VLOOKUP('Données projet'!$B$11,Paramètres!$A$1:$I$89,3,0)*0.475*44/12</f>
        <v>3.5154187703024742</v>
      </c>
      <c r="BR62" s="21">
        <f>EXP(-LN(2)/2)*BR61+(1-EXP(-LN(2)/2))/(LN(2)/2)*BL62*BO62*VLOOKUP('Données projet'!$B$11,Paramètres!$A$1:$I$89,3,0)*0.475*44/12</f>
        <v>4.2434073871094831E-4</v>
      </c>
      <c r="BS62" s="22">
        <f t="shared" si="9"/>
        <v>5.280883820956622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 t="e">
        <f>BY62*VLOOKUP('Données projet'!$B$12,Paramètres!$A$1:$I$89,3,0)*VLOOKUP('Données projet'!$B$12,Paramètres!$A$1:$I$89,5,0)</f>
        <v>#N/A</v>
      </c>
      <c r="CA62" s="13" t="e">
        <f t="shared" si="39"/>
        <v>#N/A</v>
      </c>
      <c r="CB62" s="20" t="e">
        <f t="shared" si="10"/>
        <v>#N/A</v>
      </c>
      <c r="CC62" s="59" t="e">
        <f t="shared" si="11"/>
        <v>#N/A</v>
      </c>
      <c r="CD62" s="59" t="e">
        <f ca="1">AVERAGE(OFFSET($CC$3,0,0,'Données projet'!$E$12+1,1))-AVERAGE(OFFSET($H$3,0,0,'Données projet'!$E$12+1,1))</f>
        <v>#N/A</v>
      </c>
      <c r="CE62" s="59" t="e">
        <f t="shared" si="40"/>
        <v>#N/A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 t="e">
        <f>EXP(-LN(2)/35)*CK61+(1-EXP(-LN(2)/35))/(LN(2)/35)*CG62*CH62*VLOOKUP('Données projet'!$B$12,Paramètres!$A$1:$I$89,3,0)*0.475*44/12</f>
        <v>#N/A</v>
      </c>
      <c r="CL62" s="21" t="e">
        <f>EXP(-LN(2)/25)*CL61+(1-EXP(-LN(2)/25))/(LN(2)/25)*Calculateur!CG62*Calculateur!CI62*VLOOKUP('Données projet'!$B$12,Paramètres!$A$1:$I$89,3,0)*0.475*44/12</f>
        <v>#N/A</v>
      </c>
      <c r="CM62" s="21" t="e">
        <f>EXP(-LN(2)/2)*CM61+(1-EXP(-LN(2)/2))/(LN(2)/2)*CG62*CJ62*VLOOKUP('Données projet'!$B$12,Paramètres!$A$1:$I$89,3,0)*0.475*44/12</f>
        <v>#N/A</v>
      </c>
      <c r="CN62" s="22" t="e">
        <f t="shared" si="12"/>
        <v>#N/A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25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53.352000000000046</v>
      </c>
      <c r="D63" s="11">
        <f t="shared" si="32"/>
        <v>15.476132071622855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10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531.30487914936975</v>
      </c>
      <c r="H63" s="67">
        <f t="shared" si="1"/>
        <v>413.20899669140988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>
        <f>VLOOKUP(A63,'Données projet'!$A$35:$I$55,2,0)</f>
        <v>505</v>
      </c>
      <c r="L63" s="12">
        <f>VLOOKUP(A63,'Données projet'!$A$35:$I$55,9,0)</f>
        <v>14.8</v>
      </c>
      <c r="M63" s="12">
        <f t="array" ref="M63">INDEX(L:L,MIN(IF(ISNUMBER(L63:L259),ROW(L63:L259),"")))</f>
        <v>14.8</v>
      </c>
      <c r="N63" s="13">
        <f>IF('Données projet'!$A$36&gt;35,N62+M63-V62,IF(A63&lt;'Données projet'!$A$36,$K$205^A63,IF(A63='Données projet'!$A$36,'Données projet'!$B$36,N62+M63-V62)))</f>
        <v>504.99999999999983</v>
      </c>
      <c r="O63" s="13">
        <f>N63*VLOOKUP('Données projet'!$B$9,Paramètres!$A$1:$I$89,3,0)*VLOOKUP('Données projet'!$B$9,Paramètres!$A$1:$I$89,5,0)</f>
        <v>282.2949999999999</v>
      </c>
      <c r="P63" s="13">
        <f t="shared" si="33"/>
        <v>67.451777696853753</v>
      </c>
      <c r="Q63" s="20">
        <f t="shared" si="53"/>
        <v>609.14230448868682</v>
      </c>
      <c r="R63" s="59">
        <f t="shared" si="0"/>
        <v>902.47563782202019</v>
      </c>
      <c r="S63" s="59">
        <f ca="1">AVERAGE(OFFSET($R$3,0,0,'Données projet'!$E$9+1,1))-AVERAGE(OFFSET($H$3,0,0,'Données projet'!$E$9+1,1))</f>
        <v>279.98352834501759</v>
      </c>
      <c r="T63" s="59">
        <f t="shared" si="34"/>
        <v>281.30062655265488</v>
      </c>
      <c r="U63" s="15">
        <f>IF(ISNA(VLOOKUP(A63,'Données projet'!$A$35:$I$55,3,0)),0,VLOOKUP(A63,'Données projet'!$A$35:$I$55,3,0))</f>
        <v>5</v>
      </c>
      <c r="V63" s="15">
        <f>IF(ISNA(VLOOKUP(A63,'Données projet'!$A$35:$I$55,4,0)),0,VLOOKUP(A63,'Données projet'!$A$35:$I$55,4,0))</f>
        <v>76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2.206496378303342</v>
      </c>
      <c r="AA63" s="21">
        <f>EXP(-LN(2)/25)*AA62+(1-EXP(-LN(2)/25))/(LN(2)/25)*Calculateur!V63*Calculateur!X63*VLOOKUP('Données projet'!$B$9,Paramètres!$A$1:$I$89,3,0)*0.475*44/12</f>
        <v>10.545391250337703</v>
      </c>
      <c r="AB63" s="21">
        <f>EXP(-LN(2)/2)*AB62+(1-EXP(-LN(2)/2))/(LN(2)/2)*V63*Y63*VLOOKUP('Données projet'!$B$9,Paramètres!$A$1:$I$89,3,0)*0.475*44/12</f>
        <v>8.6417054369551758E-4</v>
      </c>
      <c r="AC63" s="22">
        <f t="shared" si="3"/>
        <v>12.75275179918474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>
        <f>VLOOKUP(A63,'Données projet'!$A$61:$I$81,2,0)</f>
        <v>235</v>
      </c>
      <c r="AG63" s="12">
        <f>VLOOKUP(A63,'Données projet'!$A$61:$I$81,9,0)</f>
        <v>7.8</v>
      </c>
      <c r="AH63" s="12">
        <f t="array" ref="AH63">INDEX(AG:AG,MIN(IF(ISNUMBER(AG63:AG259),ROW(AG63:AG259),"")))</f>
        <v>7.8</v>
      </c>
      <c r="AI63" s="13">
        <f>IF('Données projet'!$A$62&gt;35,AI62+AH63-AQ62,IF(A63&lt;'Données projet'!$A$62,$AF$205^A63,IF(A63='Données projet'!$A$62,'Données projet'!$B$62,AI62+AH63-AQ62)))</f>
        <v>235.00000000000017</v>
      </c>
      <c r="AJ63" s="13">
        <f>AI63*VLOOKUP('Données projet'!$B$10,Paramètres!$A$1:$I$89,3,0)*VLOOKUP('Données projet'!$B$10,Paramètres!$A$1:$I$89,5,0)</f>
        <v>238.29000000000019</v>
      </c>
      <c r="AK63" s="13">
        <f t="shared" si="35"/>
        <v>58.071462681001563</v>
      </c>
      <c r="AL63" s="20">
        <f t="shared" si="4"/>
        <v>516.16288083607799</v>
      </c>
      <c r="AM63" s="59">
        <f t="shared" si="5"/>
        <v>809.49621416941136</v>
      </c>
      <c r="AN63" s="59">
        <f ca="1">AVERAGE(OFFSET($AM$3,0,0,'Données projet'!$E$10+1,1))-AVERAGE(OFFSET($H$3,0,0,'Données projet'!$E$10+1,1))</f>
        <v>279.20364724206644</v>
      </c>
      <c r="AO63" s="59">
        <f t="shared" si="36"/>
        <v>173.99850582760712</v>
      </c>
      <c r="AP63" s="15">
        <f>IF(ISNA(VLOOKUP(A63,'Données projet'!$A$61:$I$81,3,0)),0,VLOOKUP(A63,'Données projet'!$A$61:$I$81,3,0))</f>
        <v>4</v>
      </c>
      <c r="AQ63" s="15">
        <f>IF(ISNA(VLOOKUP(A63,'Données projet'!$A$61:$I$81,4,0)),0,VLOOKUP(A63,'Données projet'!$A$61:$I$81,4,0))</f>
        <v>42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0</v>
      </c>
      <c r="AV63" s="21">
        <f>EXP(-LN(2)/25)*AV62+(1-EXP(-LN(2)/25))/(LN(2)/25)*Calculateur!AQ63*Calculateur!AS63*VLOOKUP('Données projet'!$B$10,Paramètres!$A$1:$I$89,3,0)*0.475*44/12</f>
        <v>1.5151030574617383</v>
      </c>
      <c r="AW63" s="21">
        <f>EXP(-LN(2)/2)*AW62+(1-EXP(-LN(2)/2))/(LN(2)/2)*AQ63*AT63*VLOOKUP('Données projet'!$B$10,Paramètres!$A$1:$I$89,3,0)*0.475*44/12</f>
        <v>2.1168024025639381E-4</v>
      </c>
      <c r="AX63" s="21">
        <f t="shared" si="6"/>
        <v>1.5153147377019947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>
        <f>VLOOKUP(A63,'Données projet'!$A$87:$I$107,2,0)</f>
        <v>374.79999999999995</v>
      </c>
      <c r="BB63" s="12">
        <f>VLOOKUP(A63,'Données projet'!$A$87:$I$107,9,0)</f>
        <v>13.499999999999996</v>
      </c>
      <c r="BC63" s="12">
        <f t="array" ref="BC63">INDEX(BB:BB,MIN(IF(ISNUMBER(BB63:BB259),ROW(BB63:BB259),"")))</f>
        <v>13.499999999999996</v>
      </c>
      <c r="BD63" s="12">
        <f>IF('Données projet'!$A$88&gt;35,BD62+BC63-BL62,IF(A63&lt;'Données projet'!$A$88,$BA$205^A63,IF(A63='Données projet'!$A$88,'Données projet'!$B$88,BD62+BC63-BL62)))</f>
        <v>374.79999999999984</v>
      </c>
      <c r="BE63" s="13">
        <f>BD63*VLOOKUP('Données projet'!$B$11,Paramètres!$A$1:$I$89,3,0)*VLOOKUP('Données projet'!$B$11,Paramètres!$A$1:$I$89,5,0)</f>
        <v>175.40639999999993</v>
      </c>
      <c r="BF63" s="13">
        <f t="shared" si="37"/>
        <v>44.298662258322672</v>
      </c>
      <c r="BG63" s="20">
        <f t="shared" si="7"/>
        <v>382.65298343324525</v>
      </c>
      <c r="BH63" s="59">
        <f t="shared" si="8"/>
        <v>675.98631676657851</v>
      </c>
      <c r="BI63" s="59">
        <f ca="1">AVERAGE(OFFSET($BH$3,0,0,'Données projet'!$E$11+1,1))-AVERAGE(OFFSET($H$3,0,0,'Données projet'!$E$11+1,1))</f>
        <v>215.23235148064941</v>
      </c>
      <c r="BJ63" s="59">
        <f t="shared" si="38"/>
        <v>184.07239726900434</v>
      </c>
      <c r="BK63" s="15">
        <f>IF(ISNA(VLOOKUP(A63,'Données projet'!$A$87:$I$107,3,0)),0,VLOOKUP(A63,'Données projet'!$A$87:$I$107,3,0))</f>
        <v>5</v>
      </c>
      <c r="BL63" s="15">
        <f>IF(ISNA(VLOOKUP(A63,'Données projet'!$A$87:$I$107,4,0)),0,VLOOKUP(A63,'Données projet'!$A$87:$I$107,4,0))</f>
        <v>83.4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1.730429338162526</v>
      </c>
      <c r="BQ63" s="21">
        <f>EXP(-LN(2)/25)*BQ62+(1-EXP(-LN(2)/25))/(LN(2)/25)*Calculateur!BL63*Calculateur!BN63*VLOOKUP('Données projet'!$B$11,Paramètres!$A$1:$I$89,3,0)*0.475*44/12</f>
        <v>3.4192894591607144</v>
      </c>
      <c r="BR63" s="21">
        <f>EXP(-LN(2)/2)*BR62+(1-EXP(-LN(2)/2))/(LN(2)/2)*BL63*BO63*VLOOKUP('Données projet'!$B$11,Paramètres!$A$1:$I$89,3,0)*0.475*44/12</f>
        <v>3.0005421387622046E-4</v>
      </c>
      <c r="BS63" s="22">
        <f t="shared" si="9"/>
        <v>5.1500188515371166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 t="e">
        <f>BY63*VLOOKUP('Données projet'!$B$12,Paramètres!$A$1:$I$89,3,0)*VLOOKUP('Données projet'!$B$12,Paramètres!$A$1:$I$89,5,0)</f>
        <v>#N/A</v>
      </c>
      <c r="CA63" s="13" t="e">
        <f t="shared" si="39"/>
        <v>#N/A</v>
      </c>
      <c r="CB63" s="20" t="e">
        <f t="shared" si="10"/>
        <v>#N/A</v>
      </c>
      <c r="CC63" s="59" t="e">
        <f t="shared" si="11"/>
        <v>#N/A</v>
      </c>
      <c r="CD63" s="59" t="e">
        <f ca="1">AVERAGE(OFFSET($CC$3,0,0,'Données projet'!$E$12+1,1))-AVERAGE(OFFSET($H$3,0,0,'Données projet'!$E$12+1,1))</f>
        <v>#N/A</v>
      </c>
      <c r="CE63" s="59" t="e">
        <f t="shared" si="40"/>
        <v>#N/A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 t="e">
        <f>EXP(-LN(2)/35)*CK62+(1-EXP(-LN(2)/35))/(LN(2)/35)*CG63*CH63*VLOOKUP('Données projet'!$B$12,Paramètres!$A$1:$I$89,3,0)*0.475*44/12</f>
        <v>#N/A</v>
      </c>
      <c r="CL63" s="21" t="e">
        <f>EXP(-LN(2)/25)*CL62+(1-EXP(-LN(2)/25))/(LN(2)/25)*Calculateur!CG63*Calculateur!CI63*VLOOKUP('Données projet'!$B$12,Paramètres!$A$1:$I$89,3,0)*0.475*44/12</f>
        <v>#N/A</v>
      </c>
      <c r="CM63" s="21" t="e">
        <f>EXP(-LN(2)/2)*CM62+(1-EXP(-LN(2)/2))/(LN(2)/2)*CG63*CJ63*VLOOKUP('Données projet'!$B$12,Paramètres!$A$1:$I$89,3,0)*0.475*44/12</f>
        <v>#N/A</v>
      </c>
      <c r="CN63" s="22" t="e">
        <f t="shared" si="12"/>
        <v>#N/A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25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54.241200000000049</v>
      </c>
      <c r="D64" s="11">
        <f t="shared" si="32"/>
        <v>15.703824194633762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10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539.92650255506805</v>
      </c>
      <c r="H64" s="67">
        <f t="shared" si="1"/>
        <v>415.15425047232054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12.1</v>
      </c>
      <c r="N64" s="13">
        <f>IF('Données projet'!$A$36&gt;35,N63+M64-V63,IF(A64&lt;'Données projet'!$A$36,$K$205^A64,IF(A64='Données projet'!$A$36,'Données projet'!$B$36,N63+M64-V63)))</f>
        <v>441.0999999999998</v>
      </c>
      <c r="O64" s="13">
        <f>N64*VLOOKUP('Données projet'!$B$9,Paramètres!$A$1:$I$89,3,0)*VLOOKUP('Données projet'!$B$9,Paramètres!$A$1:$I$89,5,0)</f>
        <v>246.5748999999999</v>
      </c>
      <c r="P64" s="13">
        <f t="shared" si="33"/>
        <v>59.851919420902142</v>
      </c>
      <c r="Q64" s="20">
        <f t="shared" si="53"/>
        <v>533.69337715807103</v>
      </c>
      <c r="R64" s="59">
        <f t="shared" si="0"/>
        <v>827.0267104914044</v>
      </c>
      <c r="S64" s="59">
        <f ca="1">AVERAGE(OFFSET($R$3,0,0,'Données projet'!$E$9+1,1))-AVERAGE(OFFSET($H$3,0,0,'Données projet'!$E$9+1,1))</f>
        <v>279.98352834501759</v>
      </c>
      <c r="T64" s="59">
        <f t="shared" si="34"/>
        <v>281.30062655265488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2.1632283301547144</v>
      </c>
      <c r="AA64" s="21">
        <f>EXP(-LN(2)/25)*AA63+(1-EXP(-LN(2)/25))/(LN(2)/25)*Calculateur!V64*Calculateur!X64*VLOOKUP('Données projet'!$B$9,Paramètres!$A$1:$I$89,3,0)*0.475*44/12</f>
        <v>10.257026972039194</v>
      </c>
      <c r="AB64" s="21">
        <f>EXP(-LN(2)/2)*AB63+(1-EXP(-LN(2)/2))/(LN(2)/2)*V64*Y64*VLOOKUP('Données projet'!$B$9,Paramètres!$A$1:$I$89,3,0)*0.475*44/12</f>
        <v>6.1106085154876615E-4</v>
      </c>
      <c r="AC64" s="22">
        <f t="shared" si="3"/>
        <v>12.420866363045457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7</v>
      </c>
      <c r="AI64" s="13">
        <f>IF('Données projet'!$A$62&gt;35,AI63+AH64-AQ63,IF(A64&lt;'Données projet'!$A$62,$AF$205^A64,IF(A64='Données projet'!$A$62,'Données projet'!$B$62,AI63+AH64-AQ63)))</f>
        <v>200.00000000000017</v>
      </c>
      <c r="AJ64" s="13">
        <f>AI64*VLOOKUP('Données projet'!$B$10,Paramètres!$A$1:$I$89,3,0)*VLOOKUP('Données projet'!$B$10,Paramètres!$A$1:$I$89,5,0)</f>
        <v>202.80000000000018</v>
      </c>
      <c r="AK64" s="13">
        <f t="shared" si="35"/>
        <v>50.359024179354016</v>
      </c>
      <c r="AL64" s="20">
        <f t="shared" si="4"/>
        <v>440.91863377904184</v>
      </c>
      <c r="AM64" s="59">
        <f t="shared" si="5"/>
        <v>734.25196711237516</v>
      </c>
      <c r="AN64" s="59">
        <f ca="1">AVERAGE(OFFSET($AM$3,0,0,'Données projet'!$E$10+1,1))-AVERAGE(OFFSET($H$3,0,0,'Données projet'!$E$10+1,1))</f>
        <v>279.20364724206644</v>
      </c>
      <c r="AO64" s="59">
        <f t="shared" si="36"/>
        <v>173.99850582760712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0</v>
      </c>
      <c r="AV64" s="21">
        <f>EXP(-LN(2)/25)*AV63+(1-EXP(-LN(2)/25))/(LN(2)/25)*Calculateur!AQ64*Calculateur!AS64*VLOOKUP('Données projet'!$B$10,Paramètres!$A$1:$I$89,3,0)*0.475*44/12</f>
        <v>1.4736724846796401</v>
      </c>
      <c r="AW64" s="21">
        <f>EXP(-LN(2)/2)*AW63+(1-EXP(-LN(2)/2))/(LN(2)/2)*AQ64*AT64*VLOOKUP('Données projet'!$B$10,Paramètres!$A$1:$I$89,3,0)*0.475*44/12</f>
        <v>1.4968053332849366E-4</v>
      </c>
      <c r="AX64" s="21">
        <f t="shared" si="6"/>
        <v>1.4738221652129686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15.5</v>
      </c>
      <c r="BD64" s="12">
        <f>IF('Données projet'!$A$88&gt;35,BD63+BC64-BL63,IF(A64&lt;'Données projet'!$A$88,$BA$205^A64,IF(A64='Données projet'!$A$88,'Données projet'!$B$88,BD63+BC64-BL63)))</f>
        <v>306.89999999999986</v>
      </c>
      <c r="BE64" s="13">
        <f>BD64*VLOOKUP('Données projet'!$B$11,Paramètres!$A$1:$I$89,3,0)*VLOOKUP('Données projet'!$B$11,Paramètres!$A$1:$I$89,5,0)</f>
        <v>143.62919999999994</v>
      </c>
      <c r="BF64" s="13">
        <f t="shared" si="37"/>
        <v>37.127161849234348</v>
      </c>
      <c r="BG64" s="20">
        <f t="shared" si="7"/>
        <v>314.81733022074968</v>
      </c>
      <c r="BH64" s="59">
        <f t="shared" si="8"/>
        <v>608.15066355408294</v>
      </c>
      <c r="BI64" s="59">
        <f ca="1">AVERAGE(OFFSET($BH$3,0,0,'Données projet'!$E$11+1,1))-AVERAGE(OFFSET($H$3,0,0,'Données projet'!$E$11+1,1))</f>
        <v>215.23235148064941</v>
      </c>
      <c r="BJ64" s="59">
        <f t="shared" si="38"/>
        <v>184.07239726900434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1.6964966742988374</v>
      </c>
      <c r="BQ64" s="21">
        <f>EXP(-LN(2)/25)*BQ63+(1-EXP(-LN(2)/25))/(LN(2)/25)*Calculateur!BL64*Calculateur!BN64*VLOOKUP('Données projet'!$B$11,Paramètres!$A$1:$I$89,3,0)*0.475*44/12</f>
        <v>3.3257888090873466</v>
      </c>
      <c r="BR64" s="21">
        <f>EXP(-LN(2)/2)*BR63+(1-EXP(-LN(2)/2))/(LN(2)/2)*BL64*BO64*VLOOKUP('Données projet'!$B$11,Paramètres!$A$1:$I$89,3,0)*0.475*44/12</f>
        <v>2.1217036935547415E-4</v>
      </c>
      <c r="BS64" s="22">
        <f t="shared" si="9"/>
        <v>5.0224976537555399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 t="e">
        <f>BY64*VLOOKUP('Données projet'!$B$12,Paramètres!$A$1:$I$89,3,0)*VLOOKUP('Données projet'!$B$12,Paramètres!$A$1:$I$89,5,0)</f>
        <v>#N/A</v>
      </c>
      <c r="CA64" s="13" t="e">
        <f t="shared" si="39"/>
        <v>#N/A</v>
      </c>
      <c r="CB64" s="20" t="e">
        <f t="shared" si="10"/>
        <v>#N/A</v>
      </c>
      <c r="CC64" s="59" t="e">
        <f t="shared" si="11"/>
        <v>#N/A</v>
      </c>
      <c r="CD64" s="59" t="e">
        <f ca="1">AVERAGE(OFFSET($CC$3,0,0,'Données projet'!$E$12+1,1))-AVERAGE(OFFSET($H$3,0,0,'Données projet'!$E$12+1,1))</f>
        <v>#N/A</v>
      </c>
      <c r="CE64" s="59" t="e">
        <f t="shared" si="40"/>
        <v>#N/A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 t="e">
        <f>EXP(-LN(2)/35)*CK63+(1-EXP(-LN(2)/35))/(LN(2)/35)*CG64*CH64*VLOOKUP('Données projet'!$B$12,Paramètres!$A$1:$I$89,3,0)*0.475*44/12</f>
        <v>#N/A</v>
      </c>
      <c r="CL64" s="21" t="e">
        <f>EXP(-LN(2)/25)*CL63+(1-EXP(-LN(2)/25))/(LN(2)/25)*Calculateur!CG64*Calculateur!CI64*VLOOKUP('Données projet'!$B$12,Paramètres!$A$1:$I$89,3,0)*0.475*44/12</f>
        <v>#N/A</v>
      </c>
      <c r="CM64" s="21" t="e">
        <f>EXP(-LN(2)/2)*CM63+(1-EXP(-LN(2)/2))/(LN(2)/2)*CG64*CJ64*VLOOKUP('Données projet'!$B$12,Paramètres!$A$1:$I$89,3,0)*0.475*44/12</f>
        <v>#N/A</v>
      </c>
      <c r="CN64" s="22" t="e">
        <f t="shared" si="12"/>
        <v>#N/A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25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55.130400000000051</v>
      </c>
      <c r="D65" s="11">
        <f t="shared" si="32"/>
        <v>15.931082230000042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10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548.54477510877268</v>
      </c>
      <c r="H65" s="67">
        <f t="shared" si="1"/>
        <v>417.09874821725015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12.1</v>
      </c>
      <c r="N65" s="13">
        <f>IF('Données projet'!$A$36&gt;35,N64+M65-V64,IF(A65&lt;'Données projet'!$A$36,$K$205^A65,IF(A65='Données projet'!$A$36,'Données projet'!$B$36,N64+M65-V64)))</f>
        <v>453.19999999999982</v>
      </c>
      <c r="O65" s="13">
        <f>N65*VLOOKUP('Données projet'!$B$9,Paramètres!$A$1:$I$89,3,0)*VLOOKUP('Données projet'!$B$9,Paramètres!$A$1:$I$89,5,0)</f>
        <v>253.33879999999991</v>
      </c>
      <c r="P65" s="13">
        <f t="shared" si="33"/>
        <v>61.300341649722661</v>
      </c>
      <c r="Q65" s="20">
        <f t="shared" si="53"/>
        <v>547.99650503993337</v>
      </c>
      <c r="R65" s="59">
        <f t="shared" si="0"/>
        <v>841.32983837326674</v>
      </c>
      <c r="S65" s="59">
        <f ca="1">AVERAGE(OFFSET($R$3,0,0,'Données projet'!$E$9+1,1))-AVERAGE(OFFSET($H$3,0,0,'Données projet'!$E$9+1,1))</f>
        <v>279.98352834501759</v>
      </c>
      <c r="T65" s="59">
        <f t="shared" si="34"/>
        <v>281.30062655265488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2.1208087420393782</v>
      </c>
      <c r="AA65" s="21">
        <f>EXP(-LN(2)/25)*AA64+(1-EXP(-LN(2)/25))/(LN(2)/25)*Calculateur!V65*Calculateur!X65*VLOOKUP('Données projet'!$B$9,Paramètres!$A$1:$I$89,3,0)*0.475*44/12</f>
        <v>9.9765480300951754</v>
      </c>
      <c r="AB65" s="21">
        <f>EXP(-LN(2)/2)*AB64+(1-EXP(-LN(2)/2))/(LN(2)/2)*V65*Y65*VLOOKUP('Données projet'!$B$9,Paramètres!$A$1:$I$89,3,0)*0.475*44/12</f>
        <v>4.3208527184775879E-4</v>
      </c>
      <c r="AC65" s="22">
        <f t="shared" si="3"/>
        <v>12.097788857406401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7</v>
      </c>
      <c r="AI65" s="13">
        <f>IF('Données projet'!$A$62&gt;35,AI64+AH65-AQ64,IF(A65&lt;'Données projet'!$A$62,$AF$205^A65,IF(A65='Données projet'!$A$62,'Données projet'!$B$62,AI64+AH65-AQ64)))</f>
        <v>207.00000000000017</v>
      </c>
      <c r="AJ65" s="13">
        <f>AI65*VLOOKUP('Données projet'!$B$10,Paramètres!$A$1:$I$89,3,0)*VLOOKUP('Données projet'!$B$10,Paramètres!$A$1:$I$89,5,0)</f>
        <v>209.8980000000002</v>
      </c>
      <c r="AK65" s="13">
        <f t="shared" si="35"/>
        <v>51.913295501810261</v>
      </c>
      <c r="AL65" s="20">
        <f t="shared" si="4"/>
        <v>455.9880063323198</v>
      </c>
      <c r="AM65" s="59">
        <f t="shared" si="5"/>
        <v>749.32133966565311</v>
      </c>
      <c r="AN65" s="59">
        <f ca="1">AVERAGE(OFFSET($AM$3,0,0,'Données projet'!$E$10+1,1))-AVERAGE(OFFSET($H$3,0,0,'Données projet'!$E$10+1,1))</f>
        <v>279.20364724206644</v>
      </c>
      <c r="AO65" s="59">
        <f t="shared" si="36"/>
        <v>173.99850582760712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0</v>
      </c>
      <c r="AV65" s="21">
        <f>EXP(-LN(2)/25)*AV64+(1-EXP(-LN(2)/25))/(LN(2)/25)*Calculateur!AQ65*Calculateur!AS65*VLOOKUP('Données projet'!$B$10,Paramètres!$A$1:$I$89,3,0)*0.475*44/12</f>
        <v>1.4333748330890075</v>
      </c>
      <c r="AW65" s="21">
        <f>EXP(-LN(2)/2)*AW64+(1-EXP(-LN(2)/2))/(LN(2)/2)*AQ65*AT65*VLOOKUP('Données projet'!$B$10,Paramètres!$A$1:$I$89,3,0)*0.475*44/12</f>
        <v>1.058401201281969E-4</v>
      </c>
      <c r="AX65" s="21">
        <f t="shared" si="6"/>
        <v>1.4334806732091356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15.5</v>
      </c>
      <c r="BD65" s="12">
        <f>IF('Données projet'!$A$88&gt;35,BD64+BC65-BL64,IF(A65&lt;'Données projet'!$A$88,$BA$205^A65,IF(A65='Données projet'!$A$88,'Données projet'!$B$88,BD64+BC65-BL64)))</f>
        <v>322.39999999999986</v>
      </c>
      <c r="BE65" s="13">
        <f>BD65*VLOOKUP('Données projet'!$B$11,Paramètres!$A$1:$I$89,3,0)*VLOOKUP('Données projet'!$B$11,Paramètres!$A$1:$I$89,5,0)</f>
        <v>150.88319999999993</v>
      </c>
      <c r="BF65" s="13">
        <f t="shared" si="37"/>
        <v>38.779227360583164</v>
      </c>
      <c r="BG65" s="20">
        <f t="shared" si="7"/>
        <v>330.32872765301551</v>
      </c>
      <c r="BH65" s="59">
        <f t="shared" si="8"/>
        <v>623.66206098634882</v>
      </c>
      <c r="BI65" s="59">
        <f ca="1">AVERAGE(OFFSET($BH$3,0,0,'Données projet'!$E$11+1,1))-AVERAGE(OFFSET($H$3,0,0,'Données projet'!$E$11+1,1))</f>
        <v>215.23235148064941</v>
      </c>
      <c r="BJ65" s="59">
        <f t="shared" si="38"/>
        <v>184.07239726900434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1.6632294092766344</v>
      </c>
      <c r="BQ65" s="21">
        <f>EXP(-LN(2)/25)*BQ64+(1-EXP(-LN(2)/25))/(LN(2)/25)*Calculateur!BL65*Calculateur!BN65*VLOOKUP('Données projet'!$B$11,Paramètres!$A$1:$I$89,3,0)*0.475*44/12</f>
        <v>3.2348449392072207</v>
      </c>
      <c r="BR65" s="21">
        <f>EXP(-LN(2)/2)*BR64+(1-EXP(-LN(2)/2))/(LN(2)/2)*BL65*BO65*VLOOKUP('Données projet'!$B$11,Paramètres!$A$1:$I$89,3,0)*0.475*44/12</f>
        <v>1.5002710693811023E-4</v>
      </c>
      <c r="BS65" s="22">
        <f t="shared" si="9"/>
        <v>4.898224375590793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 t="e">
        <f>BY65*VLOOKUP('Données projet'!$B$12,Paramètres!$A$1:$I$89,3,0)*VLOOKUP('Données projet'!$B$12,Paramètres!$A$1:$I$89,5,0)</f>
        <v>#N/A</v>
      </c>
      <c r="CA65" s="13" t="e">
        <f t="shared" si="39"/>
        <v>#N/A</v>
      </c>
      <c r="CB65" s="20" t="e">
        <f t="shared" si="10"/>
        <v>#N/A</v>
      </c>
      <c r="CC65" s="59" t="e">
        <f t="shared" si="11"/>
        <v>#N/A</v>
      </c>
      <c r="CD65" s="59" t="e">
        <f ca="1">AVERAGE(OFFSET($CC$3,0,0,'Données projet'!$E$12+1,1))-AVERAGE(OFFSET($H$3,0,0,'Données projet'!$E$12+1,1))</f>
        <v>#N/A</v>
      </c>
      <c r="CE65" s="59" t="e">
        <f t="shared" si="40"/>
        <v>#N/A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 t="e">
        <f>EXP(-LN(2)/35)*CK64+(1-EXP(-LN(2)/35))/(LN(2)/35)*CG65*CH65*VLOOKUP('Données projet'!$B$12,Paramètres!$A$1:$I$89,3,0)*0.475*44/12</f>
        <v>#N/A</v>
      </c>
      <c r="CL65" s="21" t="e">
        <f>EXP(-LN(2)/25)*CL64+(1-EXP(-LN(2)/25))/(LN(2)/25)*Calculateur!CG65*Calculateur!CI65*VLOOKUP('Données projet'!$B$12,Paramètres!$A$1:$I$89,3,0)*0.475*44/12</f>
        <v>#N/A</v>
      </c>
      <c r="CM65" s="21" t="e">
        <f>EXP(-LN(2)/2)*CM64+(1-EXP(-LN(2)/2))/(LN(2)/2)*CG65*CJ65*VLOOKUP('Données projet'!$B$12,Paramètres!$A$1:$I$89,3,0)*0.475*44/12</f>
        <v>#N/A</v>
      </c>
      <c r="CN65" s="22" t="e">
        <f t="shared" si="12"/>
        <v>#N/A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25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56.019600000000054</v>
      </c>
      <c r="D66" s="11">
        <f t="shared" si="32"/>
        <v>16.157913987449295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10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557.15975709610018</v>
      </c>
      <c r="H66" s="67">
        <f t="shared" si="1"/>
        <v>419.04250352814091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12.1</v>
      </c>
      <c r="N66" s="13">
        <f>IF('Données projet'!$A$36&gt;35,N65+M66-V65,IF(A66&lt;'Données projet'!$A$36,$K$205^A66,IF(A66='Données projet'!$A$36,'Données projet'!$B$36,N65+M66-V65)))</f>
        <v>465.29999999999984</v>
      </c>
      <c r="O66" s="13">
        <f>N66*VLOOKUP('Données projet'!$B$9,Paramètres!$A$1:$I$89,3,0)*VLOOKUP('Données projet'!$B$9,Paramètres!$A$1:$I$89,5,0)</f>
        <v>260.10269999999991</v>
      </c>
      <c r="P66" s="13">
        <f t="shared" si="33"/>
        <v>62.744268942772209</v>
      </c>
      <c r="Q66" s="20">
        <f t="shared" si="53"/>
        <v>562.29180424199478</v>
      </c>
      <c r="R66" s="59">
        <f t="shared" si="0"/>
        <v>855.62513757532815</v>
      </c>
      <c r="S66" s="59">
        <f ca="1">AVERAGE(OFFSET($R$3,0,0,'Données projet'!$E$9+1,1))-AVERAGE(OFFSET($H$3,0,0,'Données projet'!$E$9+1,1))</f>
        <v>279.98352834501759</v>
      </c>
      <c r="T66" s="59">
        <f t="shared" si="34"/>
        <v>281.30062655265488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2.0792209761735898</v>
      </c>
      <c r="AA66" s="21">
        <f>EXP(-LN(2)/25)*AA65+(1-EXP(-LN(2)/25))/(LN(2)/25)*Calculateur!V66*Calculateur!X66*VLOOKUP('Données projet'!$B$9,Paramètres!$A$1:$I$89,3,0)*0.475*44/12</f>
        <v>9.703738799568363</v>
      </c>
      <c r="AB66" s="21">
        <f>EXP(-LN(2)/2)*AB65+(1-EXP(-LN(2)/2))/(LN(2)/2)*V66*Y66*VLOOKUP('Données projet'!$B$9,Paramètres!$A$1:$I$89,3,0)*0.475*44/12</f>
        <v>3.0553042577438307E-4</v>
      </c>
      <c r="AC66" s="22">
        <f t="shared" si="3"/>
        <v>11.783265306167726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7</v>
      </c>
      <c r="AI66" s="13">
        <f>IF('Données projet'!$A$62&gt;35,AI65+AH66-AQ65,IF(A66&lt;'Données projet'!$A$62,$AF$205^A66,IF(A66='Données projet'!$A$62,'Données projet'!$B$62,AI65+AH66-AQ65)))</f>
        <v>214.00000000000017</v>
      </c>
      <c r="AJ66" s="13">
        <f>AI66*VLOOKUP('Données projet'!$B$10,Paramètres!$A$1:$I$89,3,0)*VLOOKUP('Données projet'!$B$10,Paramètres!$A$1:$I$89,5,0)</f>
        <v>216.99600000000018</v>
      </c>
      <c r="AK66" s="13">
        <f t="shared" si="35"/>
        <v>53.461459647386967</v>
      </c>
      <c r="AL66" s="20">
        <f t="shared" si="4"/>
        <v>471.0467422191993</v>
      </c>
      <c r="AM66" s="59">
        <f t="shared" si="5"/>
        <v>764.38007555253262</v>
      </c>
      <c r="AN66" s="59">
        <f ca="1">AVERAGE(OFFSET($AM$3,0,0,'Données projet'!$E$10+1,1))-AVERAGE(OFFSET($H$3,0,0,'Données projet'!$E$10+1,1))</f>
        <v>279.20364724206644</v>
      </c>
      <c r="AO66" s="59">
        <f t="shared" si="36"/>
        <v>173.99850582760712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0</v>
      </c>
      <c r="AV66" s="21">
        <f>EXP(-LN(2)/25)*AV65+(1-EXP(-LN(2)/25))/(LN(2)/25)*Calculateur!AQ66*Calculateur!AS66*VLOOKUP('Données projet'!$B$10,Paramètres!$A$1:$I$89,3,0)*0.475*44/12</f>
        <v>1.3941791229002822</v>
      </c>
      <c r="AW66" s="21">
        <f>EXP(-LN(2)/2)*AW65+(1-EXP(-LN(2)/2))/(LN(2)/2)*AQ66*AT66*VLOOKUP('Données projet'!$B$10,Paramètres!$A$1:$I$89,3,0)*0.475*44/12</f>
        <v>7.4840266664246831E-5</v>
      </c>
      <c r="AX66" s="21">
        <f t="shared" si="6"/>
        <v>1.3942539631669464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15.5</v>
      </c>
      <c r="BD66" s="12">
        <f>IF('Données projet'!$A$88&gt;35,BD65+BC66-BL65,IF(A66&lt;'Données projet'!$A$88,$BA$205^A66,IF(A66='Données projet'!$A$88,'Données projet'!$B$88,BD65+BC66-BL65)))</f>
        <v>337.89999999999986</v>
      </c>
      <c r="BE66" s="13">
        <f>BD66*VLOOKUP('Données projet'!$B$11,Paramètres!$A$1:$I$89,3,0)*VLOOKUP('Données projet'!$B$11,Paramètres!$A$1:$I$89,5,0)</f>
        <v>158.13719999999995</v>
      </c>
      <c r="BF66" s="13">
        <f t="shared" si="37"/>
        <v>40.422069728367696</v>
      </c>
      <c r="BG66" s="20">
        <f t="shared" si="7"/>
        <v>345.82406144357361</v>
      </c>
      <c r="BH66" s="59">
        <f t="shared" si="8"/>
        <v>639.15739477690693</v>
      </c>
      <c r="BI66" s="59">
        <f ca="1">AVERAGE(OFFSET($BH$3,0,0,'Données projet'!$E$11+1,1))-AVERAGE(OFFSET($H$3,0,0,'Données projet'!$E$11+1,1))</f>
        <v>215.23235148064941</v>
      </c>
      <c r="BJ66" s="59">
        <f t="shared" si="38"/>
        <v>184.07239726900434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1.6306144950304886</v>
      </c>
      <c r="BQ66" s="21">
        <f>EXP(-LN(2)/25)*BQ65+(1-EXP(-LN(2)/25))/(LN(2)/25)*Calculateur!BL66*Calculateur!BN66*VLOOKUP('Données projet'!$B$11,Paramètres!$A$1:$I$89,3,0)*0.475*44/12</f>
        <v>3.1463879342314973</v>
      </c>
      <c r="BR66" s="21">
        <f>EXP(-LN(2)/2)*BR65+(1-EXP(-LN(2)/2))/(LN(2)/2)*BL66*BO66*VLOOKUP('Données projet'!$B$11,Paramètres!$A$1:$I$89,3,0)*0.475*44/12</f>
        <v>1.0608518467773708E-4</v>
      </c>
      <c r="BS66" s="22">
        <f t="shared" si="9"/>
        <v>4.7771085144466632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 t="e">
        <f>BY66*VLOOKUP('Données projet'!$B$12,Paramètres!$A$1:$I$89,3,0)*VLOOKUP('Données projet'!$B$12,Paramètres!$A$1:$I$89,5,0)</f>
        <v>#N/A</v>
      </c>
      <c r="CA66" s="13" t="e">
        <f t="shared" si="39"/>
        <v>#N/A</v>
      </c>
      <c r="CB66" s="20" t="e">
        <f t="shared" si="10"/>
        <v>#N/A</v>
      </c>
      <c r="CC66" s="59" t="e">
        <f t="shared" si="11"/>
        <v>#N/A</v>
      </c>
      <c r="CD66" s="59" t="e">
        <f ca="1">AVERAGE(OFFSET($CC$3,0,0,'Données projet'!$E$12+1,1))-AVERAGE(OFFSET($H$3,0,0,'Données projet'!$E$12+1,1))</f>
        <v>#N/A</v>
      </c>
      <c r="CE66" s="59" t="e">
        <f t="shared" si="40"/>
        <v>#N/A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 t="e">
        <f>EXP(-LN(2)/35)*CK65+(1-EXP(-LN(2)/35))/(LN(2)/35)*CG66*CH66*VLOOKUP('Données projet'!$B$12,Paramètres!$A$1:$I$89,3,0)*0.475*44/12</f>
        <v>#N/A</v>
      </c>
      <c r="CL66" s="21" t="e">
        <f>EXP(-LN(2)/25)*CL65+(1-EXP(-LN(2)/25))/(LN(2)/25)*Calculateur!CG66*Calculateur!CI66*VLOOKUP('Données projet'!$B$12,Paramètres!$A$1:$I$89,3,0)*0.475*44/12</f>
        <v>#N/A</v>
      </c>
      <c r="CM66" s="21" t="e">
        <f>EXP(-LN(2)/2)*CM65+(1-EXP(-LN(2)/2))/(LN(2)/2)*CG66*CJ66*VLOOKUP('Données projet'!$B$12,Paramètres!$A$1:$I$89,3,0)*0.475*44/12</f>
        <v>#N/A</v>
      </c>
      <c r="CN66" s="22" t="e">
        <f t="shared" si="12"/>
        <v>#N/A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25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56.908800000000056</v>
      </c>
      <c r="D67" s="11">
        <f t="shared" si="32"/>
        <v>16.384327014561212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10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565.77150677906945</v>
      </c>
      <c r="H67" s="67">
        <f t="shared" si="1"/>
        <v>420.98552955036087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12.1</v>
      </c>
      <c r="N67" s="13">
        <f>IF('Données projet'!$A$36&gt;35,N66+M67-V66,IF(A67&lt;'Données projet'!$A$36,$K$205^A67,IF(A67='Données projet'!$A$36,'Données projet'!$B$36,N66+M67-V66)))</f>
        <v>477.39999999999986</v>
      </c>
      <c r="O67" s="13">
        <f>N67*VLOOKUP('Données projet'!$B$9,Paramètres!$A$1:$I$89,3,0)*VLOOKUP('Données projet'!$B$9,Paramètres!$A$1:$I$89,5,0)</f>
        <v>266.86659999999989</v>
      </c>
      <c r="P67" s="13">
        <f t="shared" si="33"/>
        <v>64.18383162800842</v>
      </c>
      <c r="Q67" s="20">
        <f t="shared" ref="Q67:Q98" si="54">(O67+P67)*0.475*44/12</f>
        <v>576.57950175211442</v>
      </c>
      <c r="R67" s="59">
        <f t="shared" ref="R67:R130" si="55">Q67+(I67+J67)*44/12</f>
        <v>869.9128350854478</v>
      </c>
      <c r="S67" s="59">
        <f ca="1">AVERAGE(OFFSET($R$3,0,0,'Données projet'!$E$9+1,1))-AVERAGE(OFFSET($H$3,0,0,'Données projet'!$E$9+1,1))</f>
        <v>279.98352834501759</v>
      </c>
      <c r="T67" s="59">
        <f t="shared" si="34"/>
        <v>281.30062655265488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2.038448721030397</v>
      </c>
      <c r="AA67" s="21">
        <f>EXP(-LN(2)/25)*AA66+(1-EXP(-LN(2)/25))/(LN(2)/25)*Calculateur!V67*Calculateur!X67*VLOOKUP('Données projet'!$B$9,Paramètres!$A$1:$I$89,3,0)*0.475*44/12</f>
        <v>9.4383895517967211</v>
      </c>
      <c r="AB67" s="21">
        <f>EXP(-LN(2)/2)*AB66+(1-EXP(-LN(2)/2))/(LN(2)/2)*V67*Y67*VLOOKUP('Données projet'!$B$9,Paramètres!$A$1:$I$89,3,0)*0.475*44/12</f>
        <v>2.1604263592387939E-4</v>
      </c>
      <c r="AC67" s="22">
        <f t="shared" si="3"/>
        <v>11.477054315463041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7</v>
      </c>
      <c r="AI67" s="13">
        <f>IF('Données projet'!$A$62&gt;35,AI66+AH67-AQ66,IF(A67&lt;'Données projet'!$A$62,$AF$205^A67,IF(A67='Données projet'!$A$62,'Données projet'!$B$62,AI66+AH67-AQ66)))</f>
        <v>221.00000000000017</v>
      </c>
      <c r="AJ67" s="13">
        <f>AI67*VLOOKUP('Données projet'!$B$10,Paramètres!$A$1:$I$89,3,0)*VLOOKUP('Données projet'!$B$10,Paramètres!$A$1:$I$89,5,0)</f>
        <v>224.09400000000019</v>
      </c>
      <c r="AK67" s="13">
        <f t="shared" si="35"/>
        <v>55.003739293082717</v>
      </c>
      <c r="AL67" s="20">
        <f t="shared" si="4"/>
        <v>486.095229268786</v>
      </c>
      <c r="AM67" s="59">
        <f t="shared" si="5"/>
        <v>779.42856260211931</v>
      </c>
      <c r="AN67" s="59">
        <f ca="1">AVERAGE(OFFSET($AM$3,0,0,'Données projet'!$E$10+1,1))-AVERAGE(OFFSET($H$3,0,0,'Données projet'!$E$10+1,1))</f>
        <v>279.20364724206644</v>
      </c>
      <c r="AO67" s="59">
        <f t="shared" si="36"/>
        <v>173.99850582760712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0</v>
      </c>
      <c r="AV67" s="21">
        <f>EXP(-LN(2)/25)*AV66+(1-EXP(-LN(2)/25))/(LN(2)/25)*Calculateur!AQ67*Calculateur!AS67*VLOOKUP('Données projet'!$B$10,Paramètres!$A$1:$I$89,3,0)*0.475*44/12</f>
        <v>1.3560552214678805</v>
      </c>
      <c r="AW67" s="21">
        <f>EXP(-LN(2)/2)*AW66+(1-EXP(-LN(2)/2))/(LN(2)/2)*AQ67*AT67*VLOOKUP('Données projet'!$B$10,Paramètres!$A$1:$I$89,3,0)*0.475*44/12</f>
        <v>5.2920060064098452E-5</v>
      </c>
      <c r="AX67" s="21">
        <f t="shared" si="6"/>
        <v>1.3561081415279446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15.5</v>
      </c>
      <c r="BD67" s="12">
        <f>IF('Données projet'!$A$88&gt;35,BD66+BC67-BL66,IF(A67&lt;'Données projet'!$A$88,$BA$205^A67,IF(A67='Données projet'!$A$88,'Données projet'!$B$88,BD66+BC67-BL66)))</f>
        <v>353.39999999999986</v>
      </c>
      <c r="BE67" s="13">
        <f>BD67*VLOOKUP('Données projet'!$B$11,Paramètres!$A$1:$I$89,3,0)*VLOOKUP('Données projet'!$B$11,Paramètres!$A$1:$I$89,5,0)</f>
        <v>165.39119999999994</v>
      </c>
      <c r="BF67" s="13">
        <f t="shared" si="37"/>
        <v>42.056160358234834</v>
      </c>
      <c r="BG67" s="20">
        <f t="shared" si="7"/>
        <v>361.30415262392557</v>
      </c>
      <c r="BH67" s="59">
        <f t="shared" si="8"/>
        <v>654.63748595725883</v>
      </c>
      <c r="BI67" s="59">
        <f ca="1">AVERAGE(OFFSET($BH$3,0,0,'Données projet'!$E$11+1,1))-AVERAGE(OFFSET($H$3,0,0,'Données projet'!$E$11+1,1))</f>
        <v>215.23235148064941</v>
      </c>
      <c r="BJ67" s="59">
        <f t="shared" si="38"/>
        <v>184.07239726900434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1.5986391393595765</v>
      </c>
      <c r="BQ67" s="21">
        <f>EXP(-LN(2)/25)*BQ66+(1-EXP(-LN(2)/25))/(LN(2)/25)*Calculateur!BL67*Calculateur!BN67*VLOOKUP('Données projet'!$B$11,Paramètres!$A$1:$I$89,3,0)*0.475*44/12</f>
        <v>3.0603497907085866</v>
      </c>
      <c r="BR67" s="21">
        <f>EXP(-LN(2)/2)*BR66+(1-EXP(-LN(2)/2))/(LN(2)/2)*BL67*BO67*VLOOKUP('Données projet'!$B$11,Paramètres!$A$1:$I$89,3,0)*0.475*44/12</f>
        <v>7.5013553469055114E-5</v>
      </c>
      <c r="BS67" s="22">
        <f t="shared" si="9"/>
        <v>4.6590639436216321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 t="e">
        <f>BY67*VLOOKUP('Données projet'!$B$12,Paramètres!$A$1:$I$89,3,0)*VLOOKUP('Données projet'!$B$12,Paramètres!$A$1:$I$89,5,0)</f>
        <v>#N/A</v>
      </c>
      <c r="CA67" s="13" t="e">
        <f t="shared" si="39"/>
        <v>#N/A</v>
      </c>
      <c r="CB67" s="20" t="e">
        <f t="shared" si="10"/>
        <v>#N/A</v>
      </c>
      <c r="CC67" s="59" t="e">
        <f t="shared" si="11"/>
        <v>#N/A</v>
      </c>
      <c r="CD67" s="59" t="e">
        <f ca="1">AVERAGE(OFFSET($CC$3,0,0,'Données projet'!$E$12+1,1))-AVERAGE(OFFSET($H$3,0,0,'Données projet'!$E$12+1,1))</f>
        <v>#N/A</v>
      </c>
      <c r="CE67" s="59" t="e">
        <f t="shared" si="40"/>
        <v>#N/A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 t="e">
        <f>EXP(-LN(2)/35)*CK66+(1-EXP(-LN(2)/35))/(LN(2)/35)*CG67*CH67*VLOOKUP('Données projet'!$B$12,Paramètres!$A$1:$I$89,3,0)*0.475*44/12</f>
        <v>#N/A</v>
      </c>
      <c r="CL67" s="21" t="e">
        <f>EXP(-LN(2)/25)*CL66+(1-EXP(-LN(2)/25))/(LN(2)/25)*Calculateur!CG67*Calculateur!CI67*VLOOKUP('Données projet'!$B$12,Paramètres!$A$1:$I$89,3,0)*0.475*44/12</f>
        <v>#N/A</v>
      </c>
      <c r="CM67" s="21" t="e">
        <f>EXP(-LN(2)/2)*CM66+(1-EXP(-LN(2)/2))/(LN(2)/2)*CG67*CJ67*VLOOKUP('Données projet'!$B$12,Paramètres!$A$1:$I$89,3,0)*0.475*44/12</f>
        <v>#N/A</v>
      </c>
      <c r="CN67" s="22" t="e">
        <f t="shared" si="12"/>
        <v>#N/A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25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57.798000000000059</v>
      </c>
      <c r="D68" s="11">
        <f t="shared" si="32"/>
        <v>16.610328609523005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10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574.38008049456403</v>
      </c>
      <c r="H68" s="67">
        <f t="shared" ref="H68:H131" si="56">(B68+E68+F68)*44/12+(C68+D68)*0.475*44/12</f>
        <v>422.92783899491928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12.1</v>
      </c>
      <c r="N68" s="13">
        <f>IF('Données projet'!$A$36&gt;35,N67+M68-V67,IF(A68&lt;'Données projet'!$A$36,$K$205^A68,IF(A68='Données projet'!$A$36,'Données projet'!$B$36,N67+M68-V67)))</f>
        <v>489.49999999999989</v>
      </c>
      <c r="O68" s="13">
        <f>N68*VLOOKUP('Données projet'!$B$9,Paramètres!$A$1:$I$89,3,0)*VLOOKUP('Données projet'!$B$9,Paramètres!$A$1:$I$89,5,0)</f>
        <v>273.63049999999993</v>
      </c>
      <c r="P68" s="13">
        <f t="shared" si="33"/>
        <v>65.619153050453022</v>
      </c>
      <c r="Q68" s="20">
        <f t="shared" si="54"/>
        <v>590.85981239620548</v>
      </c>
      <c r="R68" s="59">
        <f t="shared" si="55"/>
        <v>884.19314572953886</v>
      </c>
      <c r="S68" s="59">
        <f ca="1">AVERAGE(OFFSET($R$3,0,0,'Données projet'!$E$9+1,1))-AVERAGE(OFFSET($H$3,0,0,'Données projet'!$E$9+1,1))</f>
        <v>279.98352834501759</v>
      </c>
      <c r="T68" s="59">
        <f t="shared" si="34"/>
        <v>281.30062655265488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1.998475984941942</v>
      </c>
      <c r="AA68" s="21">
        <f>EXP(-LN(2)/25)*AA67+(1-EXP(-LN(2)/25))/(LN(2)/25)*Calculateur!V68*Calculateur!X68*VLOOKUP('Données projet'!$B$9,Paramètres!$A$1:$I$89,3,0)*0.475*44/12</f>
        <v>9.1802962931595058</v>
      </c>
      <c r="AB68" s="21">
        <f>EXP(-LN(2)/2)*AB67+(1-EXP(-LN(2)/2))/(LN(2)/2)*V68*Y68*VLOOKUP('Données projet'!$B$9,Paramètres!$A$1:$I$89,3,0)*0.475*44/12</f>
        <v>1.5276521288719154E-4</v>
      </c>
      <c r="AC68" s="22">
        <f t="shared" ref="AC68:AC131" si="57">SUM(Z68:AB68)</f>
        <v>11.178925043314335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7</v>
      </c>
      <c r="AI68" s="13">
        <f>IF('Données projet'!$A$62&gt;35,AI67+AH68-AQ67,IF(A68&lt;'Données projet'!$A$62,$AF$205^A68,IF(A68='Données projet'!$A$62,'Données projet'!$B$62,AI67+AH68-AQ67)))</f>
        <v>228.00000000000017</v>
      </c>
      <c r="AJ68" s="13">
        <f>AI68*VLOOKUP('Données projet'!$B$10,Paramètres!$A$1:$I$89,3,0)*VLOOKUP('Données projet'!$B$10,Paramètres!$A$1:$I$89,5,0)</f>
        <v>231.19200000000018</v>
      </c>
      <c r="AK68" s="13">
        <f t="shared" si="35"/>
        <v>56.540342208595277</v>
      </c>
      <c r="AL68" s="20">
        <f t="shared" ref="AL68:AL131" si="58">(AJ68+AK68)*0.475*44/12</f>
        <v>501.13382934663713</v>
      </c>
      <c r="AM68" s="59">
        <f t="shared" ref="AM68:AM131" si="59">AL68+(AD68+AE68)*44/12</f>
        <v>794.46716267997044</v>
      </c>
      <c r="AN68" s="59">
        <f ca="1">AVERAGE(OFFSET($AM$3,0,0,'Données projet'!$E$10+1,1))-AVERAGE(OFFSET($H$3,0,0,'Données projet'!$E$10+1,1))</f>
        <v>279.20364724206644</v>
      </c>
      <c r="AO68" s="59">
        <f t="shared" si="36"/>
        <v>173.99850582760712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0</v>
      </c>
      <c r="AV68" s="21">
        <f>EXP(-LN(2)/25)*AV67+(1-EXP(-LN(2)/25))/(LN(2)/25)*Calculateur!AQ68*Calculateur!AS68*VLOOKUP('Données projet'!$B$10,Paramètres!$A$1:$I$89,3,0)*0.475*44/12</f>
        <v>1.3189738201249965</v>
      </c>
      <c r="AW68" s="21">
        <f>EXP(-LN(2)/2)*AW67+(1-EXP(-LN(2)/2))/(LN(2)/2)*AQ68*AT68*VLOOKUP('Données projet'!$B$10,Paramètres!$A$1:$I$89,3,0)*0.475*44/12</f>
        <v>3.7420133332123416E-5</v>
      </c>
      <c r="AX68" s="21">
        <f t="shared" ref="AX68:AX131" si="60">SUM(AU68:AW68)</f>
        <v>1.3190112402583287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15.5</v>
      </c>
      <c r="BD68" s="12">
        <f>IF('Données projet'!$A$88&gt;35,BD67+BC68-BL67,IF(A68&lt;'Données projet'!$A$88,$BA$205^A68,IF(A68='Données projet'!$A$88,'Données projet'!$B$88,BD67+BC68-BL67)))</f>
        <v>368.89999999999986</v>
      </c>
      <c r="BE68" s="13">
        <f>BD68*VLOOKUP('Données projet'!$B$11,Paramètres!$A$1:$I$89,3,0)*VLOOKUP('Données projet'!$B$11,Paramètres!$A$1:$I$89,5,0)</f>
        <v>172.64519999999993</v>
      </c>
      <c r="BF68" s="13">
        <f t="shared" si="37"/>
        <v>43.681926966241704</v>
      </c>
      <c r="BG68" s="20">
        <f t="shared" ref="BG68:BG131" si="61">(BE68+BF68)*0.475*44/12</f>
        <v>376.76974613287081</v>
      </c>
      <c r="BH68" s="59">
        <f t="shared" ref="BH68:BH131" si="62">BG68+(AY68+AZ68)*44/12</f>
        <v>670.10307946620412</v>
      </c>
      <c r="BI68" s="59">
        <f ca="1">AVERAGE(OFFSET($BH$3,0,0,'Données projet'!$E$11+1,1))-AVERAGE(OFFSET($H$3,0,0,'Données projet'!$E$11+1,1))</f>
        <v>215.23235148064941</v>
      </c>
      <c r="BJ68" s="59">
        <f t="shared" si="38"/>
        <v>184.07239726900434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1.5672908009103297</v>
      </c>
      <c r="BQ68" s="21">
        <f>EXP(-LN(2)/25)*BQ67+(1-EXP(-LN(2)/25))/(LN(2)/25)*Calculateur!BL68*Calculateur!BN68*VLOOKUP('Données projet'!$B$11,Paramètres!$A$1:$I$89,3,0)*0.475*44/12</f>
        <v>2.9766643647448592</v>
      </c>
      <c r="BR68" s="21">
        <f>EXP(-LN(2)/2)*BR67+(1-EXP(-LN(2)/2))/(LN(2)/2)*BL68*BO68*VLOOKUP('Données projet'!$B$11,Paramètres!$A$1:$I$89,3,0)*0.475*44/12</f>
        <v>5.3042592338868538E-5</v>
      </c>
      <c r="BS68" s="22">
        <f t="shared" ref="BS68:BS131" si="63">SUM(BP68:BR68)</f>
        <v>4.5440082082475275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 t="e">
        <f>BY68*VLOOKUP('Données projet'!$B$12,Paramètres!$A$1:$I$89,3,0)*VLOOKUP('Données projet'!$B$12,Paramètres!$A$1:$I$89,5,0)</f>
        <v>#N/A</v>
      </c>
      <c r="CA68" s="13" t="e">
        <f t="shared" si="39"/>
        <v>#N/A</v>
      </c>
      <c r="CB68" s="20" t="e">
        <f t="shared" ref="CB68:CB131" si="64">(BZ68+CA68)*0.475*44/12</f>
        <v>#N/A</v>
      </c>
      <c r="CC68" s="59" t="e">
        <f t="shared" ref="CC68:CC131" si="65">CB68+(BT68+BU68)*44/12</f>
        <v>#N/A</v>
      </c>
      <c r="CD68" s="59" t="e">
        <f ca="1">AVERAGE(OFFSET($CC$3,0,0,'Données projet'!$E$12+1,1))-AVERAGE(OFFSET($H$3,0,0,'Données projet'!$E$12+1,1))</f>
        <v>#N/A</v>
      </c>
      <c r="CE68" s="59" t="e">
        <f t="shared" si="40"/>
        <v>#N/A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 t="e">
        <f>EXP(-LN(2)/35)*CK67+(1-EXP(-LN(2)/35))/(LN(2)/35)*CG68*CH68*VLOOKUP('Données projet'!$B$12,Paramètres!$A$1:$I$89,3,0)*0.475*44/12</f>
        <v>#N/A</v>
      </c>
      <c r="CL68" s="21" t="e">
        <f>EXP(-LN(2)/25)*CL67+(1-EXP(-LN(2)/25))/(LN(2)/25)*Calculateur!CG68*Calculateur!CI68*VLOOKUP('Données projet'!$B$12,Paramètres!$A$1:$I$89,3,0)*0.475*44/12</f>
        <v>#N/A</v>
      </c>
      <c r="CM68" s="21" t="e">
        <f>EXP(-LN(2)/2)*CM67+(1-EXP(-LN(2)/2))/(LN(2)/2)*CG68*CJ68*VLOOKUP('Données projet'!$B$12,Paramètres!$A$1:$I$89,3,0)*0.475*44/12</f>
        <v>#N/A</v>
      </c>
      <c r="CN68" s="22" t="e">
        <f t="shared" ref="CN68:CN131" si="66">SUM(CK68:CM68)</f>
        <v>#N/A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25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58.687200000000061</v>
      </c>
      <c r="D69" s="11">
        <f t="shared" ref="D69:D132" si="86">IFERROR(EXP(-1.0587+0.8836*LN(C69)+0.284),0)</f>
        <v>16.835925833077553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10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582.98553274656399</v>
      </c>
      <c r="H69" s="67">
        <f t="shared" si="56"/>
        <v>424.86944415927678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12.1</v>
      </c>
      <c r="N69" s="13">
        <f>IF('Données projet'!$A$36&gt;35,N68+M69-V68,IF(A69&lt;'Données projet'!$A$36,$K$205^A69,IF(A69='Données projet'!$A$36,'Données projet'!$B$36,N68+M69-V68)))</f>
        <v>501.59999999999991</v>
      </c>
      <c r="O69" s="13">
        <f>N69*VLOOKUP('Données projet'!$B$9,Paramètres!$A$1:$I$89,3,0)*VLOOKUP('Données projet'!$B$9,Paramètres!$A$1:$I$89,5,0)</f>
        <v>280.39439999999996</v>
      </c>
      <c r="P69" s="13">
        <f t="shared" ref="P69:P132" si="87">EXP(-1.0587+0.8836*LN(O69)+0.284)</f>
        <v>67.050350109566494</v>
      </c>
      <c r="Q69" s="20">
        <f t="shared" si="54"/>
        <v>605.13293977416163</v>
      </c>
      <c r="R69" s="59">
        <f t="shared" si="55"/>
        <v>898.466273107495</v>
      </c>
      <c r="S69" s="59">
        <f ca="1">AVERAGE(OFFSET($R$3,0,0,'Données projet'!$E$9+1,1))-AVERAGE(OFFSET($H$3,0,0,'Données projet'!$E$9+1,1))</f>
        <v>279.98352834501759</v>
      </c>
      <c r="T69" s="59">
        <f t="shared" ref="T69:T132" si="88">$T$3</f>
        <v>281.30062655265488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1.9592870898272201</v>
      </c>
      <c r="AA69" s="21">
        <f>EXP(-LN(2)/25)*AA68+(1-EXP(-LN(2)/25))/(LN(2)/25)*Calculateur!V69*Calculateur!X69*VLOOKUP('Données projet'!$B$9,Paramètres!$A$1:$I$89,3,0)*0.475*44/12</f>
        <v>8.9292606082522585</v>
      </c>
      <c r="AB69" s="21">
        <f>EXP(-LN(2)/2)*AB68+(1-EXP(-LN(2)/2))/(LN(2)/2)*V69*Y69*VLOOKUP('Données projet'!$B$9,Paramètres!$A$1:$I$89,3,0)*0.475*44/12</f>
        <v>1.080213179619397E-4</v>
      </c>
      <c r="AC69" s="22">
        <f t="shared" si="57"/>
        <v>10.888655719397439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7</v>
      </c>
      <c r="AI69" s="13">
        <f>IF('Données projet'!$A$62&gt;35,AI68+AH69-AQ68,IF(A69&lt;'Données projet'!$A$62,$AF$205^A69,IF(A69='Données projet'!$A$62,'Données projet'!$B$62,AI68+AH69-AQ68)))</f>
        <v>235.00000000000017</v>
      </c>
      <c r="AJ69" s="13">
        <f>AI69*VLOOKUP('Données projet'!$B$10,Paramètres!$A$1:$I$89,3,0)*VLOOKUP('Données projet'!$B$10,Paramètres!$A$1:$I$89,5,0)</f>
        <v>238.29000000000019</v>
      </c>
      <c r="AK69" s="13">
        <f t="shared" ref="AK69:AK132" si="89">EXP(-1.0587+0.8836*LN(AJ69)+0.284)</f>
        <v>58.071462681001563</v>
      </c>
      <c r="AL69" s="20">
        <f t="shared" si="58"/>
        <v>516.16288083607799</v>
      </c>
      <c r="AM69" s="59">
        <f t="shared" si="59"/>
        <v>809.49621416941136</v>
      </c>
      <c r="AN69" s="59">
        <f ca="1">AVERAGE(OFFSET($AM$3,0,0,'Données projet'!$E$10+1,1))-AVERAGE(OFFSET($H$3,0,0,'Données projet'!$E$10+1,1))</f>
        <v>279.20364724206644</v>
      </c>
      <c r="AO69" s="59">
        <f t="shared" ref="AO69:AO132" si="90">$AO$3</f>
        <v>173.99850582760712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0</v>
      </c>
      <c r="AV69" s="21">
        <f>EXP(-LN(2)/25)*AV68+(1-EXP(-LN(2)/25))/(LN(2)/25)*Calculateur!AQ69*Calculateur!AS69*VLOOKUP('Données projet'!$B$10,Paramètres!$A$1:$I$89,3,0)*0.475*44/12</f>
        <v>1.2829064116518598</v>
      </c>
      <c r="AW69" s="21">
        <f>EXP(-LN(2)/2)*AW68+(1-EXP(-LN(2)/2))/(LN(2)/2)*AQ69*AT69*VLOOKUP('Données projet'!$B$10,Paramètres!$A$1:$I$89,3,0)*0.475*44/12</f>
        <v>2.6460030032049226E-5</v>
      </c>
      <c r="AX69" s="21">
        <f t="shared" si="60"/>
        <v>1.282932871681892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15.5</v>
      </c>
      <c r="BD69" s="12">
        <f>IF('Données projet'!$A$88&gt;35,BD68+BC69-BL68,IF(A69&lt;'Données projet'!$A$88,$BA$205^A69,IF(A69='Données projet'!$A$88,'Données projet'!$B$88,BD68+BC69-BL68)))</f>
        <v>384.39999999999986</v>
      </c>
      <c r="BE69" s="13">
        <f>BD69*VLOOKUP('Données projet'!$B$11,Paramètres!$A$1:$I$89,3,0)*VLOOKUP('Données projet'!$B$11,Paramètres!$A$1:$I$89,5,0)</f>
        <v>179.89919999999995</v>
      </c>
      <c r="BF69" s="13">
        <f t="shared" ref="BF69:BF132" si="91">EXP(-1.0587+0.8836*LN(BE69)+0.284)</f>
        <v>45.299759292628586</v>
      </c>
      <c r="BG69" s="20">
        <f t="shared" si="61"/>
        <v>392.22152076799466</v>
      </c>
      <c r="BH69" s="59">
        <f t="shared" si="62"/>
        <v>685.55485410132792</v>
      </c>
      <c r="BI69" s="59">
        <f ca="1">AVERAGE(OFFSET($BH$3,0,0,'Données projet'!$E$11+1,1))-AVERAGE(OFFSET($H$3,0,0,'Données projet'!$E$11+1,1))</f>
        <v>215.23235148064941</v>
      </c>
      <c r="BJ69" s="59">
        <f t="shared" ref="BJ69:BJ132" si="92">$BJ$3</f>
        <v>184.07239726900434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1.5365571842574741</v>
      </c>
      <c r="BQ69" s="21">
        <f>EXP(-LN(2)/25)*BQ68+(1-EXP(-LN(2)/25))/(LN(2)/25)*Calculateur!BL69*Calculateur!BN69*VLOOKUP('Données projet'!$B$11,Paramètres!$A$1:$I$89,3,0)*0.475*44/12</f>
        <v>2.8952673211549351</v>
      </c>
      <c r="BR69" s="21">
        <f>EXP(-LN(2)/2)*BR68+(1-EXP(-LN(2)/2))/(LN(2)/2)*BL69*BO69*VLOOKUP('Données projet'!$B$11,Paramètres!$A$1:$I$89,3,0)*0.475*44/12</f>
        <v>3.7506776734527557E-5</v>
      </c>
      <c r="BS69" s="22">
        <f t="shared" si="63"/>
        <v>4.4318620121891437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 t="e">
        <f>BY69*VLOOKUP('Données projet'!$B$12,Paramètres!$A$1:$I$89,3,0)*VLOOKUP('Données projet'!$B$12,Paramètres!$A$1:$I$89,5,0)</f>
        <v>#N/A</v>
      </c>
      <c r="CA69" s="13" t="e">
        <f t="shared" ref="CA69:CA132" si="93">EXP(-1.0587+0.8836*LN(BZ69)+0.284)</f>
        <v>#N/A</v>
      </c>
      <c r="CB69" s="20" t="e">
        <f t="shared" si="64"/>
        <v>#N/A</v>
      </c>
      <c r="CC69" s="59" t="e">
        <f t="shared" si="65"/>
        <v>#N/A</v>
      </c>
      <c r="CD69" s="59" t="e">
        <f ca="1">AVERAGE(OFFSET($CC$3,0,0,'Données projet'!$E$12+1,1))-AVERAGE(OFFSET($H$3,0,0,'Données projet'!$E$12+1,1))</f>
        <v>#N/A</v>
      </c>
      <c r="CE69" s="59" t="e">
        <f t="shared" ref="CE69:CE132" si="94">$CE$3</f>
        <v>#N/A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 t="e">
        <f>EXP(-LN(2)/35)*CK68+(1-EXP(-LN(2)/35))/(LN(2)/35)*CG69*CH69*VLOOKUP('Données projet'!$B$12,Paramètres!$A$1:$I$89,3,0)*0.475*44/12</f>
        <v>#N/A</v>
      </c>
      <c r="CL69" s="21" t="e">
        <f>EXP(-LN(2)/25)*CL68+(1-EXP(-LN(2)/25))/(LN(2)/25)*Calculateur!CG69*Calculateur!CI69*VLOOKUP('Données projet'!$B$12,Paramètres!$A$1:$I$89,3,0)*0.475*44/12</f>
        <v>#N/A</v>
      </c>
      <c r="CM69" s="21" t="e">
        <f>EXP(-LN(2)/2)*CM68+(1-EXP(-LN(2)/2))/(LN(2)/2)*CG69*CJ69*VLOOKUP('Données projet'!$B$12,Paramètres!$A$1:$I$89,3,0)*0.475*44/12</f>
        <v>#N/A</v>
      </c>
      <c r="CN69" s="22" t="e">
        <f t="shared" si="66"/>
        <v>#N/A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25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59.576400000000064</v>
      </c>
      <c r="D70" s="11">
        <f t="shared" si="86"/>
        <v>17.061125519726964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10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591.58791629262976</v>
      </c>
      <c r="H70" s="67">
        <f t="shared" si="56"/>
        <v>426.81035694685789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12.1</v>
      </c>
      <c r="N70" s="13">
        <f>IF('Données projet'!$A$36&gt;35,N69+M70-V69,IF(A70&lt;'Données projet'!$A$36,$K$205^A70,IF(A70='Données projet'!$A$36,'Données projet'!$B$36,N69+M70-V69)))</f>
        <v>513.69999999999993</v>
      </c>
      <c r="O70" s="13">
        <f>N70*VLOOKUP('Données projet'!$B$9,Paramètres!$A$1:$I$89,3,0)*VLOOKUP('Données projet'!$B$9,Paramètres!$A$1:$I$89,5,0)</f>
        <v>287.15829999999994</v>
      </c>
      <c r="P70" s="13">
        <f t="shared" si="87"/>
        <v>68.477533743311554</v>
      </c>
      <c r="Q70" s="20">
        <f t="shared" si="54"/>
        <v>619.39907710293414</v>
      </c>
      <c r="R70" s="59">
        <f t="shared" si="55"/>
        <v>912.7324104362674</v>
      </c>
      <c r="S70" s="59">
        <f ca="1">AVERAGE(OFFSET($R$3,0,0,'Données projet'!$E$9+1,1))-AVERAGE(OFFSET($H$3,0,0,'Données projet'!$E$9+1,1))</f>
        <v>279.98352834501759</v>
      </c>
      <c r="T70" s="59">
        <f t="shared" si="88"/>
        <v>281.30062655265488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1.9208666650428321</v>
      </c>
      <c r="AA70" s="21">
        <f>EXP(-LN(2)/25)*AA69+(1-EXP(-LN(2)/25))/(LN(2)/25)*Calculateur!V70*Calculateur!X70*VLOOKUP('Données projet'!$B$9,Paramètres!$A$1:$I$89,3,0)*0.475*44/12</f>
        <v>8.6850895073501935</v>
      </c>
      <c r="AB70" s="21">
        <f>EXP(-LN(2)/2)*AB69+(1-EXP(-LN(2)/2))/(LN(2)/2)*V70*Y70*VLOOKUP('Données projet'!$B$9,Paramètres!$A$1:$I$89,3,0)*0.475*44/12</f>
        <v>7.6382606443595768E-5</v>
      </c>
      <c r="AC70" s="22">
        <f t="shared" si="57"/>
        <v>10.606032554999469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7</v>
      </c>
      <c r="AI70" s="13">
        <f>IF('Données projet'!$A$62&gt;35,AI69+AH70-AQ69,IF(A70&lt;'Données projet'!$A$62,$AF$205^A70,IF(A70='Données projet'!$A$62,'Données projet'!$B$62,AI69+AH70-AQ69)))</f>
        <v>242.00000000000017</v>
      </c>
      <c r="AJ70" s="13">
        <f>AI70*VLOOKUP('Données projet'!$B$10,Paramètres!$A$1:$I$89,3,0)*VLOOKUP('Données projet'!$B$10,Paramètres!$A$1:$I$89,5,0)</f>
        <v>245.3880000000002</v>
      </c>
      <c r="AK70" s="13">
        <f t="shared" si="89"/>
        <v>59.597282764919626</v>
      </c>
      <c r="AL70" s="20">
        <f t="shared" si="58"/>
        <v>531.18270081556864</v>
      </c>
      <c r="AM70" s="59">
        <f t="shared" si="59"/>
        <v>824.51603414890201</v>
      </c>
      <c r="AN70" s="59">
        <f ca="1">AVERAGE(OFFSET($AM$3,0,0,'Données projet'!$E$10+1,1))-AVERAGE(OFFSET($H$3,0,0,'Données projet'!$E$10+1,1))</f>
        <v>279.20364724206644</v>
      </c>
      <c r="AO70" s="59">
        <f t="shared" si="90"/>
        <v>173.99850582760712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0</v>
      </c>
      <c r="AV70" s="21">
        <f>EXP(-LN(2)/25)*AV69+(1-EXP(-LN(2)/25))/(LN(2)/25)*Calculateur!AQ70*Calculateur!AS70*VLOOKUP('Données projet'!$B$10,Paramètres!$A$1:$I$89,3,0)*0.475*44/12</f>
        <v>1.2478252683601236</v>
      </c>
      <c r="AW70" s="21">
        <f>EXP(-LN(2)/2)*AW69+(1-EXP(-LN(2)/2))/(LN(2)/2)*AQ70*AT70*VLOOKUP('Données projet'!$B$10,Paramètres!$A$1:$I$89,3,0)*0.475*44/12</f>
        <v>1.8710066666061708E-5</v>
      </c>
      <c r="AX70" s="21">
        <f t="shared" si="60"/>
        <v>1.2478439784267896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15.5</v>
      </c>
      <c r="BD70" s="12">
        <f>IF('Données projet'!$A$88&gt;35,BD69+BC70-BL69,IF(A70&lt;'Données projet'!$A$88,$BA$205^A70,IF(A70='Données projet'!$A$88,'Données projet'!$B$88,BD69+BC70-BL69)))</f>
        <v>399.89999999999986</v>
      </c>
      <c r="BE70" s="13">
        <f>BD70*VLOOKUP('Données projet'!$B$11,Paramètres!$A$1:$I$89,3,0)*VLOOKUP('Données projet'!$B$11,Paramètres!$A$1:$I$89,5,0)</f>
        <v>187.15319999999994</v>
      </c>
      <c r="BF70" s="13">
        <f t="shared" si="91"/>
        <v>46.9100138680691</v>
      </c>
      <c r="BG70" s="20">
        <f t="shared" si="61"/>
        <v>407.66009748688685</v>
      </c>
      <c r="BH70" s="59">
        <f t="shared" si="62"/>
        <v>700.99343082022017</v>
      </c>
      <c r="BI70" s="59">
        <f ca="1">AVERAGE(OFFSET($BH$3,0,0,'Données projet'!$E$11+1,1))-AVERAGE(OFFSET($H$3,0,0,'Données projet'!$E$11+1,1))</f>
        <v>215.23235148064941</v>
      </c>
      <c r="BJ70" s="59">
        <f t="shared" si="92"/>
        <v>184.07239726900434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1.5064262350815258</v>
      </c>
      <c r="BQ70" s="21">
        <f>EXP(-LN(2)/25)*BQ69+(1-EXP(-LN(2)/25))/(LN(2)/25)*Calculateur!BL70*Calculateur!BN70*VLOOKUP('Données projet'!$B$11,Paramètres!$A$1:$I$89,3,0)*0.475*44/12</f>
        <v>2.8160960840024623</v>
      </c>
      <c r="BR70" s="21">
        <f>EXP(-LN(2)/2)*BR69+(1-EXP(-LN(2)/2))/(LN(2)/2)*BL70*BO70*VLOOKUP('Données projet'!$B$11,Paramètres!$A$1:$I$89,3,0)*0.475*44/12</f>
        <v>2.6521296169434269E-5</v>
      </c>
      <c r="BS70" s="22">
        <f t="shared" si="63"/>
        <v>4.3225488403801577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 t="e">
        <f>BY70*VLOOKUP('Données projet'!$B$12,Paramètres!$A$1:$I$89,3,0)*VLOOKUP('Données projet'!$B$12,Paramètres!$A$1:$I$89,5,0)</f>
        <v>#N/A</v>
      </c>
      <c r="CA70" s="13" t="e">
        <f t="shared" si="93"/>
        <v>#N/A</v>
      </c>
      <c r="CB70" s="20" t="e">
        <f t="shared" si="64"/>
        <v>#N/A</v>
      </c>
      <c r="CC70" s="59" t="e">
        <f t="shared" si="65"/>
        <v>#N/A</v>
      </c>
      <c r="CD70" s="59" t="e">
        <f ca="1">AVERAGE(OFFSET($CC$3,0,0,'Données projet'!$E$12+1,1))-AVERAGE(OFFSET($H$3,0,0,'Données projet'!$E$12+1,1))</f>
        <v>#N/A</v>
      </c>
      <c r="CE70" s="59" t="e">
        <f t="shared" si="94"/>
        <v>#N/A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 t="e">
        <f>EXP(-LN(2)/35)*CK69+(1-EXP(-LN(2)/35))/(LN(2)/35)*CG70*CH70*VLOOKUP('Données projet'!$B$12,Paramètres!$A$1:$I$89,3,0)*0.475*44/12</f>
        <v>#N/A</v>
      </c>
      <c r="CL70" s="21" t="e">
        <f>EXP(-LN(2)/25)*CL69+(1-EXP(-LN(2)/25))/(LN(2)/25)*Calculateur!CG70*Calculateur!CI70*VLOOKUP('Données projet'!$B$12,Paramètres!$A$1:$I$89,3,0)*0.475*44/12</f>
        <v>#N/A</v>
      </c>
      <c r="CM70" s="21" t="e">
        <f>EXP(-LN(2)/2)*CM69+(1-EXP(-LN(2)/2))/(LN(2)/2)*CG70*CJ70*VLOOKUP('Données projet'!$B$12,Paramètres!$A$1:$I$89,3,0)*0.475*44/12</f>
        <v>#N/A</v>
      </c>
      <c r="CN70" s="22" t="e">
        <f t="shared" si="66"/>
        <v>#N/A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25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60.465600000000066</v>
      </c>
      <c r="D71" s="11">
        <f t="shared" si="86"/>
        <v>17.285934288248221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10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600.18728222507445</v>
      </c>
      <c r="H71" s="67">
        <f t="shared" si="56"/>
        <v>428.75058888536569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12.1</v>
      </c>
      <c r="N71" s="13">
        <f>IF('Données projet'!$A$36&gt;35,N70+M71-V70,IF(A71&lt;'Données projet'!$A$36,$K$205^A71,IF(A71='Données projet'!$A$36,'Données projet'!$B$36,N70+M71-V70)))</f>
        <v>525.79999999999995</v>
      </c>
      <c r="O71" s="13">
        <f>N71*VLOOKUP('Données projet'!$B$9,Paramètres!$A$1:$I$89,3,0)*VLOOKUP('Données projet'!$B$9,Paramètres!$A$1:$I$89,5,0)</f>
        <v>293.92219999999998</v>
      </c>
      <c r="P71" s="13">
        <f t="shared" si="87"/>
        <v>69.900809365323312</v>
      </c>
      <c r="Q71" s="20">
        <f t="shared" si="54"/>
        <v>633.65840797793805</v>
      </c>
      <c r="R71" s="59">
        <f t="shared" si="55"/>
        <v>926.99174131127143</v>
      </c>
      <c r="S71" s="59">
        <f ca="1">AVERAGE(OFFSET($R$3,0,0,'Données projet'!$E$9+1,1))-AVERAGE(OFFSET($H$3,0,0,'Données projet'!$E$9+1,1))</f>
        <v>279.98352834501759</v>
      </c>
      <c r="T71" s="59">
        <f t="shared" si="88"/>
        <v>281.30062655265488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1.8831996413543206</v>
      </c>
      <c r="AA71" s="21">
        <f>EXP(-LN(2)/25)*AA70+(1-EXP(-LN(2)/25))/(LN(2)/25)*Calculateur!V71*Calculateur!X71*VLOOKUP('Données projet'!$B$9,Paramètres!$A$1:$I$89,3,0)*0.475*44/12</f>
        <v>8.4475952780426962</v>
      </c>
      <c r="AB71" s="21">
        <f>EXP(-LN(2)/2)*AB70+(1-EXP(-LN(2)/2))/(LN(2)/2)*V71*Y71*VLOOKUP('Données projet'!$B$9,Paramètres!$A$1:$I$89,3,0)*0.475*44/12</f>
        <v>5.4010658980969849E-5</v>
      </c>
      <c r="AC71" s="22">
        <f t="shared" si="57"/>
        <v>10.330848930055998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7</v>
      </c>
      <c r="AI71" s="13">
        <f>IF('Données projet'!$A$62&gt;35,AI70+AH71-AQ70,IF(A71&lt;'Données projet'!$A$62,$AF$205^A71,IF(A71='Données projet'!$A$62,'Données projet'!$B$62,AI70+AH71-AQ70)))</f>
        <v>249.00000000000017</v>
      </c>
      <c r="AJ71" s="13">
        <f>AI71*VLOOKUP('Données projet'!$B$10,Paramètres!$A$1:$I$89,3,0)*VLOOKUP('Données projet'!$B$10,Paramètres!$A$1:$I$89,5,0)</f>
        <v>252.48600000000019</v>
      </c>
      <c r="AK71" s="13">
        <f t="shared" si="89"/>
        <v>61.117973383957434</v>
      </c>
      <c r="AL71" s="20">
        <f t="shared" si="58"/>
        <v>546.19358697705945</v>
      </c>
      <c r="AM71" s="59">
        <f t="shared" si="59"/>
        <v>839.52692031039282</v>
      </c>
      <c r="AN71" s="59">
        <f ca="1">AVERAGE(OFFSET($AM$3,0,0,'Données projet'!$E$10+1,1))-AVERAGE(OFFSET($H$3,0,0,'Données projet'!$E$10+1,1))</f>
        <v>279.20364724206644</v>
      </c>
      <c r="AO71" s="59">
        <f t="shared" si="90"/>
        <v>173.99850582760712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0</v>
      </c>
      <c r="AV71" s="21">
        <f>EXP(-LN(2)/25)*AV70+(1-EXP(-LN(2)/25))/(LN(2)/25)*Calculateur!AQ71*Calculateur!AS71*VLOOKUP('Données projet'!$B$10,Paramètres!$A$1:$I$89,3,0)*0.475*44/12</f>
        <v>1.2137034207765371</v>
      </c>
      <c r="AW71" s="21">
        <f>EXP(-LN(2)/2)*AW70+(1-EXP(-LN(2)/2))/(LN(2)/2)*AQ71*AT71*VLOOKUP('Données projet'!$B$10,Paramètres!$A$1:$I$89,3,0)*0.475*44/12</f>
        <v>1.3230015016024613E-5</v>
      </c>
      <c r="AX71" s="21">
        <f t="shared" si="60"/>
        <v>1.2137166507915531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15.5</v>
      </c>
      <c r="BD71" s="12">
        <f>IF('Données projet'!$A$88&gt;35,BD70+BC71-BL70,IF(A71&lt;'Données projet'!$A$88,$BA$205^A71,IF(A71='Données projet'!$A$88,'Données projet'!$B$88,BD70+BC71-BL70)))</f>
        <v>415.39999999999986</v>
      </c>
      <c r="BE71" s="13">
        <f>BD71*VLOOKUP('Données projet'!$B$11,Paramètres!$A$1:$I$89,3,0)*VLOOKUP('Données projet'!$B$11,Paramètres!$A$1:$I$89,5,0)</f>
        <v>194.40719999999996</v>
      </c>
      <c r="BF71" s="13">
        <f t="shared" si="91"/>
        <v>48.513018020179601</v>
      </c>
      <c r="BG71" s="20">
        <f t="shared" si="61"/>
        <v>423.08604638514606</v>
      </c>
      <c r="BH71" s="59">
        <f t="shared" si="62"/>
        <v>716.41937971847938</v>
      </c>
      <c r="BI71" s="59">
        <f ca="1">AVERAGE(OFFSET($BH$3,0,0,'Données projet'!$E$11+1,1))-AVERAGE(OFFSET($H$3,0,0,'Données projet'!$E$11+1,1))</f>
        <v>215.23235148064941</v>
      </c>
      <c r="BJ71" s="59">
        <f t="shared" si="92"/>
        <v>184.07239726900434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1.4768861354408536</v>
      </c>
      <c r="BQ71" s="21">
        <f>EXP(-LN(2)/25)*BQ70+(1-EXP(-LN(2)/25))/(LN(2)/25)*Calculateur!BL71*Calculateur!BN71*VLOOKUP('Données projet'!$B$11,Paramètres!$A$1:$I$89,3,0)*0.475*44/12</f>
        <v>2.739089788493358</v>
      </c>
      <c r="BR71" s="21">
        <f>EXP(-LN(2)/2)*BR70+(1-EXP(-LN(2)/2))/(LN(2)/2)*BL71*BO71*VLOOKUP('Données projet'!$B$11,Paramètres!$A$1:$I$89,3,0)*0.475*44/12</f>
        <v>1.8753388367263778E-5</v>
      </c>
      <c r="BS71" s="22">
        <f t="shared" si="63"/>
        <v>4.2159946773225787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 t="e">
        <f>BY71*VLOOKUP('Données projet'!$B$12,Paramètres!$A$1:$I$89,3,0)*VLOOKUP('Données projet'!$B$12,Paramètres!$A$1:$I$89,5,0)</f>
        <v>#N/A</v>
      </c>
      <c r="CA71" s="13" t="e">
        <f t="shared" si="93"/>
        <v>#N/A</v>
      </c>
      <c r="CB71" s="20" t="e">
        <f t="shared" si="64"/>
        <v>#N/A</v>
      </c>
      <c r="CC71" s="59" t="e">
        <f t="shared" si="65"/>
        <v>#N/A</v>
      </c>
      <c r="CD71" s="59" t="e">
        <f ca="1">AVERAGE(OFFSET($CC$3,0,0,'Données projet'!$E$12+1,1))-AVERAGE(OFFSET($H$3,0,0,'Données projet'!$E$12+1,1))</f>
        <v>#N/A</v>
      </c>
      <c r="CE71" s="59" t="e">
        <f t="shared" si="94"/>
        <v>#N/A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 t="e">
        <f>EXP(-LN(2)/35)*CK70+(1-EXP(-LN(2)/35))/(LN(2)/35)*CG71*CH71*VLOOKUP('Données projet'!$B$12,Paramètres!$A$1:$I$89,3,0)*0.475*44/12</f>
        <v>#N/A</v>
      </c>
      <c r="CL71" s="21" t="e">
        <f>EXP(-LN(2)/25)*CL70+(1-EXP(-LN(2)/25))/(LN(2)/25)*Calculateur!CG71*Calculateur!CI71*VLOOKUP('Données projet'!$B$12,Paramètres!$A$1:$I$89,3,0)*0.475*44/12</f>
        <v>#N/A</v>
      </c>
      <c r="CM71" s="21" t="e">
        <f>EXP(-LN(2)/2)*CM70+(1-EXP(-LN(2)/2))/(LN(2)/2)*CG71*CJ71*VLOOKUP('Données projet'!$B$12,Paramètres!$A$1:$I$89,3,0)*0.475*44/12</f>
        <v>#N/A</v>
      </c>
      <c r="CN71" s="22" t="e">
        <f t="shared" si="66"/>
        <v>#N/A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25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61.354800000000068</v>
      </c>
      <c r="D72" s="11">
        <f t="shared" si="86"/>
        <v>17.510358551572637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10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608.7836800472279</v>
      </c>
      <c r="H72" s="67">
        <f t="shared" si="56"/>
        <v>430.69015114398906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12.1</v>
      </c>
      <c r="N72" s="13">
        <f>IF('Données projet'!$A$36&gt;35,N71+M72-V71,IF(A72&lt;'Données projet'!$A$36,$K$205^A72,IF(A72='Données projet'!$A$36,'Données projet'!$B$36,N71+M72-V71)))</f>
        <v>537.9</v>
      </c>
      <c r="O72" s="13">
        <f>N72*VLOOKUP('Données projet'!$B$9,Paramètres!$A$1:$I$89,3,0)*VLOOKUP('Données projet'!$B$9,Paramètres!$A$1:$I$89,5,0)</f>
        <v>300.68610000000001</v>
      </c>
      <c r="P72" s="13">
        <f t="shared" si="87"/>
        <v>71.320277260703975</v>
      </c>
      <c r="Q72" s="20">
        <f t="shared" si="54"/>
        <v>647.91110706239272</v>
      </c>
      <c r="R72" s="59">
        <f t="shared" si="55"/>
        <v>941.24444039572609</v>
      </c>
      <c r="S72" s="59">
        <f ca="1">AVERAGE(OFFSET($R$3,0,0,'Données projet'!$E$9+1,1))-AVERAGE(OFFSET($H$3,0,0,'Données projet'!$E$9+1,1))</f>
        <v>279.98352834501759</v>
      </c>
      <c r="T72" s="59">
        <f t="shared" si="88"/>
        <v>281.30062655265488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1.846271245025725</v>
      </c>
      <c r="AA72" s="21">
        <f>EXP(-LN(2)/25)*AA71+(1-EXP(-LN(2)/25))/(LN(2)/25)*Calculateur!V72*Calculateur!X72*VLOOKUP('Données projet'!$B$9,Paramètres!$A$1:$I$89,3,0)*0.475*44/12</f>
        <v>8.21659534092489</v>
      </c>
      <c r="AB72" s="21">
        <f>EXP(-LN(2)/2)*AB71+(1-EXP(-LN(2)/2))/(LN(2)/2)*V72*Y72*VLOOKUP('Données projet'!$B$9,Paramètres!$A$1:$I$89,3,0)*0.475*44/12</f>
        <v>3.8191303221797884E-5</v>
      </c>
      <c r="AC72" s="22">
        <f t="shared" si="57"/>
        <v>10.062904777253838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7</v>
      </c>
      <c r="AI72" s="13">
        <f>IF('Données projet'!$A$62&gt;35,AI71+AH72-AQ71,IF(A72&lt;'Données projet'!$A$62,$AF$205^A72,IF(A72='Données projet'!$A$62,'Données projet'!$B$62,AI71+AH72-AQ71)))</f>
        <v>256.00000000000017</v>
      </c>
      <c r="AJ72" s="13">
        <f>AI72*VLOOKUP('Données projet'!$B$10,Paramètres!$A$1:$I$89,3,0)*VLOOKUP('Données projet'!$B$10,Paramètres!$A$1:$I$89,5,0)</f>
        <v>259.58400000000017</v>
      </c>
      <c r="AK72" s="13">
        <f t="shared" si="89"/>
        <v>62.63369530482359</v>
      </c>
      <c r="AL72" s="20">
        <f t="shared" si="58"/>
        <v>561.19581932256801</v>
      </c>
      <c r="AM72" s="59">
        <f t="shared" si="59"/>
        <v>854.52915265590127</v>
      </c>
      <c r="AN72" s="59">
        <f ca="1">AVERAGE(OFFSET($AM$3,0,0,'Données projet'!$E$10+1,1))-AVERAGE(OFFSET($H$3,0,0,'Données projet'!$E$10+1,1))</f>
        <v>279.20364724206644</v>
      </c>
      <c r="AO72" s="59">
        <f t="shared" si="90"/>
        <v>173.99850582760712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0</v>
      </c>
      <c r="AV72" s="21">
        <f>EXP(-LN(2)/25)*AV71+(1-EXP(-LN(2)/25))/(LN(2)/25)*Calculateur!AQ72*Calculateur!AS72*VLOOKUP('Données projet'!$B$10,Paramètres!$A$1:$I$89,3,0)*0.475*44/12</f>
        <v>1.1805146369095139</v>
      </c>
      <c r="AW72" s="21">
        <f>EXP(-LN(2)/2)*AW71+(1-EXP(-LN(2)/2))/(LN(2)/2)*AQ72*AT72*VLOOKUP('Données projet'!$B$10,Paramètres!$A$1:$I$89,3,0)*0.475*44/12</f>
        <v>9.3550333330308539E-6</v>
      </c>
      <c r="AX72" s="21">
        <f t="shared" si="60"/>
        <v>1.180523991942847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15.5</v>
      </c>
      <c r="BD72" s="12">
        <f>IF('Données projet'!$A$88&gt;35,BD71+BC72-BL71,IF(A72&lt;'Données projet'!$A$88,$BA$205^A72,IF(A72='Données projet'!$A$88,'Données projet'!$B$88,BD71+BC72-BL71)))</f>
        <v>430.89999999999986</v>
      </c>
      <c r="BE72" s="13">
        <f>BD72*VLOOKUP('Données projet'!$B$11,Paramètres!$A$1:$I$89,3,0)*VLOOKUP('Données projet'!$B$11,Paramètres!$A$1:$I$89,5,0)</f>
        <v>201.66119999999992</v>
      </c>
      <c r="BF72" s="13">
        <f t="shared" si="91"/>
        <v>50.109073265229782</v>
      </c>
      <c r="BG72" s="20">
        <f t="shared" si="61"/>
        <v>438.49989260360843</v>
      </c>
      <c r="BH72" s="59">
        <f t="shared" si="62"/>
        <v>731.83322593694174</v>
      </c>
      <c r="BI72" s="59">
        <f ca="1">AVERAGE(OFFSET($BH$3,0,0,'Données projet'!$E$11+1,1))-AVERAGE(OFFSET($H$3,0,0,'Données projet'!$E$11+1,1))</f>
        <v>215.23235148064941</v>
      </c>
      <c r="BJ72" s="59">
        <f t="shared" si="92"/>
        <v>184.07239726900434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1.4479252991364533</v>
      </c>
      <c r="BQ72" s="21">
        <f>EXP(-LN(2)/25)*BQ71+(1-EXP(-LN(2)/25))/(LN(2)/25)*Calculateur!BL72*Calculateur!BN72*VLOOKUP('Données projet'!$B$11,Paramètres!$A$1:$I$89,3,0)*0.475*44/12</f>
        <v>2.6641892341845357</v>
      </c>
      <c r="BR72" s="21">
        <f>EXP(-LN(2)/2)*BR71+(1-EXP(-LN(2)/2))/(LN(2)/2)*BL72*BO72*VLOOKUP('Données projet'!$B$11,Paramètres!$A$1:$I$89,3,0)*0.475*44/12</f>
        <v>1.3260648084717135E-5</v>
      </c>
      <c r="BS72" s="22">
        <f t="shared" si="63"/>
        <v>4.1121277939690737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 t="e">
        <f>BY72*VLOOKUP('Données projet'!$B$12,Paramètres!$A$1:$I$89,3,0)*VLOOKUP('Données projet'!$B$12,Paramètres!$A$1:$I$89,5,0)</f>
        <v>#N/A</v>
      </c>
      <c r="CA72" s="13" t="e">
        <f t="shared" si="93"/>
        <v>#N/A</v>
      </c>
      <c r="CB72" s="20" t="e">
        <f t="shared" si="64"/>
        <v>#N/A</v>
      </c>
      <c r="CC72" s="59" t="e">
        <f t="shared" si="65"/>
        <v>#N/A</v>
      </c>
      <c r="CD72" s="59" t="e">
        <f ca="1">AVERAGE(OFFSET($CC$3,0,0,'Données projet'!$E$12+1,1))-AVERAGE(OFFSET($H$3,0,0,'Données projet'!$E$12+1,1))</f>
        <v>#N/A</v>
      </c>
      <c r="CE72" s="59" t="e">
        <f t="shared" si="94"/>
        <v>#N/A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 t="e">
        <f>EXP(-LN(2)/35)*CK71+(1-EXP(-LN(2)/35))/(LN(2)/35)*CG72*CH72*VLOOKUP('Données projet'!$B$12,Paramètres!$A$1:$I$89,3,0)*0.475*44/12</f>
        <v>#N/A</v>
      </c>
      <c r="CL72" s="21" t="e">
        <f>EXP(-LN(2)/25)*CL71+(1-EXP(-LN(2)/25))/(LN(2)/25)*Calculateur!CG72*Calculateur!CI72*VLOOKUP('Données projet'!$B$12,Paramètres!$A$1:$I$89,3,0)*0.475*44/12</f>
        <v>#N/A</v>
      </c>
      <c r="CM72" s="21" t="e">
        <f>EXP(-LN(2)/2)*CM71+(1-EXP(-LN(2)/2))/(LN(2)/2)*CG72*CJ72*VLOOKUP('Données projet'!$B$12,Paramètres!$A$1:$I$89,3,0)*0.475*44/12</f>
        <v>#N/A</v>
      </c>
      <c r="CN72" s="22" t="e">
        <f t="shared" si="66"/>
        <v>#N/A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25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62.244000000000071</v>
      </c>
      <c r="D73" s="11">
        <f t="shared" si="86"/>
        <v>17.734404526076464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10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617.3771577451522</v>
      </c>
      <c r="H73" s="67">
        <f t="shared" si="56"/>
        <v>432.62905454958332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>
        <f>VLOOKUP(A73,'Données projet'!$A$35:$I$55,2,0)</f>
        <v>550</v>
      </c>
      <c r="L73" s="12">
        <f>VLOOKUP(A73,'Données projet'!$A$35:$I$55,9,0)</f>
        <v>12.1</v>
      </c>
      <c r="M73" s="12">
        <f t="array" ref="M73">INDEX(L:L,MIN(IF(ISNUMBER(L73:L269),ROW(L73:L269),"")))</f>
        <v>12.1</v>
      </c>
      <c r="N73" s="13">
        <f>IF('Données projet'!$A$36&gt;35,N72+M73-V72,IF(A73&lt;'Données projet'!$A$36,$K$205^A73,IF(A73='Données projet'!$A$36,'Données projet'!$B$36,N72+M73-V72)))</f>
        <v>550</v>
      </c>
      <c r="O73" s="13">
        <f>N73*VLOOKUP('Données projet'!$B$9,Paramètres!$A$1:$I$89,3,0)*VLOOKUP('Données projet'!$B$9,Paramètres!$A$1:$I$89,5,0)</f>
        <v>307.45</v>
      </c>
      <c r="P73" s="13">
        <f t="shared" si="87"/>
        <v>72.736032945200179</v>
      </c>
      <c r="Q73" s="20">
        <f t="shared" si="54"/>
        <v>662.15734071289023</v>
      </c>
      <c r="R73" s="59">
        <f t="shared" si="55"/>
        <v>955.4906740462236</v>
      </c>
      <c r="S73" s="59">
        <f ca="1">AVERAGE(OFFSET($R$3,0,0,'Données projet'!$E$9+1,1))-AVERAGE(OFFSET($H$3,0,0,'Données projet'!$E$9+1,1))</f>
        <v>279.98352834501759</v>
      </c>
      <c r="T73" s="59">
        <f t="shared" si="88"/>
        <v>281.30062655265488</v>
      </c>
      <c r="U73" s="15">
        <f>IF(ISNA(VLOOKUP(A73,'Données projet'!$A$35:$I$55,3,0)),0,VLOOKUP(A73,'Données projet'!$A$35:$I$55,3,0))</f>
        <v>6</v>
      </c>
      <c r="V73" s="15">
        <f>IF(ISNA(VLOOKUP(A73,'Données projet'!$A$35:$I$55,4,0)),0,VLOOKUP(A73,'Données projet'!$A$35:$I$55,4,0))</f>
        <v>61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1.8100669920250354</v>
      </c>
      <c r="AA73" s="21">
        <f>EXP(-LN(2)/25)*AA72+(1-EXP(-LN(2)/25))/(LN(2)/25)*Calculateur!V73*Calculateur!X73*VLOOKUP('Données projet'!$B$9,Paramètres!$A$1:$I$89,3,0)*0.475*44/12</f>
        <v>7.9919121092353294</v>
      </c>
      <c r="AB73" s="21">
        <f>EXP(-LN(2)/2)*AB72+(1-EXP(-LN(2)/2))/(LN(2)/2)*V73*Y73*VLOOKUP('Données projet'!$B$9,Paramètres!$A$1:$I$89,3,0)*0.475*44/12</f>
        <v>2.7005329490484924E-5</v>
      </c>
      <c r="AC73" s="22">
        <f t="shared" si="57"/>
        <v>9.8020061065898556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>
        <f>VLOOKUP(A73,'Données projet'!$A$61:$I$81,2,0)</f>
        <v>263</v>
      </c>
      <c r="AG73" s="12">
        <f>VLOOKUP(A73,'Données projet'!$A$61:$I$81,9,0)</f>
        <v>7</v>
      </c>
      <c r="AH73" s="12">
        <f t="array" ref="AH73">INDEX(AG:AG,MIN(IF(ISNUMBER(AG73:AG269),ROW(AG73:AG269),"")))</f>
        <v>7</v>
      </c>
      <c r="AI73" s="13">
        <f>IF('Données projet'!$A$62&gt;35,AI72+AH73-AQ72,IF(A73&lt;'Données projet'!$A$62,$AF$205^A73,IF(A73='Données projet'!$A$62,'Données projet'!$B$62,AI72+AH73-AQ72)))</f>
        <v>263.00000000000017</v>
      </c>
      <c r="AJ73" s="13">
        <f>AI73*VLOOKUP('Données projet'!$B$10,Paramètres!$A$1:$I$89,3,0)*VLOOKUP('Données projet'!$B$10,Paramètres!$A$1:$I$89,5,0)</f>
        <v>266.68200000000019</v>
      </c>
      <c r="AK73" s="13">
        <f t="shared" si="89"/>
        <v>64.144600001897828</v>
      </c>
      <c r="AL73" s="20">
        <f t="shared" si="58"/>
        <v>576.18966166997234</v>
      </c>
      <c r="AM73" s="59">
        <f t="shared" si="59"/>
        <v>869.5229950033056</v>
      </c>
      <c r="AN73" s="59">
        <f ca="1">AVERAGE(OFFSET($AM$3,0,0,'Données projet'!$E$10+1,1))-AVERAGE(OFFSET($H$3,0,0,'Données projet'!$E$10+1,1))</f>
        <v>279.20364724206644</v>
      </c>
      <c r="AO73" s="59">
        <f t="shared" si="90"/>
        <v>173.99850582760712</v>
      </c>
      <c r="AP73" s="15">
        <f>IF(ISNA(VLOOKUP(A73,'Données projet'!$A$61:$I$81,3,0)),0,VLOOKUP(A73,'Données projet'!$A$61:$I$81,3,0))</f>
        <v>5</v>
      </c>
      <c r="AQ73" s="15">
        <f>IF(ISNA(VLOOKUP(A73,'Données projet'!$A$61:$I$81,4,0)),0,VLOOKUP(A73,'Données projet'!$A$61:$I$81,4,0))</f>
        <v>42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0</v>
      </c>
      <c r="AV73" s="21">
        <f>EXP(-LN(2)/25)*AV72+(1-EXP(-LN(2)/25))/(LN(2)/25)*Calculateur!AQ73*Calculateur!AS73*VLOOKUP('Données projet'!$B$10,Paramètres!$A$1:$I$89,3,0)*0.475*44/12</f>
        <v>1.1482334020826566</v>
      </c>
      <c r="AW73" s="21">
        <f>EXP(-LN(2)/2)*AW72+(1-EXP(-LN(2)/2))/(LN(2)/2)*AQ73*AT73*VLOOKUP('Données projet'!$B$10,Paramètres!$A$1:$I$89,3,0)*0.475*44/12</f>
        <v>6.6150075080123064E-6</v>
      </c>
      <c r="AX73" s="21">
        <f t="shared" si="60"/>
        <v>1.1482400170901645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>
        <f>VLOOKUP(A73,'Données projet'!$A$87:$I$107,2,0)</f>
        <v>446.4</v>
      </c>
      <c r="BB73" s="12">
        <f>VLOOKUP(A73,'Données projet'!$A$87:$I$107,9,0)</f>
        <v>15.5</v>
      </c>
      <c r="BC73" s="12">
        <f t="array" ref="BC73">INDEX(BB:BB,MIN(IF(ISNUMBER(BB73:BB269),ROW(BB73:BB269),"")))</f>
        <v>15.5</v>
      </c>
      <c r="BD73" s="12">
        <f>IF('Données projet'!$A$88&gt;35,BD72+BC73-BL72,IF(A73&lt;'Données projet'!$A$88,$BA$205^A73,IF(A73='Données projet'!$A$88,'Données projet'!$B$88,BD72+BC73-BL72)))</f>
        <v>446.39999999999986</v>
      </c>
      <c r="BE73" s="13">
        <f>BD73*VLOOKUP('Données projet'!$B$11,Paramètres!$A$1:$I$89,3,0)*VLOOKUP('Données projet'!$B$11,Paramètres!$A$1:$I$89,5,0)</f>
        <v>208.91519999999994</v>
      </c>
      <c r="BF73" s="13">
        <f t="shared" si="91"/>
        <v>51.698458198123326</v>
      </c>
      <c r="BG73" s="20">
        <f t="shared" si="61"/>
        <v>453.90212136173136</v>
      </c>
      <c r="BH73" s="59">
        <f t="shared" si="62"/>
        <v>747.23545469506462</v>
      </c>
      <c r="BI73" s="59">
        <f ca="1">AVERAGE(OFFSET($BH$3,0,0,'Données projet'!$E$11+1,1))-AVERAGE(OFFSET($H$3,0,0,'Données projet'!$E$11+1,1))</f>
        <v>215.23235148064941</v>
      </c>
      <c r="BJ73" s="59">
        <f t="shared" si="92"/>
        <v>184.07239726900434</v>
      </c>
      <c r="BK73" s="15">
        <f>IF(ISNA(VLOOKUP(A73,'Données projet'!$A$87:$I$107,3,0)),0,VLOOKUP(A73,'Données projet'!$A$87:$I$107,3,0))</f>
        <v>6</v>
      </c>
      <c r="BL73" s="15">
        <f>IF(ISNA(VLOOKUP(A73,'Données projet'!$A$87:$I$107,4,0)),0,VLOOKUP(A73,'Données projet'!$A$87:$I$107,4,0))</f>
        <v>83.4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1.4195323671676163</v>
      </c>
      <c r="BQ73" s="21">
        <f>EXP(-LN(2)/25)*BQ72+(1-EXP(-LN(2)/25))/(LN(2)/25)*Calculateur!BL73*Calculateur!BN73*VLOOKUP('Données projet'!$B$11,Paramètres!$A$1:$I$89,3,0)*0.475*44/12</f>
        <v>2.5913368394721368</v>
      </c>
      <c r="BR73" s="21">
        <f>EXP(-LN(2)/2)*BR72+(1-EXP(-LN(2)/2))/(LN(2)/2)*BL73*BO73*VLOOKUP('Données projet'!$B$11,Paramètres!$A$1:$I$89,3,0)*0.475*44/12</f>
        <v>9.3766941836318892E-6</v>
      </c>
      <c r="BS73" s="22">
        <f t="shared" si="63"/>
        <v>4.0108785833339367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 t="e">
        <f>BY73*VLOOKUP('Données projet'!$B$12,Paramètres!$A$1:$I$89,3,0)*VLOOKUP('Données projet'!$B$12,Paramètres!$A$1:$I$89,5,0)</f>
        <v>#N/A</v>
      </c>
      <c r="CA73" s="13" t="e">
        <f t="shared" si="93"/>
        <v>#N/A</v>
      </c>
      <c r="CB73" s="20" t="e">
        <f t="shared" si="64"/>
        <v>#N/A</v>
      </c>
      <c r="CC73" s="59" t="e">
        <f t="shared" si="65"/>
        <v>#N/A</v>
      </c>
      <c r="CD73" s="59" t="e">
        <f ca="1">AVERAGE(OFFSET($CC$3,0,0,'Données projet'!$E$12+1,1))-AVERAGE(OFFSET($H$3,0,0,'Données projet'!$E$12+1,1))</f>
        <v>#N/A</v>
      </c>
      <c r="CE73" s="59" t="e">
        <f t="shared" si="94"/>
        <v>#N/A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 t="e">
        <f>EXP(-LN(2)/35)*CK72+(1-EXP(-LN(2)/35))/(LN(2)/35)*CG73*CH73*VLOOKUP('Données projet'!$B$12,Paramètres!$A$1:$I$89,3,0)*0.475*44/12</f>
        <v>#N/A</v>
      </c>
      <c r="CL73" s="21" t="e">
        <f>EXP(-LN(2)/25)*CL72+(1-EXP(-LN(2)/25))/(LN(2)/25)*Calculateur!CG73*Calculateur!CI73*VLOOKUP('Données projet'!$B$12,Paramètres!$A$1:$I$89,3,0)*0.475*44/12</f>
        <v>#N/A</v>
      </c>
      <c r="CM73" s="21" t="e">
        <f>EXP(-LN(2)/2)*CM72+(1-EXP(-LN(2)/2))/(LN(2)/2)*CG73*CJ73*VLOOKUP('Données projet'!$B$12,Paramètres!$A$1:$I$89,3,0)*0.475*44/12</f>
        <v>#N/A</v>
      </c>
      <c r="CN73" s="22" t="e">
        <f t="shared" si="66"/>
        <v>#N/A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25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63.133200000000073</v>
      </c>
      <c r="D74" s="11">
        <f t="shared" si="86"/>
        <v>17.958078240325332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10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625.96776185514352</v>
      </c>
      <c r="H74" s="67">
        <f t="shared" si="56"/>
        <v>434.56730960190009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9.3000000000000007</v>
      </c>
      <c r="N74" s="13">
        <f>IF('Données projet'!$A$36&gt;35,N73+M74-V73,IF(A74&lt;'Données projet'!$A$36,$K$205^A74,IF(A74='Données projet'!$A$36,'Données projet'!$B$36,N73+M74-V73)))</f>
        <v>498.29999999999995</v>
      </c>
      <c r="O74" s="13">
        <f>N74*VLOOKUP('Données projet'!$B$9,Paramètres!$A$1:$I$89,3,0)*VLOOKUP('Données projet'!$B$9,Paramètres!$A$1:$I$89,5,0)</f>
        <v>278.54969999999997</v>
      </c>
      <c r="P74" s="13">
        <f t="shared" si="87"/>
        <v>66.660426228305411</v>
      </c>
      <c r="Q74" s="20">
        <f t="shared" si="54"/>
        <v>601.24096984763185</v>
      </c>
      <c r="R74" s="59">
        <f t="shared" si="55"/>
        <v>894.57430318096522</v>
      </c>
      <c r="S74" s="59">
        <f ca="1">AVERAGE(OFFSET($R$3,0,0,'Données projet'!$E$9+1,1))-AVERAGE(OFFSET($H$3,0,0,'Données projet'!$E$9+1,1))</f>
        <v>279.98352834501759</v>
      </c>
      <c r="T74" s="59">
        <f t="shared" si="88"/>
        <v>281.30062655265488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1.7745726823432755</v>
      </c>
      <c r="AA74" s="21">
        <f>EXP(-LN(2)/25)*AA73+(1-EXP(-LN(2)/25))/(LN(2)/25)*Calculateur!V74*Calculateur!X74*VLOOKUP('Données projet'!$B$9,Paramètres!$A$1:$I$89,3,0)*0.475*44/12</f>
        <v>7.7733728523318968</v>
      </c>
      <c r="AB74" s="21">
        <f>EXP(-LN(2)/2)*AB73+(1-EXP(-LN(2)/2))/(LN(2)/2)*V74*Y74*VLOOKUP('Données projet'!$B$9,Paramètres!$A$1:$I$89,3,0)*0.475*44/12</f>
        <v>1.9095651610898942E-5</v>
      </c>
      <c r="AC74" s="22">
        <f t="shared" si="57"/>
        <v>9.5479646303267831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6.1</v>
      </c>
      <c r="AI74" s="13">
        <f>IF('Données projet'!$A$62&gt;35,AI73+AH74-AQ73,IF(A74&lt;'Données projet'!$A$62,$AF$205^A74,IF(A74='Données projet'!$A$62,'Données projet'!$B$62,AI73+AH74-AQ73)))</f>
        <v>227.10000000000019</v>
      </c>
      <c r="AJ74" s="13">
        <f>AI74*VLOOKUP('Données projet'!$B$10,Paramètres!$A$1:$I$89,3,0)*VLOOKUP('Données projet'!$B$10,Paramètres!$A$1:$I$89,5,0)</f>
        <v>230.27940000000021</v>
      </c>
      <c r="AK74" s="13">
        <f t="shared" si="89"/>
        <v>56.34309007423694</v>
      </c>
      <c r="AL74" s="20">
        <f t="shared" si="58"/>
        <v>499.20083687929633</v>
      </c>
      <c r="AM74" s="59">
        <f t="shared" si="59"/>
        <v>792.53417021262965</v>
      </c>
      <c r="AN74" s="59">
        <f ca="1">AVERAGE(OFFSET($AM$3,0,0,'Données projet'!$E$10+1,1))-AVERAGE(OFFSET($H$3,0,0,'Données projet'!$E$10+1,1))</f>
        <v>279.20364724206644</v>
      </c>
      <c r="AO74" s="59">
        <f t="shared" si="90"/>
        <v>173.99850582760712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0</v>
      </c>
      <c r="AV74" s="21">
        <f>EXP(-LN(2)/25)*AV73+(1-EXP(-LN(2)/25))/(LN(2)/25)*Calculateur!AQ74*Calculateur!AS74*VLOOKUP('Données projet'!$B$10,Paramètres!$A$1:$I$89,3,0)*0.475*44/12</f>
        <v>1.1168348993197361</v>
      </c>
      <c r="AW74" s="21">
        <f>EXP(-LN(2)/2)*AW73+(1-EXP(-LN(2)/2))/(LN(2)/2)*AQ74*AT74*VLOOKUP('Données projet'!$B$10,Paramètres!$A$1:$I$89,3,0)*0.475*44/12</f>
        <v>4.677516666515427E-6</v>
      </c>
      <c r="AX74" s="21">
        <f t="shared" si="60"/>
        <v>1.1168395768364026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17</v>
      </c>
      <c r="BD74" s="12">
        <f>IF('Données projet'!$A$88&gt;35,BD73+BC74-BL73,IF(A74&lt;'Données projet'!$A$88,$BA$205^A74,IF(A74='Données projet'!$A$88,'Données projet'!$B$88,BD73+BC74-BL73)))</f>
        <v>379.99999999999989</v>
      </c>
      <c r="BE74" s="13">
        <f>BD74*VLOOKUP('Données projet'!$B$11,Paramètres!$A$1:$I$89,3,0)*VLOOKUP('Données projet'!$B$11,Paramètres!$A$1:$I$89,5,0)</f>
        <v>177.83999999999995</v>
      </c>
      <c r="BF74" s="13">
        <f t="shared" si="91"/>
        <v>44.841288830609102</v>
      </c>
      <c r="BG74" s="20">
        <f t="shared" si="61"/>
        <v>387.83657804664409</v>
      </c>
      <c r="BH74" s="59">
        <f t="shared" si="62"/>
        <v>681.16991137997741</v>
      </c>
      <c r="BI74" s="59">
        <f ca="1">AVERAGE(OFFSET($BH$3,0,0,'Données projet'!$E$11+1,1))-AVERAGE(OFFSET($H$3,0,0,'Données projet'!$E$11+1,1))</f>
        <v>215.23235148064941</v>
      </c>
      <c r="BJ74" s="59">
        <f t="shared" si="92"/>
        <v>184.07239726900434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1.3916962032767097</v>
      </c>
      <c r="BQ74" s="21">
        <f>EXP(-LN(2)/25)*BQ73+(1-EXP(-LN(2)/25))/(LN(2)/25)*Calculateur!BL74*Calculateur!BN74*VLOOKUP('Données projet'!$B$11,Paramètres!$A$1:$I$89,3,0)*0.475*44/12</f>
        <v>2.5204765973242895</v>
      </c>
      <c r="BR74" s="21">
        <f>EXP(-LN(2)/2)*BR73+(1-EXP(-LN(2)/2))/(LN(2)/2)*BL74*BO74*VLOOKUP('Données projet'!$B$11,Paramètres!$A$1:$I$89,3,0)*0.475*44/12</f>
        <v>6.6303240423585673E-6</v>
      </c>
      <c r="BS74" s="22">
        <f t="shared" si="63"/>
        <v>3.9121794309250415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 t="e">
        <f>BY74*VLOOKUP('Données projet'!$B$12,Paramètres!$A$1:$I$89,3,0)*VLOOKUP('Données projet'!$B$12,Paramètres!$A$1:$I$89,5,0)</f>
        <v>#N/A</v>
      </c>
      <c r="CA74" s="13" t="e">
        <f t="shared" si="93"/>
        <v>#N/A</v>
      </c>
      <c r="CB74" s="20" t="e">
        <f t="shared" si="64"/>
        <v>#N/A</v>
      </c>
      <c r="CC74" s="59" t="e">
        <f t="shared" si="65"/>
        <v>#N/A</v>
      </c>
      <c r="CD74" s="59" t="e">
        <f ca="1">AVERAGE(OFFSET($CC$3,0,0,'Données projet'!$E$12+1,1))-AVERAGE(OFFSET($H$3,0,0,'Données projet'!$E$12+1,1))</f>
        <v>#N/A</v>
      </c>
      <c r="CE74" s="59" t="e">
        <f t="shared" si="94"/>
        <v>#N/A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 t="e">
        <f>EXP(-LN(2)/35)*CK73+(1-EXP(-LN(2)/35))/(LN(2)/35)*CG74*CH74*VLOOKUP('Données projet'!$B$12,Paramètres!$A$1:$I$89,3,0)*0.475*44/12</f>
        <v>#N/A</v>
      </c>
      <c r="CL74" s="21" t="e">
        <f>EXP(-LN(2)/25)*CL73+(1-EXP(-LN(2)/25))/(LN(2)/25)*Calculateur!CG74*Calculateur!CI74*VLOOKUP('Données projet'!$B$12,Paramètres!$A$1:$I$89,3,0)*0.475*44/12</f>
        <v>#N/A</v>
      </c>
      <c r="CM74" s="21" t="e">
        <f>EXP(-LN(2)/2)*CM73+(1-EXP(-LN(2)/2))/(LN(2)/2)*CG74*CJ74*VLOOKUP('Données projet'!$B$12,Paramètres!$A$1:$I$89,3,0)*0.475*44/12</f>
        <v>#N/A</v>
      </c>
      <c r="CN74" s="22" t="e">
        <f t="shared" si="66"/>
        <v>#N/A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25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64.022400000000076</v>
      </c>
      <c r="D75" s="11">
        <f t="shared" si="86"/>
        <v>18.181385543312256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10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634.55553752732339</v>
      </c>
      <c r="H75" s="67">
        <f t="shared" si="56"/>
        <v>436.50492648793568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9.3000000000000007</v>
      </c>
      <c r="N75" s="13">
        <f>IF('Données projet'!$A$36&gt;35,N74+M75-V74,IF(A75&lt;'Données projet'!$A$36,$K$205^A75,IF(A75='Données projet'!$A$36,'Données projet'!$B$36,N74+M75-V74)))</f>
        <v>507.59999999999997</v>
      </c>
      <c r="O75" s="13">
        <f>N75*VLOOKUP('Données projet'!$B$9,Paramètres!$A$1:$I$89,3,0)*VLOOKUP('Données projet'!$B$9,Paramètres!$A$1:$I$89,5,0)</f>
        <v>283.74839999999995</v>
      </c>
      <c r="P75" s="13">
        <f t="shared" si="87"/>
        <v>67.758539422912406</v>
      </c>
      <c r="Q75" s="20">
        <f t="shared" si="54"/>
        <v>612.2079194949057</v>
      </c>
      <c r="R75" s="59">
        <f t="shared" si="55"/>
        <v>905.54125282823907</v>
      </c>
      <c r="S75" s="59">
        <f ca="1">AVERAGE(OFFSET($R$3,0,0,'Données projet'!$E$9+1,1))-AVERAGE(OFFSET($H$3,0,0,'Données projet'!$E$9+1,1))</f>
        <v>279.98352834501759</v>
      </c>
      <c r="T75" s="59">
        <f t="shared" si="88"/>
        <v>281.30062655265488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1.7397743944249837</v>
      </c>
      <c r="AA75" s="21">
        <f>EXP(-LN(2)/25)*AA74+(1-EXP(-LN(2)/25))/(LN(2)/25)*Calculateur!V75*Calculateur!X75*VLOOKUP('Données projet'!$B$9,Paramètres!$A$1:$I$89,3,0)*0.475*44/12</f>
        <v>7.5608095629009693</v>
      </c>
      <c r="AB75" s="21">
        <f>EXP(-LN(2)/2)*AB74+(1-EXP(-LN(2)/2))/(LN(2)/2)*V75*Y75*VLOOKUP('Données projet'!$B$9,Paramètres!$A$1:$I$89,3,0)*0.475*44/12</f>
        <v>1.3502664745242462E-5</v>
      </c>
      <c r="AC75" s="22">
        <f t="shared" si="57"/>
        <v>9.3005974599906978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6.1</v>
      </c>
      <c r="AI75" s="13">
        <f>IF('Données projet'!$A$62&gt;35,AI74+AH75-AQ74,IF(A75&lt;'Données projet'!$A$62,$AF$205^A75,IF(A75='Données projet'!$A$62,'Données projet'!$B$62,AI74+AH75-AQ74)))</f>
        <v>233.20000000000019</v>
      </c>
      <c r="AJ75" s="13">
        <f>AI75*VLOOKUP('Données projet'!$B$10,Paramètres!$A$1:$I$89,3,0)*VLOOKUP('Données projet'!$B$10,Paramètres!$A$1:$I$89,5,0)</f>
        <v>236.4648000000002</v>
      </c>
      <c r="AK75" s="13">
        <f t="shared" si="89"/>
        <v>57.678259313423474</v>
      </c>
      <c r="AL75" s="20">
        <f t="shared" si="58"/>
        <v>512.29916163754626</v>
      </c>
      <c r="AM75" s="59">
        <f t="shared" si="59"/>
        <v>805.63249497087963</v>
      </c>
      <c r="AN75" s="59">
        <f ca="1">AVERAGE(OFFSET($AM$3,0,0,'Données projet'!$E$10+1,1))-AVERAGE(OFFSET($H$3,0,0,'Données projet'!$E$10+1,1))</f>
        <v>279.20364724206644</v>
      </c>
      <c r="AO75" s="59">
        <f t="shared" si="90"/>
        <v>173.99850582760712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0</v>
      </c>
      <c r="AV75" s="21">
        <f>EXP(-LN(2)/25)*AV74+(1-EXP(-LN(2)/25))/(LN(2)/25)*Calculateur!AQ75*Calculateur!AS75*VLOOKUP('Données projet'!$B$10,Paramètres!$A$1:$I$89,3,0)*0.475*44/12</f>
        <v>1.086294990266043</v>
      </c>
      <c r="AW75" s="21">
        <f>EXP(-LN(2)/2)*AW74+(1-EXP(-LN(2)/2))/(LN(2)/2)*AQ75*AT75*VLOOKUP('Données projet'!$B$10,Paramètres!$A$1:$I$89,3,0)*0.475*44/12</f>
        <v>3.3075037540061532E-6</v>
      </c>
      <c r="AX75" s="21">
        <f t="shared" si="60"/>
        <v>1.086298297769797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17</v>
      </c>
      <c r="BD75" s="12">
        <f>IF('Données projet'!$A$88&gt;35,BD74+BC75-BL74,IF(A75&lt;'Données projet'!$A$88,$BA$205^A75,IF(A75='Données projet'!$A$88,'Données projet'!$B$88,BD74+BC75-BL74)))</f>
        <v>396.99999999999989</v>
      </c>
      <c r="BE75" s="13">
        <f>BD75*VLOOKUP('Données projet'!$B$11,Paramètres!$A$1:$I$89,3,0)*VLOOKUP('Données projet'!$B$11,Paramètres!$A$1:$I$89,5,0)</f>
        <v>185.79599999999996</v>
      </c>
      <c r="BF75" s="13">
        <f t="shared" si="91"/>
        <v>46.60930127448345</v>
      </c>
      <c r="BG75" s="20">
        <f t="shared" si="61"/>
        <v>404.77256638639187</v>
      </c>
      <c r="BH75" s="59">
        <f t="shared" si="62"/>
        <v>698.10589971972513</v>
      </c>
      <c r="BI75" s="59">
        <f ca="1">AVERAGE(OFFSET($BH$3,0,0,'Données projet'!$E$11+1,1))-AVERAGE(OFFSET($H$3,0,0,'Données projet'!$E$11+1,1))</f>
        <v>215.23235148064941</v>
      </c>
      <c r="BJ75" s="59">
        <f t="shared" si="92"/>
        <v>184.07239726900434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1.3644058895813205</v>
      </c>
      <c r="BQ75" s="21">
        <f>EXP(-LN(2)/25)*BQ74+(1-EXP(-LN(2)/25))/(LN(2)/25)*Calculateur!BL75*Calculateur!BN75*VLOOKUP('Données projet'!$B$11,Paramètres!$A$1:$I$89,3,0)*0.475*44/12</f>
        <v>2.4515540322243532</v>
      </c>
      <c r="BR75" s="21">
        <f>EXP(-LN(2)/2)*BR74+(1-EXP(-LN(2)/2))/(LN(2)/2)*BL75*BO75*VLOOKUP('Données projet'!$B$11,Paramètres!$A$1:$I$89,3,0)*0.475*44/12</f>
        <v>4.6883470918159446E-6</v>
      </c>
      <c r="BS75" s="22">
        <f t="shared" si="63"/>
        <v>3.8159646101527658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 t="e">
        <f>BY75*VLOOKUP('Données projet'!$B$12,Paramètres!$A$1:$I$89,3,0)*VLOOKUP('Données projet'!$B$12,Paramètres!$A$1:$I$89,5,0)</f>
        <v>#N/A</v>
      </c>
      <c r="CA75" s="13" t="e">
        <f t="shared" si="93"/>
        <v>#N/A</v>
      </c>
      <c r="CB75" s="20" t="e">
        <f t="shared" si="64"/>
        <v>#N/A</v>
      </c>
      <c r="CC75" s="59" t="e">
        <f t="shared" si="65"/>
        <v>#N/A</v>
      </c>
      <c r="CD75" s="59" t="e">
        <f ca="1">AVERAGE(OFFSET($CC$3,0,0,'Données projet'!$E$12+1,1))-AVERAGE(OFFSET($H$3,0,0,'Données projet'!$E$12+1,1))</f>
        <v>#N/A</v>
      </c>
      <c r="CE75" s="59" t="e">
        <f t="shared" si="94"/>
        <v>#N/A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 t="e">
        <f>EXP(-LN(2)/35)*CK74+(1-EXP(-LN(2)/35))/(LN(2)/35)*CG75*CH75*VLOOKUP('Données projet'!$B$12,Paramètres!$A$1:$I$89,3,0)*0.475*44/12</f>
        <v>#N/A</v>
      </c>
      <c r="CL75" s="21" t="e">
        <f>EXP(-LN(2)/25)*CL74+(1-EXP(-LN(2)/25))/(LN(2)/25)*Calculateur!CG75*Calculateur!CI75*VLOOKUP('Données projet'!$B$12,Paramètres!$A$1:$I$89,3,0)*0.475*44/12</f>
        <v>#N/A</v>
      </c>
      <c r="CM75" s="21" t="e">
        <f>EXP(-LN(2)/2)*CM74+(1-EXP(-LN(2)/2))/(LN(2)/2)*CG75*CJ75*VLOOKUP('Données projet'!$B$12,Paramètres!$A$1:$I$89,3,0)*0.475*44/12</f>
        <v>#N/A</v>
      </c>
      <c r="CN75" s="22" t="e">
        <f t="shared" si="66"/>
        <v>#N/A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25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64.911600000000078</v>
      </c>
      <c r="D76" s="11">
        <f t="shared" si="86"/>
        <v>18.404332112224722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10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643.14052858559501</v>
      </c>
      <c r="H76" s="67">
        <f t="shared" si="56"/>
        <v>438.44191509545817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9.3000000000000007</v>
      </c>
      <c r="N76" s="13">
        <f>IF('Données projet'!$A$36&gt;35,N75+M76-V75,IF(A76&lt;'Données projet'!$A$36,$K$205^A76,IF(A76='Données projet'!$A$36,'Données projet'!$B$36,N75+M76-V75)))</f>
        <v>516.9</v>
      </c>
      <c r="O76" s="13">
        <f>N76*VLOOKUP('Données projet'!$B$9,Paramètres!$A$1:$I$89,3,0)*VLOOKUP('Données projet'!$B$9,Paramètres!$A$1:$I$89,5,0)</f>
        <v>288.94709999999998</v>
      </c>
      <c r="P76" s="13">
        <f t="shared" si="87"/>
        <v>68.854313111855461</v>
      </c>
      <c r="Q76" s="20">
        <f t="shared" si="54"/>
        <v>623.17079450314816</v>
      </c>
      <c r="R76" s="59">
        <f t="shared" si="55"/>
        <v>916.50412783648153</v>
      </c>
      <c r="S76" s="59">
        <f ca="1">AVERAGE(OFFSET($R$3,0,0,'Données projet'!$E$9+1,1))-AVERAGE(OFFSET($H$3,0,0,'Données projet'!$E$9+1,1))</f>
        <v>279.98352834501759</v>
      </c>
      <c r="T76" s="59">
        <f t="shared" si="88"/>
        <v>281.30062655265488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1.7056584797079097</v>
      </c>
      <c r="AA76" s="21">
        <f>EXP(-LN(2)/25)*AA75+(1-EXP(-LN(2)/25))/(LN(2)/25)*Calculateur!V76*Calculateur!X76*VLOOKUP('Données projet'!$B$9,Paramètres!$A$1:$I$89,3,0)*0.475*44/12</f>
        <v>7.3540588277977479</v>
      </c>
      <c r="AB76" s="21">
        <f>EXP(-LN(2)/2)*AB75+(1-EXP(-LN(2)/2))/(LN(2)/2)*V76*Y76*VLOOKUP('Données projet'!$B$9,Paramètres!$A$1:$I$89,3,0)*0.475*44/12</f>
        <v>9.547825805449471E-6</v>
      </c>
      <c r="AC76" s="22">
        <f t="shared" si="57"/>
        <v>9.059726855331462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6.1</v>
      </c>
      <c r="AI76" s="13">
        <f>IF('Données projet'!$A$62&gt;35,AI75+AH76-AQ75,IF(A76&lt;'Données projet'!$A$62,$AF$205^A76,IF(A76='Données projet'!$A$62,'Données projet'!$B$62,AI75+AH76-AQ75)))</f>
        <v>239.30000000000018</v>
      </c>
      <c r="AJ76" s="13">
        <f>AI76*VLOOKUP('Données projet'!$B$10,Paramètres!$A$1:$I$89,3,0)*VLOOKUP('Données projet'!$B$10,Paramètres!$A$1:$I$89,5,0)</f>
        <v>242.65020000000021</v>
      </c>
      <c r="AK76" s="13">
        <f t="shared" si="89"/>
        <v>59.009368964864635</v>
      </c>
      <c r="AL76" s="20">
        <f t="shared" si="58"/>
        <v>525.39041594713956</v>
      </c>
      <c r="AM76" s="59">
        <f t="shared" si="59"/>
        <v>818.72374928047293</v>
      </c>
      <c r="AN76" s="59">
        <f ca="1">AVERAGE(OFFSET($AM$3,0,0,'Données projet'!$E$10+1,1))-AVERAGE(OFFSET($H$3,0,0,'Données projet'!$E$10+1,1))</f>
        <v>279.20364724206644</v>
      </c>
      <c r="AO76" s="59">
        <f t="shared" si="90"/>
        <v>173.99850582760712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0</v>
      </c>
      <c r="AV76" s="21">
        <f>EXP(-LN(2)/25)*AV75+(1-EXP(-LN(2)/25))/(LN(2)/25)*Calculateur!AQ76*Calculateur!AS76*VLOOKUP('Données projet'!$B$10,Paramètres!$A$1:$I$89,3,0)*0.475*44/12</f>
        <v>1.0565901966314473</v>
      </c>
      <c r="AW76" s="21">
        <f>EXP(-LN(2)/2)*AW75+(1-EXP(-LN(2)/2))/(LN(2)/2)*AQ76*AT76*VLOOKUP('Données projet'!$B$10,Paramètres!$A$1:$I$89,3,0)*0.475*44/12</f>
        <v>2.3387583332577135E-6</v>
      </c>
      <c r="AX76" s="21">
        <f t="shared" si="60"/>
        <v>1.0565925353897805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17</v>
      </c>
      <c r="BD76" s="12">
        <f>IF('Données projet'!$A$88&gt;35,BD75+BC76-BL75,IF(A76&lt;'Données projet'!$A$88,$BA$205^A76,IF(A76='Données projet'!$A$88,'Données projet'!$B$88,BD75+BC76-BL75)))</f>
        <v>413.99999999999989</v>
      </c>
      <c r="BE76" s="13">
        <f>BD76*VLOOKUP('Données projet'!$B$11,Paramètres!$A$1:$I$89,3,0)*VLOOKUP('Données projet'!$B$11,Paramètres!$A$1:$I$89,5,0)</f>
        <v>193.75199999999995</v>
      </c>
      <c r="BF76" s="13">
        <f t="shared" si="91"/>
        <v>48.36852035537607</v>
      </c>
      <c r="BG76" s="20">
        <f t="shared" si="61"/>
        <v>421.69323961894656</v>
      </c>
      <c r="BH76" s="59">
        <f t="shared" si="62"/>
        <v>715.02657295227982</v>
      </c>
      <c r="BI76" s="59">
        <f ca="1">AVERAGE(OFFSET($BH$3,0,0,'Données projet'!$E$11+1,1))-AVERAGE(OFFSET($H$3,0,0,'Données projet'!$E$11+1,1))</f>
        <v>215.23235148064941</v>
      </c>
      <c r="BJ76" s="59">
        <f t="shared" si="92"/>
        <v>184.07239726900434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1.33765072229205</v>
      </c>
      <c r="BQ76" s="21">
        <f>EXP(-LN(2)/25)*BQ75+(1-EXP(-LN(2)/25))/(LN(2)/25)*Calculateur!BL76*Calculateur!BN76*VLOOKUP('Données projet'!$B$11,Paramètres!$A$1:$I$89,3,0)*0.475*44/12</f>
        <v>2.3845161582915546</v>
      </c>
      <c r="BR76" s="21">
        <f>EXP(-LN(2)/2)*BR75+(1-EXP(-LN(2)/2))/(LN(2)/2)*BL76*BO76*VLOOKUP('Données projet'!$B$11,Paramètres!$A$1:$I$89,3,0)*0.475*44/12</f>
        <v>3.3151620211792836E-6</v>
      </c>
      <c r="BS76" s="22">
        <f t="shared" si="63"/>
        <v>3.7221701957456261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 t="e">
        <f>BY76*VLOOKUP('Données projet'!$B$12,Paramètres!$A$1:$I$89,3,0)*VLOOKUP('Données projet'!$B$12,Paramètres!$A$1:$I$89,5,0)</f>
        <v>#N/A</v>
      </c>
      <c r="CA76" s="13" t="e">
        <f t="shared" si="93"/>
        <v>#N/A</v>
      </c>
      <c r="CB76" s="20" t="e">
        <f t="shared" si="64"/>
        <v>#N/A</v>
      </c>
      <c r="CC76" s="59" t="e">
        <f t="shared" si="65"/>
        <v>#N/A</v>
      </c>
      <c r="CD76" s="59" t="e">
        <f ca="1">AVERAGE(OFFSET($CC$3,0,0,'Données projet'!$E$12+1,1))-AVERAGE(OFFSET($H$3,0,0,'Données projet'!$E$12+1,1))</f>
        <v>#N/A</v>
      </c>
      <c r="CE76" s="59" t="e">
        <f t="shared" si="94"/>
        <v>#N/A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 t="e">
        <f>EXP(-LN(2)/35)*CK75+(1-EXP(-LN(2)/35))/(LN(2)/35)*CG76*CH76*VLOOKUP('Données projet'!$B$12,Paramètres!$A$1:$I$89,3,0)*0.475*44/12</f>
        <v>#N/A</v>
      </c>
      <c r="CL76" s="21" t="e">
        <f>EXP(-LN(2)/25)*CL75+(1-EXP(-LN(2)/25))/(LN(2)/25)*Calculateur!CG76*Calculateur!CI76*VLOOKUP('Données projet'!$B$12,Paramètres!$A$1:$I$89,3,0)*0.475*44/12</f>
        <v>#N/A</v>
      </c>
      <c r="CM76" s="21" t="e">
        <f>EXP(-LN(2)/2)*CM75+(1-EXP(-LN(2)/2))/(LN(2)/2)*CG76*CJ76*VLOOKUP('Données projet'!$B$12,Paramètres!$A$1:$I$89,3,0)*0.475*44/12</f>
        <v>#N/A</v>
      </c>
      <c r="CN76" s="22" t="e">
        <f t="shared" si="66"/>
        <v>#N/A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25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65.800800000000081</v>
      </c>
      <c r="D77" s="11">
        <f t="shared" si="86"/>
        <v>18.626923459774314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10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651.72277758422342</v>
      </c>
      <c r="H77" s="67">
        <f t="shared" si="56"/>
        <v>440.37828502577372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9.3000000000000007</v>
      </c>
      <c r="N77" s="13">
        <f>IF('Données projet'!$A$36&gt;35,N76+M77-V76,IF(A77&lt;'Données projet'!$A$36,$K$205^A77,IF(A77='Données projet'!$A$36,'Données projet'!$B$36,N76+M77-V76)))</f>
        <v>526.19999999999993</v>
      </c>
      <c r="O77" s="13">
        <f>N77*VLOOKUP('Données projet'!$B$9,Paramètres!$A$1:$I$89,3,0)*VLOOKUP('Données projet'!$B$9,Paramètres!$A$1:$I$89,5,0)</f>
        <v>294.14579999999995</v>
      </c>
      <c r="P77" s="13">
        <f t="shared" si="87"/>
        <v>69.947794242682079</v>
      </c>
      <c r="Q77" s="20">
        <f t="shared" si="54"/>
        <v>634.12967663933784</v>
      </c>
      <c r="R77" s="59">
        <f t="shared" si="55"/>
        <v>927.46300997267122</v>
      </c>
      <c r="S77" s="59">
        <f ca="1">AVERAGE(OFFSET($R$3,0,0,'Données projet'!$E$9+1,1))-AVERAGE(OFFSET($H$3,0,0,'Données projet'!$E$9+1,1))</f>
        <v>279.98352834501759</v>
      </c>
      <c r="T77" s="59">
        <f t="shared" si="88"/>
        <v>281.30062655265488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1.6722115572697844</v>
      </c>
      <c r="AA77" s="21">
        <f>EXP(-LN(2)/25)*AA76+(1-EXP(-LN(2)/25))/(LN(2)/25)*Calculateur!V77*Calculateur!X77*VLOOKUP('Données projet'!$B$9,Paramètres!$A$1:$I$89,3,0)*0.475*44/12</f>
        <v>7.1529617024184731</v>
      </c>
      <c r="AB77" s="21">
        <f>EXP(-LN(2)/2)*AB76+(1-EXP(-LN(2)/2))/(LN(2)/2)*V77*Y77*VLOOKUP('Données projet'!$B$9,Paramètres!$A$1:$I$89,3,0)*0.475*44/12</f>
        <v>6.7513323726212311E-6</v>
      </c>
      <c r="AC77" s="22">
        <f t="shared" si="57"/>
        <v>8.8251800110206311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6.1</v>
      </c>
      <c r="AI77" s="13">
        <f>IF('Données projet'!$A$62&gt;35,AI76+AH77-AQ76,IF(A77&lt;'Données projet'!$A$62,$AF$205^A77,IF(A77='Données projet'!$A$62,'Données projet'!$B$62,AI76+AH77-AQ76)))</f>
        <v>245.40000000000018</v>
      </c>
      <c r="AJ77" s="13">
        <f>AI77*VLOOKUP('Données projet'!$B$10,Paramètres!$A$1:$I$89,3,0)*VLOOKUP('Données projet'!$B$10,Paramètres!$A$1:$I$89,5,0)</f>
        <v>248.83560000000023</v>
      </c>
      <c r="AK77" s="13">
        <f t="shared" si="89"/>
        <v>60.336534411056299</v>
      </c>
      <c r="AL77" s="20">
        <f t="shared" si="58"/>
        <v>538.47480076592342</v>
      </c>
      <c r="AM77" s="59">
        <f t="shared" si="59"/>
        <v>831.80813409925668</v>
      </c>
      <c r="AN77" s="59">
        <f ca="1">AVERAGE(OFFSET($AM$3,0,0,'Données projet'!$E$10+1,1))-AVERAGE(OFFSET($H$3,0,0,'Données projet'!$E$10+1,1))</f>
        <v>279.20364724206644</v>
      </c>
      <c r="AO77" s="59">
        <f t="shared" si="90"/>
        <v>173.99850582760712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0</v>
      </c>
      <c r="AV77" s="21">
        <f>EXP(-LN(2)/25)*AV76+(1-EXP(-LN(2)/25))/(LN(2)/25)*Calculateur!AQ77*Calculateur!AS77*VLOOKUP('Données projet'!$B$10,Paramètres!$A$1:$I$89,3,0)*0.475*44/12</f>
        <v>1.0276976821408967</v>
      </c>
      <c r="AW77" s="21">
        <f>EXP(-LN(2)/2)*AW76+(1-EXP(-LN(2)/2))/(LN(2)/2)*AQ77*AT77*VLOOKUP('Données projet'!$B$10,Paramètres!$A$1:$I$89,3,0)*0.475*44/12</f>
        <v>1.6537518770030766E-6</v>
      </c>
      <c r="AX77" s="21">
        <f t="shared" si="60"/>
        <v>1.0276993358927737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17</v>
      </c>
      <c r="BD77" s="12">
        <f>IF('Données projet'!$A$88&gt;35,BD76+BC77-BL76,IF(A77&lt;'Données projet'!$A$88,$BA$205^A77,IF(A77='Données projet'!$A$88,'Données projet'!$B$88,BD76+BC77-BL76)))</f>
        <v>430.99999999999989</v>
      </c>
      <c r="BE77" s="13">
        <f>BD77*VLOOKUP('Données projet'!$B$11,Paramètres!$A$1:$I$89,3,0)*VLOOKUP('Données projet'!$B$11,Paramètres!$A$1:$I$89,5,0)</f>
        <v>201.70799999999994</v>
      </c>
      <c r="BF77" s="13">
        <f t="shared" si="91"/>
        <v>50.119348451854243</v>
      </c>
      <c r="BG77" s="20">
        <f t="shared" si="61"/>
        <v>438.59929855364607</v>
      </c>
      <c r="BH77" s="59">
        <f t="shared" si="62"/>
        <v>731.93263188697938</v>
      </c>
      <c r="BI77" s="59">
        <f ca="1">AVERAGE(OFFSET($BH$3,0,0,'Données projet'!$E$11+1,1))-AVERAGE(OFFSET($H$3,0,0,'Données projet'!$E$11+1,1))</f>
        <v>215.23235148064941</v>
      </c>
      <c r="BJ77" s="59">
        <f t="shared" si="92"/>
        <v>184.07239726900434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1.3114202075142813</v>
      </c>
      <c r="BQ77" s="21">
        <f>EXP(-LN(2)/25)*BQ76+(1-EXP(-LN(2)/25))/(LN(2)/25)*Calculateur!BL77*Calculateur!BN77*VLOOKUP('Données projet'!$B$11,Paramètres!$A$1:$I$89,3,0)*0.475*44/12</f>
        <v>2.319311438546817</v>
      </c>
      <c r="BR77" s="21">
        <f>EXP(-LN(2)/2)*BR76+(1-EXP(-LN(2)/2))/(LN(2)/2)*BL77*BO77*VLOOKUP('Données projet'!$B$11,Paramètres!$A$1:$I$89,3,0)*0.475*44/12</f>
        <v>2.3441735459079723E-6</v>
      </c>
      <c r="BS77" s="22">
        <f t="shared" si="63"/>
        <v>3.6307339902346443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 t="e">
        <f>BY77*VLOOKUP('Données projet'!$B$12,Paramètres!$A$1:$I$89,3,0)*VLOOKUP('Données projet'!$B$12,Paramètres!$A$1:$I$89,5,0)</f>
        <v>#N/A</v>
      </c>
      <c r="CA77" s="13" t="e">
        <f t="shared" si="93"/>
        <v>#N/A</v>
      </c>
      <c r="CB77" s="20" t="e">
        <f t="shared" si="64"/>
        <v>#N/A</v>
      </c>
      <c r="CC77" s="59" t="e">
        <f t="shared" si="65"/>
        <v>#N/A</v>
      </c>
      <c r="CD77" s="59" t="e">
        <f ca="1">AVERAGE(OFFSET($CC$3,0,0,'Données projet'!$E$12+1,1))-AVERAGE(OFFSET($H$3,0,0,'Données projet'!$E$12+1,1))</f>
        <v>#N/A</v>
      </c>
      <c r="CE77" s="59" t="e">
        <f t="shared" si="94"/>
        <v>#N/A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 t="e">
        <f>EXP(-LN(2)/35)*CK76+(1-EXP(-LN(2)/35))/(LN(2)/35)*CG77*CH77*VLOOKUP('Données projet'!$B$12,Paramètres!$A$1:$I$89,3,0)*0.475*44/12</f>
        <v>#N/A</v>
      </c>
      <c r="CL77" s="21" t="e">
        <f>EXP(-LN(2)/25)*CL76+(1-EXP(-LN(2)/25))/(LN(2)/25)*Calculateur!CG77*Calculateur!CI77*VLOOKUP('Données projet'!$B$12,Paramètres!$A$1:$I$89,3,0)*0.475*44/12</f>
        <v>#N/A</v>
      </c>
      <c r="CM77" s="21" t="e">
        <f>EXP(-LN(2)/2)*CM76+(1-EXP(-LN(2)/2))/(LN(2)/2)*CG77*CJ77*VLOOKUP('Données projet'!$B$12,Paramètres!$A$1:$I$89,3,0)*0.475*44/12</f>
        <v>#N/A</v>
      </c>
      <c r="CN77" s="22" t="e">
        <f t="shared" si="66"/>
        <v>#N/A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25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66.690000000000083</v>
      </c>
      <c r="D78" s="11">
        <f t="shared" si="86"/>
        <v>18.849164941118655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10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660.30232586126749</v>
      </c>
      <c r="H78" s="67">
        <f t="shared" si="56"/>
        <v>442.31404560578176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9.3000000000000007</v>
      </c>
      <c r="N78" s="13">
        <f>IF('Données projet'!$A$36&gt;35,N77+M78-V77,IF(A78&lt;'Données projet'!$A$36,$K$205^A78,IF(A78='Données projet'!$A$36,'Données projet'!$B$36,N77+M78-V77)))</f>
        <v>535.49999999999989</v>
      </c>
      <c r="O78" s="13">
        <f>N78*VLOOKUP('Données projet'!$B$9,Paramètres!$A$1:$I$89,3,0)*VLOOKUP('Données projet'!$B$9,Paramètres!$A$1:$I$89,5,0)</f>
        <v>299.34449999999998</v>
      </c>
      <c r="P78" s="13">
        <f t="shared" si="87"/>
        <v>71.039028008397935</v>
      </c>
      <c r="Q78" s="20">
        <f t="shared" si="54"/>
        <v>645.08464461462631</v>
      </c>
      <c r="R78" s="59">
        <f t="shared" si="55"/>
        <v>938.41797794795957</v>
      </c>
      <c r="S78" s="59">
        <f ca="1">AVERAGE(OFFSET($R$3,0,0,'Données projet'!$E$9+1,1))-AVERAGE(OFFSET($H$3,0,0,'Données projet'!$E$9+1,1))</f>
        <v>279.98352834501759</v>
      </c>
      <c r="T78" s="59">
        <f t="shared" si="88"/>
        <v>281.30062655265488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1.6394205085800624</v>
      </c>
      <c r="AA78" s="21">
        <f>EXP(-LN(2)/25)*AA77+(1-EXP(-LN(2)/25))/(LN(2)/25)*Calculateur!V78*Calculateur!X78*VLOOKUP('Données projet'!$B$9,Paramètres!$A$1:$I$89,3,0)*0.475*44/12</f>
        <v>6.9573635885079321</v>
      </c>
      <c r="AB78" s="21">
        <f>EXP(-LN(2)/2)*AB77+(1-EXP(-LN(2)/2))/(LN(2)/2)*V78*Y78*VLOOKUP('Données projet'!$B$9,Paramètres!$A$1:$I$89,3,0)*0.475*44/12</f>
        <v>4.7739129027247355E-6</v>
      </c>
      <c r="AC78" s="22">
        <f t="shared" si="57"/>
        <v>8.5967888710008964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6.1</v>
      </c>
      <c r="AI78" s="13">
        <f>IF('Données projet'!$A$62&gt;35,AI77+AH78-AQ77,IF(A78&lt;'Données projet'!$A$62,$AF$205^A78,IF(A78='Données projet'!$A$62,'Données projet'!$B$62,AI77+AH78-AQ77)))</f>
        <v>251.50000000000017</v>
      </c>
      <c r="AJ78" s="13">
        <f>AI78*VLOOKUP('Données projet'!$B$10,Paramètres!$A$1:$I$89,3,0)*VLOOKUP('Données projet'!$B$10,Paramètres!$A$1:$I$89,5,0)</f>
        <v>255.02100000000019</v>
      </c>
      <c r="AK78" s="13">
        <f t="shared" si="89"/>
        <v>61.659864971325668</v>
      </c>
      <c r="AL78" s="20">
        <f t="shared" si="58"/>
        <v>551.55250649172569</v>
      </c>
      <c r="AM78" s="59">
        <f t="shared" si="59"/>
        <v>844.88583982505907</v>
      </c>
      <c r="AN78" s="59">
        <f ca="1">AVERAGE(OFFSET($AM$3,0,0,'Données projet'!$E$10+1,1))-AVERAGE(OFFSET($H$3,0,0,'Données projet'!$E$10+1,1))</f>
        <v>279.20364724206644</v>
      </c>
      <c r="AO78" s="59">
        <f t="shared" si="90"/>
        <v>173.99850582760712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0</v>
      </c>
      <c r="AV78" s="21">
        <f>EXP(-LN(2)/25)*AV77+(1-EXP(-LN(2)/25))/(LN(2)/25)*Calculateur!AQ78*Calculateur!AS78*VLOOKUP('Données projet'!$B$10,Paramètres!$A$1:$I$89,3,0)*0.475*44/12</f>
        <v>0.99959523497848168</v>
      </c>
      <c r="AW78" s="21">
        <f>EXP(-LN(2)/2)*AW77+(1-EXP(-LN(2)/2))/(LN(2)/2)*AQ78*AT78*VLOOKUP('Données projet'!$B$10,Paramètres!$A$1:$I$89,3,0)*0.475*44/12</f>
        <v>1.1693791666288567E-6</v>
      </c>
      <c r="AX78" s="21">
        <f t="shared" si="60"/>
        <v>0.99959640435764829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17</v>
      </c>
      <c r="BD78" s="12">
        <f>IF('Données projet'!$A$88&gt;35,BD77+BC78-BL77,IF(A78&lt;'Données projet'!$A$88,$BA$205^A78,IF(A78='Données projet'!$A$88,'Données projet'!$B$88,BD77+BC78-BL77)))</f>
        <v>447.99999999999989</v>
      </c>
      <c r="BE78" s="13">
        <f>BD78*VLOOKUP('Données projet'!$B$11,Paramètres!$A$1:$I$89,3,0)*VLOOKUP('Données projet'!$B$11,Paramètres!$A$1:$I$89,5,0)</f>
        <v>209.66399999999993</v>
      </c>
      <c r="BF78" s="13">
        <f t="shared" si="91"/>
        <v>51.862154403304487</v>
      </c>
      <c r="BG78" s="20">
        <f t="shared" si="61"/>
        <v>455.49138558575515</v>
      </c>
      <c r="BH78" s="59">
        <f t="shared" si="62"/>
        <v>748.82471891908847</v>
      </c>
      <c r="BI78" s="59">
        <f ca="1">AVERAGE(OFFSET($BH$3,0,0,'Données projet'!$E$11+1,1))-AVERAGE(OFFSET($H$3,0,0,'Données projet'!$E$11+1,1))</f>
        <v>215.23235148064941</v>
      </c>
      <c r="BJ78" s="59">
        <f t="shared" si="92"/>
        <v>184.07239726900434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1.2857040571322707</v>
      </c>
      <c r="BQ78" s="21">
        <f>EXP(-LN(2)/25)*BQ77+(1-EXP(-LN(2)/25))/(LN(2)/25)*Calculateur!BL78*Calculateur!BN78*VLOOKUP('Données projet'!$B$11,Paramètres!$A$1:$I$89,3,0)*0.475*44/12</f>
        <v>2.2558897452924667</v>
      </c>
      <c r="BR78" s="21">
        <f>EXP(-LN(2)/2)*BR77+(1-EXP(-LN(2)/2))/(LN(2)/2)*BL78*BO78*VLOOKUP('Données projet'!$B$11,Paramètres!$A$1:$I$89,3,0)*0.475*44/12</f>
        <v>1.6575810105896418E-6</v>
      </c>
      <c r="BS78" s="22">
        <f t="shared" si="63"/>
        <v>3.5415954600057478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 t="e">
        <f>BY78*VLOOKUP('Données projet'!$B$12,Paramètres!$A$1:$I$89,3,0)*VLOOKUP('Données projet'!$B$12,Paramètres!$A$1:$I$89,5,0)</f>
        <v>#N/A</v>
      </c>
      <c r="CA78" s="13" t="e">
        <f t="shared" si="93"/>
        <v>#N/A</v>
      </c>
      <c r="CB78" s="20" t="e">
        <f t="shared" si="64"/>
        <v>#N/A</v>
      </c>
      <c r="CC78" s="59" t="e">
        <f t="shared" si="65"/>
        <v>#N/A</v>
      </c>
      <c r="CD78" s="59" t="e">
        <f ca="1">AVERAGE(OFFSET($CC$3,0,0,'Données projet'!$E$12+1,1))-AVERAGE(OFFSET($H$3,0,0,'Données projet'!$E$12+1,1))</f>
        <v>#N/A</v>
      </c>
      <c r="CE78" s="59" t="e">
        <f t="shared" si="94"/>
        <v>#N/A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 t="e">
        <f>EXP(-LN(2)/35)*CK77+(1-EXP(-LN(2)/35))/(LN(2)/35)*CG78*CH78*VLOOKUP('Données projet'!$B$12,Paramètres!$A$1:$I$89,3,0)*0.475*44/12</f>
        <v>#N/A</v>
      </c>
      <c r="CL78" s="21" t="e">
        <f>EXP(-LN(2)/25)*CL77+(1-EXP(-LN(2)/25))/(LN(2)/25)*Calculateur!CG78*Calculateur!CI78*VLOOKUP('Données projet'!$B$12,Paramètres!$A$1:$I$89,3,0)*0.475*44/12</f>
        <v>#N/A</v>
      </c>
      <c r="CM78" s="21" t="e">
        <f>EXP(-LN(2)/2)*CM77+(1-EXP(-LN(2)/2))/(LN(2)/2)*CG78*CJ78*VLOOKUP('Données projet'!$B$12,Paramètres!$A$1:$I$89,3,0)*0.475*44/12</f>
        <v>#N/A</v>
      </c>
      <c r="CN78" s="22" t="e">
        <f t="shared" si="66"/>
        <v>#N/A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25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67.579200000000085</v>
      </c>
      <c r="D79" s="11">
        <f t="shared" si="86"/>
        <v>19.071061760403854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10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668.87921358908307</v>
      </c>
      <c r="H79" s="67">
        <f t="shared" si="56"/>
        <v>444.24920589937017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9.3000000000000007</v>
      </c>
      <c r="N79" s="13">
        <f>IF('Données projet'!$A$36&gt;35,N78+M79-V78,IF(A79&lt;'Données projet'!$A$36,$K$205^A79,IF(A79='Données projet'!$A$36,'Données projet'!$B$36,N78+M79-V78)))</f>
        <v>544.79999999999984</v>
      </c>
      <c r="O79" s="13">
        <f>N79*VLOOKUP('Données projet'!$B$9,Paramètres!$A$1:$I$89,3,0)*VLOOKUP('Données projet'!$B$9,Paramètres!$A$1:$I$89,5,0)</f>
        <v>304.5431999999999</v>
      </c>
      <c r="P79" s="13">
        <f t="shared" si="87"/>
        <v>72.12805794234923</v>
      </c>
      <c r="Q79" s="20">
        <f t="shared" si="54"/>
        <v>656.03577424959133</v>
      </c>
      <c r="R79" s="59">
        <f t="shared" si="55"/>
        <v>949.3691075829247</v>
      </c>
      <c r="S79" s="59">
        <f ca="1">AVERAGE(OFFSET($R$3,0,0,'Données projet'!$E$9+1,1))-AVERAGE(OFFSET($H$3,0,0,'Données projet'!$E$9+1,1))</f>
        <v>279.98352834501759</v>
      </c>
      <c r="T79" s="59">
        <f t="shared" si="88"/>
        <v>281.30062655265488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1.607272472354581</v>
      </c>
      <c r="AA79" s="21">
        <f>EXP(-LN(2)/25)*AA78+(1-EXP(-LN(2)/25))/(LN(2)/25)*Calculateur!V79*Calculateur!X79*VLOOKUP('Données projet'!$B$9,Paramètres!$A$1:$I$89,3,0)*0.475*44/12</f>
        <v>6.767114115308333</v>
      </c>
      <c r="AB79" s="21">
        <f>EXP(-LN(2)/2)*AB78+(1-EXP(-LN(2)/2))/(LN(2)/2)*V79*Y79*VLOOKUP('Données projet'!$B$9,Paramètres!$A$1:$I$89,3,0)*0.475*44/12</f>
        <v>3.3756661863106155E-6</v>
      </c>
      <c r="AC79" s="22">
        <f t="shared" si="57"/>
        <v>8.374389963329099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6.1</v>
      </c>
      <c r="AI79" s="13">
        <f>IF('Données projet'!$A$62&gt;35,AI78+AH79-AQ78,IF(A79&lt;'Données projet'!$A$62,$AF$205^A79,IF(A79='Données projet'!$A$62,'Données projet'!$B$62,AI78+AH79-AQ78)))</f>
        <v>257.60000000000019</v>
      </c>
      <c r="AJ79" s="13">
        <f>AI79*VLOOKUP('Données projet'!$B$10,Paramètres!$A$1:$I$89,3,0)*VLOOKUP('Données projet'!$B$10,Paramètres!$A$1:$I$89,5,0)</f>
        <v>261.2064000000002</v>
      </c>
      <c r="AK79" s="13">
        <f t="shared" si="89"/>
        <v>62.979464359660597</v>
      </c>
      <c r="AL79" s="20">
        <f t="shared" si="58"/>
        <v>564.6237137597426</v>
      </c>
      <c r="AM79" s="59">
        <f t="shared" si="59"/>
        <v>857.95704709307597</v>
      </c>
      <c r="AN79" s="59">
        <f ca="1">AVERAGE(OFFSET($AM$3,0,0,'Données projet'!$E$10+1,1))-AVERAGE(OFFSET($H$3,0,0,'Données projet'!$E$10+1,1))</f>
        <v>279.20364724206644</v>
      </c>
      <c r="AO79" s="59">
        <f t="shared" si="90"/>
        <v>173.99850582760712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0</v>
      </c>
      <c r="AV79" s="21">
        <f>EXP(-LN(2)/25)*AV78+(1-EXP(-LN(2)/25))/(LN(2)/25)*Calculateur!AQ79*Calculateur!AS79*VLOOKUP('Données projet'!$B$10,Paramètres!$A$1:$I$89,3,0)*0.475*44/12</f>
        <v>0.97226125071156633</v>
      </c>
      <c r="AW79" s="21">
        <f>EXP(-LN(2)/2)*AW78+(1-EXP(-LN(2)/2))/(LN(2)/2)*AQ79*AT79*VLOOKUP('Données projet'!$B$10,Paramètres!$A$1:$I$89,3,0)*0.475*44/12</f>
        <v>8.2687593850153831E-7</v>
      </c>
      <c r="AX79" s="21">
        <f t="shared" si="60"/>
        <v>0.97226207758750482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17</v>
      </c>
      <c r="BD79" s="12">
        <f>IF('Données projet'!$A$88&gt;35,BD78+BC79-BL78,IF(A79&lt;'Données projet'!$A$88,$BA$205^A79,IF(A79='Données projet'!$A$88,'Données projet'!$B$88,BD78+BC79-BL78)))</f>
        <v>464.99999999999989</v>
      </c>
      <c r="BE79" s="13">
        <f>BD79*VLOOKUP('Données projet'!$B$11,Paramètres!$A$1:$I$89,3,0)*VLOOKUP('Données projet'!$B$11,Paramètres!$A$1:$I$89,5,0)</f>
        <v>217.61999999999995</v>
      </c>
      <c r="BF79" s="13">
        <f t="shared" si="91"/>
        <v>53.597277471320098</v>
      </c>
      <c r="BG79" s="20">
        <f t="shared" si="61"/>
        <v>472.37009159588234</v>
      </c>
      <c r="BH79" s="59">
        <f t="shared" si="62"/>
        <v>765.70342492921566</v>
      </c>
      <c r="BI79" s="59">
        <f ca="1">AVERAGE(OFFSET($BH$3,0,0,'Données projet'!$E$11+1,1))-AVERAGE(OFFSET($H$3,0,0,'Données projet'!$E$11+1,1))</f>
        <v>215.23235148064941</v>
      </c>
      <c r="BJ79" s="59">
        <f t="shared" si="92"/>
        <v>184.07239726900434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1.2604921847739481</v>
      </c>
      <c r="BQ79" s="21">
        <f>EXP(-LN(2)/25)*BQ78+(1-EXP(-LN(2)/25))/(LN(2)/25)*Calculateur!BL79*Calculateur!BN79*VLOOKUP('Données projet'!$B$11,Paramètres!$A$1:$I$89,3,0)*0.475*44/12</f>
        <v>2.1942023215753585</v>
      </c>
      <c r="BR79" s="21">
        <f>EXP(-LN(2)/2)*BR78+(1-EXP(-LN(2)/2))/(LN(2)/2)*BL79*BO79*VLOOKUP('Données projet'!$B$11,Paramètres!$A$1:$I$89,3,0)*0.475*44/12</f>
        <v>1.1720867729539862E-6</v>
      </c>
      <c r="BS79" s="22">
        <f t="shared" si="63"/>
        <v>3.4546956784360794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 t="e">
        <f>BY79*VLOOKUP('Données projet'!$B$12,Paramètres!$A$1:$I$89,3,0)*VLOOKUP('Données projet'!$B$12,Paramètres!$A$1:$I$89,5,0)</f>
        <v>#N/A</v>
      </c>
      <c r="CA79" s="13" t="e">
        <f t="shared" si="93"/>
        <v>#N/A</v>
      </c>
      <c r="CB79" s="20" t="e">
        <f t="shared" si="64"/>
        <v>#N/A</v>
      </c>
      <c r="CC79" s="59" t="e">
        <f t="shared" si="65"/>
        <v>#N/A</v>
      </c>
      <c r="CD79" s="59" t="e">
        <f ca="1">AVERAGE(OFFSET($CC$3,0,0,'Données projet'!$E$12+1,1))-AVERAGE(OFFSET($H$3,0,0,'Données projet'!$E$12+1,1))</f>
        <v>#N/A</v>
      </c>
      <c r="CE79" s="59" t="e">
        <f t="shared" si="94"/>
        <v>#N/A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 t="e">
        <f>EXP(-LN(2)/35)*CK78+(1-EXP(-LN(2)/35))/(LN(2)/35)*CG79*CH79*VLOOKUP('Données projet'!$B$12,Paramètres!$A$1:$I$89,3,0)*0.475*44/12</f>
        <v>#N/A</v>
      </c>
      <c r="CL79" s="21" t="e">
        <f>EXP(-LN(2)/25)*CL78+(1-EXP(-LN(2)/25))/(LN(2)/25)*Calculateur!CG79*Calculateur!CI79*VLOOKUP('Données projet'!$B$12,Paramètres!$A$1:$I$89,3,0)*0.475*44/12</f>
        <v>#N/A</v>
      </c>
      <c r="CM79" s="21" t="e">
        <f>EXP(-LN(2)/2)*CM78+(1-EXP(-LN(2)/2))/(LN(2)/2)*CG79*CJ79*VLOOKUP('Données projet'!$B$12,Paramètres!$A$1:$I$89,3,0)*0.475*44/12</f>
        <v>#N/A</v>
      </c>
      <c r="CN79" s="22" t="e">
        <f t="shared" si="66"/>
        <v>#N/A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25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68.468400000000088</v>
      </c>
      <c r="D80" s="11">
        <f t="shared" si="86"/>
        <v>19.292618976952753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10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677.45347982209216</v>
      </c>
      <c r="H80" s="67">
        <f t="shared" si="56"/>
        <v>446.18377471819281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9.3000000000000007</v>
      </c>
      <c r="N80" s="13">
        <f>IF('Données projet'!$A$36&gt;35,N79+M80-V79,IF(A80&lt;'Données projet'!$A$36,$K$205^A80,IF(A80='Données projet'!$A$36,'Données projet'!$B$36,N79+M80-V79)))</f>
        <v>554.0999999999998</v>
      </c>
      <c r="O80" s="13">
        <f>N80*VLOOKUP('Données projet'!$B$9,Paramètres!$A$1:$I$89,3,0)*VLOOKUP('Données projet'!$B$9,Paramètres!$A$1:$I$89,5,0)</f>
        <v>309.74189999999993</v>
      </c>
      <c r="P80" s="13">
        <f t="shared" si="87"/>
        <v>73.214926006444216</v>
      </c>
      <c r="Q80" s="20">
        <f t="shared" si="54"/>
        <v>666.98313862789018</v>
      </c>
      <c r="R80" s="59">
        <f t="shared" si="55"/>
        <v>960.31647196122344</v>
      </c>
      <c r="S80" s="59">
        <f ca="1">AVERAGE(OFFSET($R$3,0,0,'Données projet'!$E$9+1,1))-AVERAGE(OFFSET($H$3,0,0,'Données projet'!$E$9+1,1))</f>
        <v>279.98352834501759</v>
      </c>
      <c r="T80" s="59">
        <f t="shared" si="88"/>
        <v>281.30062655265488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1.5757548395111154</v>
      </c>
      <c r="AA80" s="21">
        <f>EXP(-LN(2)/25)*AA79+(1-EXP(-LN(2)/25))/(LN(2)/25)*Calculateur!V80*Calculateur!X80*VLOOKUP('Données projet'!$B$9,Paramètres!$A$1:$I$89,3,0)*0.475*44/12</f>
        <v>6.582067023958162</v>
      </c>
      <c r="AB80" s="21">
        <f>EXP(-LN(2)/2)*AB79+(1-EXP(-LN(2)/2))/(LN(2)/2)*V80*Y80*VLOOKUP('Données projet'!$B$9,Paramètres!$A$1:$I$89,3,0)*0.475*44/12</f>
        <v>2.3869564513623678E-6</v>
      </c>
      <c r="AC80" s="22">
        <f t="shared" si="57"/>
        <v>8.1578242504257279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6.1</v>
      </c>
      <c r="AI80" s="13">
        <f>IF('Données projet'!$A$62&gt;35,AI79+AH80-AQ79,IF(A80&lt;'Données projet'!$A$62,$AF$205^A80,IF(A80='Données projet'!$A$62,'Données projet'!$B$62,AI79+AH80-AQ79)))</f>
        <v>263.70000000000022</v>
      </c>
      <c r="AJ80" s="13">
        <f>AI80*VLOOKUP('Données projet'!$B$10,Paramètres!$A$1:$I$89,3,0)*VLOOKUP('Données projet'!$B$10,Paramètres!$A$1:$I$89,5,0)</f>
        <v>267.39180000000022</v>
      </c>
      <c r="AK80" s="13">
        <f t="shared" si="89"/>
        <v>64.29543109795074</v>
      </c>
      <c r="AL80" s="20">
        <f t="shared" si="58"/>
        <v>577.68859416226462</v>
      </c>
      <c r="AM80" s="59">
        <f t="shared" si="59"/>
        <v>871.02192749559799</v>
      </c>
      <c r="AN80" s="59">
        <f ca="1">AVERAGE(OFFSET($AM$3,0,0,'Données projet'!$E$10+1,1))-AVERAGE(OFFSET($H$3,0,0,'Données projet'!$E$10+1,1))</f>
        <v>279.20364724206644</v>
      </c>
      <c r="AO80" s="59">
        <f t="shared" si="90"/>
        <v>173.99850582760712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0</v>
      </c>
      <c r="AV80" s="21">
        <f>EXP(-LN(2)/25)*AV79+(1-EXP(-LN(2)/25))/(LN(2)/25)*Calculateur!AQ80*Calculateur!AS80*VLOOKUP('Données projet'!$B$10,Paramètres!$A$1:$I$89,3,0)*0.475*44/12</f>
        <v>0.94567471568186146</v>
      </c>
      <c r="AW80" s="21">
        <f>EXP(-LN(2)/2)*AW79+(1-EXP(-LN(2)/2))/(LN(2)/2)*AQ80*AT80*VLOOKUP('Données projet'!$B$10,Paramètres!$A$1:$I$89,3,0)*0.475*44/12</f>
        <v>5.8468958331442837E-7</v>
      </c>
      <c r="AX80" s="21">
        <f t="shared" si="60"/>
        <v>0.94567530037144476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17</v>
      </c>
      <c r="BD80" s="12">
        <f>IF('Données projet'!$A$88&gt;35,BD79+BC80-BL79,IF(A80&lt;'Données projet'!$A$88,$BA$205^A80,IF(A80='Données projet'!$A$88,'Données projet'!$B$88,BD79+BC80-BL79)))</f>
        <v>481.99999999999989</v>
      </c>
      <c r="BE80" s="13">
        <f>BD80*VLOOKUP('Données projet'!$B$11,Paramètres!$A$1:$I$89,3,0)*VLOOKUP('Données projet'!$B$11,Paramètres!$A$1:$I$89,5,0)</f>
        <v>225.57599999999994</v>
      </c>
      <c r="BF80" s="13">
        <f t="shared" si="91"/>
        <v>55.325030705505945</v>
      </c>
      <c r="BG80" s="20">
        <f t="shared" si="61"/>
        <v>489.23596181208933</v>
      </c>
      <c r="BH80" s="59">
        <f t="shared" si="62"/>
        <v>782.56929514542264</v>
      </c>
      <c r="BI80" s="59">
        <f ca="1">AVERAGE(OFFSET($BH$3,0,0,'Données projet'!$E$11+1,1))-AVERAGE(OFFSET($H$3,0,0,'Données projet'!$E$11+1,1))</f>
        <v>215.23235148064941</v>
      </c>
      <c r="BJ80" s="59">
        <f t="shared" si="92"/>
        <v>184.07239726900434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1.2357747018548486</v>
      </c>
      <c r="BQ80" s="21">
        <f>EXP(-LN(2)/25)*BQ79+(1-EXP(-LN(2)/25))/(LN(2)/25)*Calculateur!BL80*Calculateur!BN80*VLOOKUP('Données projet'!$B$11,Paramètres!$A$1:$I$89,3,0)*0.475*44/12</f>
        <v>2.134201743703795</v>
      </c>
      <c r="BR80" s="21">
        <f>EXP(-LN(2)/2)*BR79+(1-EXP(-LN(2)/2))/(LN(2)/2)*BL80*BO80*VLOOKUP('Données projet'!$B$11,Paramètres!$A$1:$I$89,3,0)*0.475*44/12</f>
        <v>8.2879050529482091E-7</v>
      </c>
      <c r="BS80" s="22">
        <f t="shared" si="63"/>
        <v>3.3699772743491487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 t="e">
        <f>BY80*VLOOKUP('Données projet'!$B$12,Paramètres!$A$1:$I$89,3,0)*VLOOKUP('Données projet'!$B$12,Paramètres!$A$1:$I$89,5,0)</f>
        <v>#N/A</v>
      </c>
      <c r="CA80" s="13" t="e">
        <f t="shared" si="93"/>
        <v>#N/A</v>
      </c>
      <c r="CB80" s="20" t="e">
        <f t="shared" si="64"/>
        <v>#N/A</v>
      </c>
      <c r="CC80" s="59" t="e">
        <f t="shared" si="65"/>
        <v>#N/A</v>
      </c>
      <c r="CD80" s="59" t="e">
        <f ca="1">AVERAGE(OFFSET($CC$3,0,0,'Données projet'!$E$12+1,1))-AVERAGE(OFFSET($H$3,0,0,'Données projet'!$E$12+1,1))</f>
        <v>#N/A</v>
      </c>
      <c r="CE80" s="59" t="e">
        <f t="shared" si="94"/>
        <v>#N/A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 t="e">
        <f>EXP(-LN(2)/35)*CK79+(1-EXP(-LN(2)/35))/(LN(2)/35)*CG80*CH80*VLOOKUP('Données projet'!$B$12,Paramètres!$A$1:$I$89,3,0)*0.475*44/12</f>
        <v>#N/A</v>
      </c>
      <c r="CL80" s="21" t="e">
        <f>EXP(-LN(2)/25)*CL79+(1-EXP(-LN(2)/25))/(LN(2)/25)*Calculateur!CG80*Calculateur!CI80*VLOOKUP('Données projet'!$B$12,Paramètres!$A$1:$I$89,3,0)*0.475*44/12</f>
        <v>#N/A</v>
      </c>
      <c r="CM80" s="21" t="e">
        <f>EXP(-LN(2)/2)*CM79+(1-EXP(-LN(2)/2))/(LN(2)/2)*CG80*CJ80*VLOOKUP('Données projet'!$B$12,Paramètres!$A$1:$I$89,3,0)*0.475*44/12</f>
        <v>#N/A</v>
      </c>
      <c r="CN80" s="22" t="e">
        <f t="shared" si="66"/>
        <v>#N/A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25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69.35760000000009</v>
      </c>
      <c r="D81" s="11">
        <f t="shared" si="86"/>
        <v>19.51384151112245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10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686.02516254199861</v>
      </c>
      <c r="H81" s="67">
        <f t="shared" si="56"/>
        <v>448.11776063187176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9.3000000000000007</v>
      </c>
      <c r="N81" s="13">
        <f>IF('Données projet'!$A$36&gt;35,N80+M81-V80,IF(A81&lt;'Données projet'!$A$36,$K$205^A81,IF(A81='Données projet'!$A$36,'Données projet'!$B$36,N80+M81-V80)))</f>
        <v>563.39999999999975</v>
      </c>
      <c r="O81" s="13">
        <f>N81*VLOOKUP('Données projet'!$B$9,Paramètres!$A$1:$I$89,3,0)*VLOOKUP('Données projet'!$B$9,Paramètres!$A$1:$I$89,5,0)</f>
        <v>314.94059999999985</v>
      </c>
      <c r="P81" s="13">
        <f t="shared" si="87"/>
        <v>74.299672673282643</v>
      </c>
      <c r="Q81" s="20">
        <f t="shared" si="54"/>
        <v>677.92680823930039</v>
      </c>
      <c r="R81" s="59">
        <f t="shared" si="55"/>
        <v>971.26014157263376</v>
      </c>
      <c r="S81" s="59">
        <f ca="1">AVERAGE(OFFSET($R$3,0,0,'Données projet'!$E$9+1,1))-AVERAGE(OFFSET($H$3,0,0,'Données projet'!$E$9+1,1))</f>
        <v>279.98352834501759</v>
      </c>
      <c r="T81" s="59">
        <f t="shared" si="88"/>
        <v>281.30062655265488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1.5448552482238522</v>
      </c>
      <c r="AA81" s="21">
        <f>EXP(-LN(2)/25)*AA80+(1-EXP(-LN(2)/25))/(LN(2)/25)*Calculateur!V81*Calculateur!X81*VLOOKUP('Données projet'!$B$9,Paramètres!$A$1:$I$89,3,0)*0.475*44/12</f>
        <v>6.4020800550521644</v>
      </c>
      <c r="AB81" s="21">
        <f>EXP(-LN(2)/2)*AB80+(1-EXP(-LN(2)/2))/(LN(2)/2)*V81*Y81*VLOOKUP('Données projet'!$B$9,Paramètres!$A$1:$I$89,3,0)*0.475*44/12</f>
        <v>1.6878330931553078E-6</v>
      </c>
      <c r="AC81" s="22">
        <f t="shared" si="57"/>
        <v>7.9469369911091094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6.1</v>
      </c>
      <c r="AI81" s="13">
        <f>IF('Données projet'!$A$62&gt;35,AI80+AH81-AQ80,IF(A81&lt;'Données projet'!$A$62,$AF$205^A81,IF(A81='Données projet'!$A$62,'Données projet'!$B$62,AI80+AH81-AQ80)))</f>
        <v>269.80000000000024</v>
      </c>
      <c r="AJ81" s="13">
        <f>AI81*VLOOKUP('Données projet'!$B$10,Paramètres!$A$1:$I$89,3,0)*VLOOKUP('Données projet'!$B$10,Paramètres!$A$1:$I$89,5,0)</f>
        <v>273.57720000000029</v>
      </c>
      <c r="AK81" s="13">
        <f t="shared" si="89"/>
        <v>65.607858889915164</v>
      </c>
      <c r="AL81" s="20">
        <f t="shared" si="58"/>
        <v>590.747310899936</v>
      </c>
      <c r="AM81" s="59">
        <f t="shared" si="59"/>
        <v>884.08064423326937</v>
      </c>
      <c r="AN81" s="59">
        <f ca="1">AVERAGE(OFFSET($AM$3,0,0,'Données projet'!$E$10+1,1))-AVERAGE(OFFSET($H$3,0,0,'Données projet'!$E$10+1,1))</f>
        <v>279.20364724206644</v>
      </c>
      <c r="AO81" s="59">
        <f t="shared" si="90"/>
        <v>173.99850582760712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0</v>
      </c>
      <c r="AV81" s="21">
        <f>EXP(-LN(2)/25)*AV80+(1-EXP(-LN(2)/25))/(LN(2)/25)*Calculateur!AQ81*Calculateur!AS81*VLOOKUP('Données projet'!$B$10,Paramètres!$A$1:$I$89,3,0)*0.475*44/12</f>
        <v>0.91981519085066898</v>
      </c>
      <c r="AW81" s="21">
        <f>EXP(-LN(2)/2)*AW80+(1-EXP(-LN(2)/2))/(LN(2)/2)*AQ81*AT81*VLOOKUP('Données projet'!$B$10,Paramètres!$A$1:$I$89,3,0)*0.475*44/12</f>
        <v>4.1343796925076915E-7</v>
      </c>
      <c r="AX81" s="21">
        <f t="shared" si="60"/>
        <v>0.91981560428863829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17</v>
      </c>
      <c r="BD81" s="12">
        <f>IF('Données projet'!$A$88&gt;35,BD80+BC81-BL80,IF(A81&lt;'Données projet'!$A$88,$BA$205^A81,IF(A81='Données projet'!$A$88,'Données projet'!$B$88,BD80+BC81-BL80)))</f>
        <v>498.99999999999989</v>
      </c>
      <c r="BE81" s="13">
        <f>BD81*VLOOKUP('Données projet'!$B$11,Paramètres!$A$1:$I$89,3,0)*VLOOKUP('Données projet'!$B$11,Paramètres!$A$1:$I$89,5,0)</f>
        <v>233.53199999999995</v>
      </c>
      <c r="BF81" s="13">
        <f t="shared" si="91"/>
        <v>57.04570382109808</v>
      </c>
      <c r="BG81" s="20">
        <f t="shared" si="61"/>
        <v>506.08950082174573</v>
      </c>
      <c r="BH81" s="59">
        <f t="shared" si="62"/>
        <v>799.42283415507904</v>
      </c>
      <c r="BI81" s="59">
        <f ca="1">AVERAGE(OFFSET($BH$3,0,0,'Données projet'!$E$11+1,1))-AVERAGE(OFFSET($H$3,0,0,'Données projet'!$E$11+1,1))</f>
        <v>215.23235148064941</v>
      </c>
      <c r="BJ81" s="59">
        <f t="shared" si="92"/>
        <v>184.07239726900434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1.2115419136996166</v>
      </c>
      <c r="BQ81" s="21">
        <f>EXP(-LN(2)/25)*BQ80+(1-EXP(-LN(2)/25))/(LN(2)/25)*Calculateur!BL81*Calculateur!BN81*VLOOKUP('Données projet'!$B$11,Paramètres!$A$1:$I$89,3,0)*0.475*44/12</f>
        <v>2.0758418847894227</v>
      </c>
      <c r="BR81" s="21">
        <f>EXP(-LN(2)/2)*BR80+(1-EXP(-LN(2)/2))/(LN(2)/2)*BL81*BO81*VLOOKUP('Données projet'!$B$11,Paramètres!$A$1:$I$89,3,0)*0.475*44/12</f>
        <v>5.8604338647699308E-7</v>
      </c>
      <c r="BS81" s="22">
        <f t="shared" si="63"/>
        <v>3.2873843845324258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 t="e">
        <f>BY81*VLOOKUP('Données projet'!$B$12,Paramètres!$A$1:$I$89,3,0)*VLOOKUP('Données projet'!$B$12,Paramètres!$A$1:$I$89,5,0)</f>
        <v>#N/A</v>
      </c>
      <c r="CA81" s="13" t="e">
        <f t="shared" si="93"/>
        <v>#N/A</v>
      </c>
      <c r="CB81" s="20" t="e">
        <f t="shared" si="64"/>
        <v>#N/A</v>
      </c>
      <c r="CC81" s="59" t="e">
        <f t="shared" si="65"/>
        <v>#N/A</v>
      </c>
      <c r="CD81" s="59" t="e">
        <f ca="1">AVERAGE(OFFSET($CC$3,0,0,'Données projet'!$E$12+1,1))-AVERAGE(OFFSET($H$3,0,0,'Données projet'!$E$12+1,1))</f>
        <v>#N/A</v>
      </c>
      <c r="CE81" s="59" t="e">
        <f t="shared" si="94"/>
        <v>#N/A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 t="e">
        <f>EXP(-LN(2)/35)*CK80+(1-EXP(-LN(2)/35))/(LN(2)/35)*CG81*CH81*VLOOKUP('Données projet'!$B$12,Paramètres!$A$1:$I$89,3,0)*0.475*44/12</f>
        <v>#N/A</v>
      </c>
      <c r="CL81" s="21" t="e">
        <f>EXP(-LN(2)/25)*CL80+(1-EXP(-LN(2)/25))/(LN(2)/25)*Calculateur!CG81*Calculateur!CI81*VLOOKUP('Données projet'!$B$12,Paramètres!$A$1:$I$89,3,0)*0.475*44/12</f>
        <v>#N/A</v>
      </c>
      <c r="CM81" s="21" t="e">
        <f>EXP(-LN(2)/2)*CM80+(1-EXP(-LN(2)/2))/(LN(2)/2)*CG81*CJ81*VLOOKUP('Données projet'!$B$12,Paramètres!$A$1:$I$89,3,0)*0.475*44/12</f>
        <v>#N/A</v>
      </c>
      <c r="CN81" s="22" t="e">
        <f t="shared" si="66"/>
        <v>#N/A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25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70.246800000000093</v>
      </c>
      <c r="D82" s="11">
        <f t="shared" si="86"/>
        <v>19.734734149853086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10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694.59429870062104</v>
      </c>
      <c r="H82" s="67">
        <f t="shared" si="56"/>
        <v>450.05117197766094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9.3000000000000007</v>
      </c>
      <c r="N82" s="13">
        <f>IF('Données projet'!$A$36&gt;35,N81+M82-V81,IF(A82&lt;'Données projet'!$A$36,$K$205^A82,IF(A82='Données projet'!$A$36,'Données projet'!$B$36,N81+M82-V81)))</f>
        <v>572.6999999999997</v>
      </c>
      <c r="O82" s="13">
        <f>N82*VLOOKUP('Données projet'!$B$9,Paramètres!$A$1:$I$89,3,0)*VLOOKUP('Données projet'!$B$9,Paramètres!$A$1:$I$89,5,0)</f>
        <v>320.13929999999988</v>
      </c>
      <c r="P82" s="13">
        <f t="shared" si="87"/>
        <v>75.382337002709846</v>
      </c>
      <c r="Q82" s="20">
        <f t="shared" si="54"/>
        <v>688.8668511130528</v>
      </c>
      <c r="R82" s="59">
        <f t="shared" si="55"/>
        <v>982.20018444638617</v>
      </c>
      <c r="S82" s="59">
        <f ca="1">AVERAGE(OFFSET($R$3,0,0,'Données projet'!$E$9+1,1))-AVERAGE(OFFSET($H$3,0,0,'Données projet'!$E$9+1,1))</f>
        <v>279.98352834501759</v>
      </c>
      <c r="T82" s="59">
        <f t="shared" si="88"/>
        <v>281.30062655265488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1.5145615790748426</v>
      </c>
      <c r="AA82" s="21">
        <f>EXP(-LN(2)/25)*AA81+(1-EXP(-LN(2)/25))/(LN(2)/25)*Calculateur!V82*Calculateur!X82*VLOOKUP('Données projet'!$B$9,Paramètres!$A$1:$I$89,3,0)*0.475*44/12</f>
        <v>6.2270148392760047</v>
      </c>
      <c r="AB82" s="21">
        <f>EXP(-LN(2)/2)*AB81+(1-EXP(-LN(2)/2))/(LN(2)/2)*V82*Y82*VLOOKUP('Données projet'!$B$9,Paramètres!$A$1:$I$89,3,0)*0.475*44/12</f>
        <v>1.1934782256811839E-6</v>
      </c>
      <c r="AC82" s="22">
        <f t="shared" si="57"/>
        <v>7.7415776118290731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6.1</v>
      </c>
      <c r="AI82" s="13">
        <f>IF('Données projet'!$A$62&gt;35,AI81+AH82-AQ81,IF(A82&lt;'Données projet'!$A$62,$AF$205^A82,IF(A82='Données projet'!$A$62,'Données projet'!$B$62,AI81+AH82-AQ81)))</f>
        <v>275.90000000000026</v>
      </c>
      <c r="AJ82" s="13">
        <f>AI82*VLOOKUP('Données projet'!$B$10,Paramètres!$A$1:$I$89,3,0)*VLOOKUP('Données projet'!$B$10,Paramètres!$A$1:$I$89,5,0)</f>
        <v>279.7626000000003</v>
      </c>
      <c r="AK82" s="13">
        <f t="shared" si="89"/>
        <v>66.916836960258763</v>
      </c>
      <c r="AL82" s="20">
        <f t="shared" si="58"/>
        <v>603.80001937245117</v>
      </c>
      <c r="AM82" s="59">
        <f t="shared" si="59"/>
        <v>897.13335270578455</v>
      </c>
      <c r="AN82" s="59">
        <f ca="1">AVERAGE(OFFSET($AM$3,0,0,'Données projet'!$E$10+1,1))-AVERAGE(OFFSET($H$3,0,0,'Données projet'!$E$10+1,1))</f>
        <v>279.20364724206644</v>
      </c>
      <c r="AO82" s="59">
        <f t="shared" si="90"/>
        <v>173.99850582760712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0</v>
      </c>
      <c r="AV82" s="21">
        <f>EXP(-LN(2)/25)*AV81+(1-EXP(-LN(2)/25))/(LN(2)/25)*Calculateur!AQ82*Calculateur!AS82*VLOOKUP('Données projet'!$B$10,Paramètres!$A$1:$I$89,3,0)*0.475*44/12</f>
        <v>0.89466279608587884</v>
      </c>
      <c r="AW82" s="21">
        <f>EXP(-LN(2)/2)*AW81+(1-EXP(-LN(2)/2))/(LN(2)/2)*AQ82*AT82*VLOOKUP('Données projet'!$B$10,Paramètres!$A$1:$I$89,3,0)*0.475*44/12</f>
        <v>2.9234479165721419E-7</v>
      </c>
      <c r="AX82" s="21">
        <f t="shared" si="60"/>
        <v>0.89466308843067055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17</v>
      </c>
      <c r="BD82" s="12">
        <f>IF('Données projet'!$A$88&gt;35,BD81+BC82-BL81,IF(A82&lt;'Données projet'!$A$88,$BA$205^A82,IF(A82='Données projet'!$A$88,'Données projet'!$B$88,BD81+BC82-BL81)))</f>
        <v>515.99999999999989</v>
      </c>
      <c r="BE82" s="13">
        <f>BD82*VLOOKUP('Données projet'!$B$11,Paramètres!$A$1:$I$89,3,0)*VLOOKUP('Données projet'!$B$11,Paramètres!$A$1:$I$89,5,0)</f>
        <v>241.48799999999997</v>
      </c>
      <c r="BF82" s="13">
        <f t="shared" si="91"/>
        <v>58.759565673424916</v>
      </c>
      <c r="BG82" s="20">
        <f t="shared" si="61"/>
        <v>522.93117688121504</v>
      </c>
      <c r="BH82" s="59">
        <f t="shared" si="62"/>
        <v>816.26451021454841</v>
      </c>
      <c r="BI82" s="59">
        <f ca="1">AVERAGE(OFFSET($BH$3,0,0,'Données projet'!$E$11+1,1))-AVERAGE(OFFSET($H$3,0,0,'Données projet'!$E$11+1,1))</f>
        <v>215.23235148064941</v>
      </c>
      <c r="BJ82" s="59">
        <f t="shared" si="92"/>
        <v>184.07239726900434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1.1877843157395676</v>
      </c>
      <c r="BQ82" s="21">
        <f>EXP(-LN(2)/25)*BQ81+(1-EXP(-LN(2)/25))/(LN(2)/25)*Calculateur!BL82*Calculateur!BN82*VLOOKUP('Données projet'!$B$11,Paramètres!$A$1:$I$89,3,0)*0.475*44/12</f>
        <v>2.0190778792860757</v>
      </c>
      <c r="BR82" s="21">
        <f>EXP(-LN(2)/2)*BR81+(1-EXP(-LN(2)/2))/(LN(2)/2)*BL82*BO82*VLOOKUP('Données projet'!$B$11,Paramètres!$A$1:$I$89,3,0)*0.475*44/12</f>
        <v>4.1439525264741046E-7</v>
      </c>
      <c r="BS82" s="22">
        <f t="shared" si="63"/>
        <v>3.2068626094208961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 t="e">
        <f>BY82*VLOOKUP('Données projet'!$B$12,Paramètres!$A$1:$I$89,3,0)*VLOOKUP('Données projet'!$B$12,Paramètres!$A$1:$I$89,5,0)</f>
        <v>#N/A</v>
      </c>
      <c r="CA82" s="13" t="e">
        <f t="shared" si="93"/>
        <v>#N/A</v>
      </c>
      <c r="CB82" s="20" t="e">
        <f t="shared" si="64"/>
        <v>#N/A</v>
      </c>
      <c r="CC82" s="59" t="e">
        <f t="shared" si="65"/>
        <v>#N/A</v>
      </c>
      <c r="CD82" s="59" t="e">
        <f ca="1">AVERAGE(OFFSET($CC$3,0,0,'Données projet'!$E$12+1,1))-AVERAGE(OFFSET($H$3,0,0,'Données projet'!$E$12+1,1))</f>
        <v>#N/A</v>
      </c>
      <c r="CE82" s="59" t="e">
        <f t="shared" si="94"/>
        <v>#N/A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 t="e">
        <f>EXP(-LN(2)/35)*CK81+(1-EXP(-LN(2)/35))/(LN(2)/35)*CG82*CH82*VLOOKUP('Données projet'!$B$12,Paramètres!$A$1:$I$89,3,0)*0.475*44/12</f>
        <v>#N/A</v>
      </c>
      <c r="CL82" s="21" t="e">
        <f>EXP(-LN(2)/25)*CL81+(1-EXP(-LN(2)/25))/(LN(2)/25)*Calculateur!CG82*Calculateur!CI82*VLOOKUP('Données projet'!$B$12,Paramètres!$A$1:$I$89,3,0)*0.475*44/12</f>
        <v>#N/A</v>
      </c>
      <c r="CM82" s="21" t="e">
        <f>EXP(-LN(2)/2)*CM81+(1-EXP(-LN(2)/2))/(LN(2)/2)*CG82*CJ82*VLOOKUP('Données projet'!$B$12,Paramètres!$A$1:$I$89,3,0)*0.475*44/12</f>
        <v>#N/A</v>
      </c>
      <c r="CN82" s="22" t="e">
        <f t="shared" si="66"/>
        <v>#N/A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25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71.136000000000095</v>
      </c>
      <c r="D83" s="11">
        <f t="shared" si="86"/>
        <v>19.955301551927505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10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703.16092426049374</v>
      </c>
      <c r="H83" s="67">
        <f t="shared" si="56"/>
        <v>451.98401686960722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>
        <f>VLOOKUP(A83,'Données projet'!$A$35:$I$55,2,0)</f>
        <v>582</v>
      </c>
      <c r="L83" s="12">
        <f>VLOOKUP(A83,'Données projet'!$A$35:$I$55,9,0)</f>
        <v>9.3000000000000007</v>
      </c>
      <c r="M83" s="12">
        <f t="array" ref="M83">INDEX(L:L,MIN(IF(ISNUMBER(L83:L279),ROW(L83:L279),"")))</f>
        <v>9.3000000000000007</v>
      </c>
      <c r="N83" s="13">
        <f>IF('Données projet'!$A$36&gt;35,N82+M83-V82,IF(A83&lt;'Données projet'!$A$36,$K$205^A83,IF(A83='Données projet'!$A$36,'Données projet'!$B$36,N82+M83-V82)))</f>
        <v>581.99999999999966</v>
      </c>
      <c r="O83" s="13">
        <f>N83*VLOOKUP('Données projet'!$B$9,Paramètres!$A$1:$I$89,3,0)*VLOOKUP('Données projet'!$B$9,Paramètres!$A$1:$I$89,5,0)</f>
        <v>325.33799999999979</v>
      </c>
      <c r="P83" s="13">
        <f t="shared" si="87"/>
        <v>76.462956713256162</v>
      </c>
      <c r="Q83" s="20">
        <f t="shared" si="54"/>
        <v>699.8033329422542</v>
      </c>
      <c r="R83" s="59">
        <f t="shared" si="55"/>
        <v>993.13666627558746</v>
      </c>
      <c r="S83" s="59">
        <f ca="1">AVERAGE(OFFSET($R$3,0,0,'Données projet'!$E$9+1,1))-AVERAGE(OFFSET($H$3,0,0,'Données projet'!$E$9+1,1))</f>
        <v>279.98352834501759</v>
      </c>
      <c r="T83" s="59">
        <f t="shared" si="88"/>
        <v>281.30062655265488</v>
      </c>
      <c r="U83" s="15">
        <f>IF(ISNA(VLOOKUP(A83,'Données projet'!$A$35:$I$55,3,0)),0,VLOOKUP(A83,'Données projet'!$A$35:$I$55,3,0))</f>
        <v>7</v>
      </c>
      <c r="V83" s="15">
        <f>IF(ISNA(VLOOKUP(A83,'Données projet'!$A$35:$I$55,4,0)),0,VLOOKUP(A83,'Données projet'!$A$35:$I$55,4,0))</f>
        <v>582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1.4848619503005314</v>
      </c>
      <c r="AA83" s="21">
        <f>EXP(-LN(2)/25)*AA82+(1-EXP(-LN(2)/25))/(LN(2)/25)*Calculateur!V83*Calculateur!X83*VLOOKUP('Données projet'!$B$9,Paramètres!$A$1:$I$89,3,0)*0.475*44/12</f>
        <v>6.0567367910315237</v>
      </c>
      <c r="AB83" s="21">
        <f>EXP(-LN(2)/2)*AB82+(1-EXP(-LN(2)/2))/(LN(2)/2)*V83*Y83*VLOOKUP('Données projet'!$B$9,Paramètres!$A$1:$I$89,3,0)*0.475*44/12</f>
        <v>8.4391654657765388E-7</v>
      </c>
      <c r="AC83" s="22">
        <f t="shared" si="57"/>
        <v>7.5415995852486013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>
        <f>VLOOKUP(A83,'Données projet'!$A$61:$I$81,2,0)</f>
        <v>282</v>
      </c>
      <c r="AG83" s="12">
        <f>VLOOKUP(A83,'Données projet'!$A$61:$I$81,9,0)</f>
        <v>6.1</v>
      </c>
      <c r="AH83" s="12">
        <f t="array" ref="AH83">INDEX(AG:AG,MIN(IF(ISNUMBER(AG83:AG279),ROW(AG83:AG279),"")))</f>
        <v>6.1</v>
      </c>
      <c r="AI83" s="13">
        <f>IF('Données projet'!$A$62&gt;35,AI82+AH83-AQ82,IF(A83&lt;'Données projet'!$A$62,$AF$205^A83,IF(A83='Données projet'!$A$62,'Données projet'!$B$62,AI82+AH83-AQ82)))</f>
        <v>282.00000000000028</v>
      </c>
      <c r="AJ83" s="13">
        <f>AI83*VLOOKUP('Données projet'!$B$10,Paramètres!$A$1:$I$89,3,0)*VLOOKUP('Données projet'!$B$10,Paramètres!$A$1:$I$89,5,0)</f>
        <v>285.94800000000032</v>
      </c>
      <c r="AK83" s="13">
        <f t="shared" si="89"/>
        <v>68.222450362989434</v>
      </c>
      <c r="AL83" s="20">
        <f t="shared" si="58"/>
        <v>616.8468677155405</v>
      </c>
      <c r="AM83" s="59">
        <f t="shared" si="59"/>
        <v>910.18020104887387</v>
      </c>
      <c r="AN83" s="59">
        <f ca="1">AVERAGE(OFFSET($AM$3,0,0,'Données projet'!$E$10+1,1))-AVERAGE(OFFSET($H$3,0,0,'Données projet'!$E$10+1,1))</f>
        <v>279.20364724206644</v>
      </c>
      <c r="AO83" s="59">
        <f t="shared" si="90"/>
        <v>173.99850582760712</v>
      </c>
      <c r="AP83" s="15">
        <f>IF(ISNA(VLOOKUP(A83,'Données projet'!$A$61:$I$81,3,0)),0,VLOOKUP(A83,'Données projet'!$A$61:$I$81,3,0))</f>
        <v>6</v>
      </c>
      <c r="AQ83" s="15">
        <f>IF(ISNA(VLOOKUP(A83,'Données projet'!$A$61:$I$81,4,0)),0,VLOOKUP(A83,'Données projet'!$A$61:$I$81,4,0))</f>
        <v>42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0</v>
      </c>
      <c r="AV83" s="21">
        <f>EXP(-LN(2)/25)*AV82+(1-EXP(-LN(2)/25))/(LN(2)/25)*Calculateur!AQ83*Calculateur!AS83*VLOOKUP('Données projet'!$B$10,Paramètres!$A$1:$I$89,3,0)*0.475*44/12</f>
        <v>0.87019819487863881</v>
      </c>
      <c r="AW83" s="21">
        <f>EXP(-LN(2)/2)*AW82+(1-EXP(-LN(2)/2))/(LN(2)/2)*AQ83*AT83*VLOOKUP('Données projet'!$B$10,Paramètres!$A$1:$I$89,3,0)*0.475*44/12</f>
        <v>2.0671898462538458E-7</v>
      </c>
      <c r="AX83" s="21">
        <f t="shared" si="60"/>
        <v>0.87019840159762341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>
        <f>VLOOKUP(A83,'Données projet'!$A$87:$I$107,2,0)</f>
        <v>533</v>
      </c>
      <c r="BB83" s="12">
        <f>VLOOKUP(A83,'Données projet'!$A$87:$I$107,9,0)</f>
        <v>17</v>
      </c>
      <c r="BC83" s="12">
        <f t="array" ref="BC83">INDEX(BB:BB,MIN(IF(ISNUMBER(BB83:BB279),ROW(BB83:BB279),"")))</f>
        <v>17</v>
      </c>
      <c r="BD83" s="12">
        <f>IF('Données projet'!$A$88&gt;35,BD82+BC83-BL82,IF(A83&lt;'Données projet'!$A$88,$BA$205^A83,IF(A83='Données projet'!$A$88,'Données projet'!$B$88,BD82+BC83-BL82)))</f>
        <v>532.99999999999989</v>
      </c>
      <c r="BE83" s="13">
        <f>BD83*VLOOKUP('Données projet'!$B$11,Paramètres!$A$1:$I$89,3,0)*VLOOKUP('Données projet'!$B$11,Paramètres!$A$1:$I$89,5,0)</f>
        <v>249.44399999999993</v>
      </c>
      <c r="BF83" s="13">
        <f t="shared" si="91"/>
        <v>60.466866397117599</v>
      </c>
      <c r="BG83" s="20">
        <f t="shared" si="61"/>
        <v>539.76142564164627</v>
      </c>
      <c r="BH83" s="59">
        <f t="shared" si="62"/>
        <v>833.09475897497964</v>
      </c>
      <c r="BI83" s="59">
        <f ca="1">AVERAGE(OFFSET($BH$3,0,0,'Données projet'!$E$11+1,1))-AVERAGE(OFFSET($H$3,0,0,'Données projet'!$E$11+1,1))</f>
        <v>215.23235148064941</v>
      </c>
      <c r="BJ83" s="59">
        <f t="shared" si="92"/>
        <v>184.07239726900434</v>
      </c>
      <c r="BK83" s="15">
        <f>IF(ISNA(VLOOKUP(A83,'Données projet'!$A$87:$I$107,3,0)),0,VLOOKUP(A83,'Données projet'!$A$87:$I$107,3,0))</f>
        <v>7</v>
      </c>
      <c r="BL83" s="21">
        <f>IF(ISNA(VLOOKUP(A83,'Données projet'!$A$87:$I$107,4,0)),0,VLOOKUP(A83,'Données projet'!$A$87:$I$107,4,0))</f>
        <v>83.4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1.1644925897848111</v>
      </c>
      <c r="BQ83" s="21">
        <f>EXP(-LN(2)/25)*BQ82+(1-EXP(-LN(2)/25))/(LN(2)/25)*Calculateur!BL83*Calculateur!BN83*VLOOKUP('Données projet'!$B$11,Paramètres!$A$1:$I$89,3,0)*0.475*44/12</f>
        <v>1.963866088498307</v>
      </c>
      <c r="BR83" s="21">
        <f>EXP(-LN(2)/2)*BR82+(1-EXP(-LN(2)/2))/(LN(2)/2)*BL83*BO83*VLOOKUP('Données projet'!$B$11,Paramètres!$A$1:$I$89,3,0)*0.475*44/12</f>
        <v>2.9302169323849654E-7</v>
      </c>
      <c r="BS83" s="22">
        <f t="shared" si="63"/>
        <v>3.1283589713048112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 t="e">
        <f>BY83*VLOOKUP('Données projet'!$B$12,Paramètres!$A$1:$I$89,3,0)*VLOOKUP('Données projet'!$B$12,Paramètres!$A$1:$I$89,5,0)</f>
        <v>#N/A</v>
      </c>
      <c r="CA83" s="13" t="e">
        <f t="shared" si="93"/>
        <v>#N/A</v>
      </c>
      <c r="CB83" s="20" t="e">
        <f t="shared" si="64"/>
        <v>#N/A</v>
      </c>
      <c r="CC83" s="59" t="e">
        <f t="shared" si="65"/>
        <v>#N/A</v>
      </c>
      <c r="CD83" s="59" t="e">
        <f ca="1">AVERAGE(OFFSET($CC$3,0,0,'Données projet'!$E$12+1,1))-AVERAGE(OFFSET($H$3,0,0,'Données projet'!$E$12+1,1))</f>
        <v>#N/A</v>
      </c>
      <c r="CE83" s="59" t="e">
        <f t="shared" si="94"/>
        <v>#N/A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 t="e">
        <f>EXP(-LN(2)/35)*CK82+(1-EXP(-LN(2)/35))/(LN(2)/35)*CG83*CH83*VLOOKUP('Données projet'!$B$12,Paramètres!$A$1:$I$89,3,0)*0.475*44/12</f>
        <v>#N/A</v>
      </c>
      <c r="CL83" s="21" t="e">
        <f>EXP(-LN(2)/25)*CL82+(1-EXP(-LN(2)/25))/(LN(2)/25)*Calculateur!CG83*Calculateur!CI83*VLOOKUP('Données projet'!$B$12,Paramètres!$A$1:$I$89,3,0)*0.475*44/12</f>
        <v>#N/A</v>
      </c>
      <c r="CM83" s="21" t="e">
        <f>EXP(-LN(2)/2)*CM82+(1-EXP(-LN(2)/2))/(LN(2)/2)*CG83*CJ83*VLOOKUP('Données projet'!$B$12,Paramètres!$A$1:$I$89,3,0)*0.475*44/12</f>
        <v>#N/A</v>
      </c>
      <c r="CN83" s="22" t="e">
        <f t="shared" si="66"/>
        <v>#N/A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25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72.025200000000098</v>
      </c>
      <c r="D84" s="11">
        <f t="shared" si="86"/>
        <v>20.175548252960489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10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711.72507423337993</v>
      </c>
      <c r="H84" s="67">
        <f t="shared" si="56"/>
        <v>453.91630320723971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-3.4106051316484809E-13</v>
      </c>
      <c r="O84" s="13">
        <f>N84*VLOOKUP('Données projet'!$B$9,Paramètres!$A$1:$I$89,3,0)*VLOOKUP('Données projet'!$B$9,Paramètres!$A$1:$I$89,5,0)</f>
        <v>-1.9065282685915009E-13</v>
      </c>
      <c r="P84" s="13" t="e">
        <f t="shared" si="87"/>
        <v>#NUM!</v>
      </c>
      <c r="Q84" s="20" t="e">
        <f t="shared" si="54"/>
        <v>#NUM!</v>
      </c>
      <c r="R84" s="59" t="e">
        <f t="shared" si="55"/>
        <v>#NUM!</v>
      </c>
      <c r="S84" s="59">
        <f ca="1">AVERAGE(OFFSET($R$3,0,0,'Données projet'!$E$9+1,1))-AVERAGE(OFFSET($H$3,0,0,'Données projet'!$E$9+1,1))</f>
        <v>279.98352834501759</v>
      </c>
      <c r="T84" s="59">
        <f t="shared" si="88"/>
        <v>281.30062655265488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1.4557447131314996</v>
      </c>
      <c r="AA84" s="21">
        <f>EXP(-LN(2)/25)*AA83+(1-EXP(-LN(2)/25))/(LN(2)/25)*Calculateur!V84*Calculateur!X84*VLOOKUP('Données projet'!$B$9,Paramètres!$A$1:$I$89,3,0)*0.475*44/12</f>
        <v>5.8911150049708221</v>
      </c>
      <c r="AB84" s="21">
        <f>EXP(-LN(2)/2)*AB83+(1-EXP(-LN(2)/2))/(LN(2)/2)*V84*Y84*VLOOKUP('Données projet'!$B$9,Paramètres!$A$1:$I$89,3,0)*0.475*44/12</f>
        <v>5.9673911284059194E-7</v>
      </c>
      <c r="AC84" s="22">
        <f t="shared" si="57"/>
        <v>7.3468603148414351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5.6</v>
      </c>
      <c r="AI84" s="13">
        <f>IF('Données projet'!$A$62&gt;35,AI83+AH84-AQ83,IF(A84&lt;'Données projet'!$A$62,$AF$205^A84,IF(A84='Données projet'!$A$62,'Données projet'!$B$62,AI83+AH84-AQ83)))</f>
        <v>245.60000000000031</v>
      </c>
      <c r="AJ84" s="13">
        <f>AI84*VLOOKUP('Données projet'!$B$10,Paramètres!$A$1:$I$89,3,0)*VLOOKUP('Données projet'!$B$10,Paramètres!$A$1:$I$89,5,0)</f>
        <v>249.03840000000034</v>
      </c>
      <c r="AK84" s="13">
        <f t="shared" si="89"/>
        <v>60.379982523340054</v>
      </c>
      <c r="AL84" s="20">
        <f t="shared" si="58"/>
        <v>538.90368289481785</v>
      </c>
      <c r="AM84" s="59">
        <f t="shared" si="59"/>
        <v>832.23701622815111</v>
      </c>
      <c r="AN84" s="59">
        <f ca="1">AVERAGE(OFFSET($AM$3,0,0,'Données projet'!$E$10+1,1))-AVERAGE(OFFSET($H$3,0,0,'Données projet'!$E$10+1,1))</f>
        <v>279.20364724206644</v>
      </c>
      <c r="AO84" s="59">
        <f t="shared" si="90"/>
        <v>173.99850582760712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0</v>
      </c>
      <c r="AV84" s="21">
        <f>EXP(-LN(2)/25)*AV83+(1-EXP(-LN(2)/25))/(LN(2)/25)*Calculateur!AQ84*Calculateur!AS84*VLOOKUP('Données projet'!$B$10,Paramètres!$A$1:$I$89,3,0)*0.475*44/12</f>
        <v>0.84640257947794828</v>
      </c>
      <c r="AW84" s="21">
        <f>EXP(-LN(2)/2)*AW83+(1-EXP(-LN(2)/2))/(LN(2)/2)*AQ84*AT84*VLOOKUP('Données projet'!$B$10,Paramètres!$A$1:$I$89,3,0)*0.475*44/12</f>
        <v>1.4617239582860709E-7</v>
      </c>
      <c r="AX84" s="21">
        <f t="shared" si="60"/>
        <v>0.84640272565034413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17.5</v>
      </c>
      <c r="BD84" s="12">
        <f>IF('Données projet'!$A$88&gt;35,BD83+BC84-BL83,IF(A84&lt;'Données projet'!$A$88,$BA$205^A84,IF(A84='Données projet'!$A$88,'Données projet'!$B$88,BD83+BC84-BL83)))</f>
        <v>467.09999999999991</v>
      </c>
      <c r="BE84" s="13">
        <f>BD84*VLOOKUP('Données projet'!$B$11,Paramètres!$A$1:$I$89,3,0)*VLOOKUP('Données projet'!$B$11,Paramètres!$A$1:$I$89,5,0)</f>
        <v>218.60279999999995</v>
      </c>
      <c r="BF84" s="13">
        <f t="shared" si="91"/>
        <v>53.811098692658383</v>
      </c>
      <c r="BG84" s="20">
        <f t="shared" si="61"/>
        <v>474.45420688971325</v>
      </c>
      <c r="BH84" s="59">
        <f t="shared" si="62"/>
        <v>767.78754022304656</v>
      </c>
      <c r="BI84" s="59">
        <f ca="1">AVERAGE(OFFSET($BH$3,0,0,'Données projet'!$E$11+1,1))-AVERAGE(OFFSET($H$3,0,0,'Données projet'!$E$11+1,1))</f>
        <v>215.23235148064941</v>
      </c>
      <c r="BJ84" s="59">
        <f t="shared" si="92"/>
        <v>184.07239726900434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1.1416576003694774</v>
      </c>
      <c r="BQ84" s="21">
        <f>EXP(-LN(2)/25)*BQ83+(1-EXP(-LN(2)/25))/(LN(2)/25)*Calculateur!BL84*Calculateur!BN84*VLOOKUP('Données projet'!$B$11,Paramètres!$A$1:$I$89,3,0)*0.475*44/12</f>
        <v>1.9101640670330917</v>
      </c>
      <c r="BR84" s="21">
        <f>EXP(-LN(2)/2)*BR83+(1-EXP(-LN(2)/2))/(LN(2)/2)*BL84*BO84*VLOOKUP('Données projet'!$B$11,Paramètres!$A$1:$I$89,3,0)*0.475*44/12</f>
        <v>2.0719762632370523E-7</v>
      </c>
      <c r="BS84" s="22">
        <f t="shared" si="63"/>
        <v>3.0518218746001953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 t="e">
        <f>BY84*VLOOKUP('Données projet'!$B$12,Paramètres!$A$1:$I$89,3,0)*VLOOKUP('Données projet'!$B$12,Paramètres!$A$1:$I$89,5,0)</f>
        <v>#N/A</v>
      </c>
      <c r="CA84" s="13" t="e">
        <f t="shared" si="93"/>
        <v>#N/A</v>
      </c>
      <c r="CB84" s="20" t="e">
        <f t="shared" si="64"/>
        <v>#N/A</v>
      </c>
      <c r="CC84" s="59" t="e">
        <f t="shared" si="65"/>
        <v>#N/A</v>
      </c>
      <c r="CD84" s="59" t="e">
        <f ca="1">AVERAGE(OFFSET($CC$3,0,0,'Données projet'!$E$12+1,1))-AVERAGE(OFFSET($H$3,0,0,'Données projet'!$E$12+1,1))</f>
        <v>#N/A</v>
      </c>
      <c r="CE84" s="59" t="e">
        <f t="shared" si="94"/>
        <v>#N/A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 t="e">
        <f>EXP(-LN(2)/35)*CK83+(1-EXP(-LN(2)/35))/(LN(2)/35)*CG84*CH84*VLOOKUP('Données projet'!$B$12,Paramètres!$A$1:$I$89,3,0)*0.475*44/12</f>
        <v>#N/A</v>
      </c>
      <c r="CL84" s="21" t="e">
        <f>EXP(-LN(2)/25)*CL83+(1-EXP(-LN(2)/25))/(LN(2)/25)*Calculateur!CG84*Calculateur!CI84*VLOOKUP('Données projet'!$B$12,Paramètres!$A$1:$I$89,3,0)*0.475*44/12</f>
        <v>#N/A</v>
      </c>
      <c r="CM84" s="21" t="e">
        <f>EXP(-LN(2)/2)*CM83+(1-EXP(-LN(2)/2))/(LN(2)/2)*CG84*CJ84*VLOOKUP('Données projet'!$B$12,Paramètres!$A$1:$I$89,3,0)*0.475*44/12</f>
        <v>#N/A</v>
      </c>
      <c r="CN84" s="22" t="e">
        <f t="shared" si="66"/>
        <v>#N/A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25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72.9144000000001</v>
      </c>
      <c r="D85" s="11">
        <f t="shared" si="86"/>
        <v>20.395478670134686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10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720.28678271683009</v>
      </c>
      <c r="H85" s="67">
        <f t="shared" si="56"/>
        <v>455.84803868381812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-3.4106051316484809E-13</v>
      </c>
      <c r="O85" s="13">
        <f>N85*VLOOKUP('Données projet'!$B$9,Paramètres!$A$1:$I$89,3,0)*VLOOKUP('Données projet'!$B$9,Paramètres!$A$1:$I$89,5,0)</f>
        <v>-1.9065282685915009E-13</v>
      </c>
      <c r="P85" s="13" t="e">
        <f t="shared" si="87"/>
        <v>#NUM!</v>
      </c>
      <c r="Q85" s="20" t="e">
        <f t="shared" si="54"/>
        <v>#NUM!</v>
      </c>
      <c r="R85" s="59" t="e">
        <f t="shared" si="55"/>
        <v>#NUM!</v>
      </c>
      <c r="S85" s="59">
        <f ca="1">AVERAGE(OFFSET($R$3,0,0,'Données projet'!$E$9+1,1))-AVERAGE(OFFSET($H$3,0,0,'Données projet'!$E$9+1,1))</f>
        <v>279.98352834501759</v>
      </c>
      <c r="T85" s="59">
        <f t="shared" si="88"/>
        <v>281.30062655265488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1.4271984472235915</v>
      </c>
      <c r="AA85" s="21">
        <f>EXP(-LN(2)/25)*AA84+(1-EXP(-LN(2)/25))/(LN(2)/25)*Calculateur!V85*Calculateur!X85*VLOOKUP('Données projet'!$B$9,Paramètres!$A$1:$I$89,3,0)*0.475*44/12</f>
        <v>5.7300221553596211</v>
      </c>
      <c r="AB85" s="21">
        <f>EXP(-LN(2)/2)*AB84+(1-EXP(-LN(2)/2))/(LN(2)/2)*V85*Y85*VLOOKUP('Données projet'!$B$9,Paramètres!$A$1:$I$89,3,0)*0.475*44/12</f>
        <v>4.2195827328882694E-7</v>
      </c>
      <c r="AC85" s="22">
        <f t="shared" si="57"/>
        <v>7.157221024541486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5.6</v>
      </c>
      <c r="AI85" s="13">
        <f>IF('Données projet'!$A$62&gt;35,AI84+AH85-AQ84,IF(A85&lt;'Données projet'!$A$62,$AF$205^A85,IF(A85='Données projet'!$A$62,'Données projet'!$B$62,AI84+AH85-AQ84)))</f>
        <v>251.2000000000003</v>
      </c>
      <c r="AJ85" s="13">
        <f>AI85*VLOOKUP('Données projet'!$B$10,Paramètres!$A$1:$I$89,3,0)*VLOOKUP('Données projet'!$B$10,Paramètres!$A$1:$I$89,5,0)</f>
        <v>254.71680000000032</v>
      </c>
      <c r="AK85" s="13">
        <f t="shared" si="89"/>
        <v>61.594871205031644</v>
      </c>
      <c r="AL85" s="20">
        <f t="shared" si="58"/>
        <v>550.9094940154306</v>
      </c>
      <c r="AM85" s="59">
        <f t="shared" si="59"/>
        <v>844.24282734876397</v>
      </c>
      <c r="AN85" s="59">
        <f ca="1">AVERAGE(OFFSET($AM$3,0,0,'Données projet'!$E$10+1,1))-AVERAGE(OFFSET($H$3,0,0,'Données projet'!$E$10+1,1))</f>
        <v>279.20364724206644</v>
      </c>
      <c r="AO85" s="59">
        <f t="shared" si="90"/>
        <v>173.99850582760712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0</v>
      </c>
      <c r="AV85" s="21">
        <f>EXP(-LN(2)/25)*AV84+(1-EXP(-LN(2)/25))/(LN(2)/25)*Calculateur!AQ85*Calculateur!AS85*VLOOKUP('Données projet'!$B$10,Paramètres!$A$1:$I$89,3,0)*0.475*44/12</f>
        <v>0.82325765643174664</v>
      </c>
      <c r="AW85" s="21">
        <f>EXP(-LN(2)/2)*AW84+(1-EXP(-LN(2)/2))/(LN(2)/2)*AQ85*AT85*VLOOKUP('Données projet'!$B$10,Paramètres!$A$1:$I$89,3,0)*0.475*44/12</f>
        <v>1.0335949231269229E-7</v>
      </c>
      <c r="AX85" s="21">
        <f t="shared" si="60"/>
        <v>0.82325775979123894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17.5</v>
      </c>
      <c r="BD85" s="12">
        <f>IF('Données projet'!$A$88&gt;35,BD84+BC85-BL84,IF(A85&lt;'Données projet'!$A$88,$BA$205^A85,IF(A85='Données projet'!$A$88,'Données projet'!$B$88,BD84+BC85-BL84)))</f>
        <v>484.59999999999991</v>
      </c>
      <c r="BE85" s="13">
        <f>BD85*VLOOKUP('Données projet'!$B$11,Paramètres!$A$1:$I$89,3,0)*VLOOKUP('Données projet'!$B$11,Paramètres!$A$1:$I$89,5,0)</f>
        <v>226.79279999999994</v>
      </c>
      <c r="BF85" s="13">
        <f t="shared" si="91"/>
        <v>55.588644170072158</v>
      </c>
      <c r="BG85" s="20">
        <f t="shared" si="61"/>
        <v>491.8143485962089</v>
      </c>
      <c r="BH85" s="59">
        <f t="shared" si="62"/>
        <v>785.14768192954216</v>
      </c>
      <c r="BI85" s="59">
        <f ca="1">AVERAGE(OFFSET($BH$3,0,0,'Données projet'!$E$11+1,1))-AVERAGE(OFFSET($H$3,0,0,'Données projet'!$E$11+1,1))</f>
        <v>215.23235148064941</v>
      </c>
      <c r="BJ85" s="59">
        <f t="shared" si="92"/>
        <v>184.07239726900434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1.1192703911686102</v>
      </c>
      <c r="BQ85" s="21">
        <f>EXP(-LN(2)/25)*BQ84+(1-EXP(-LN(2)/25))/(LN(2)/25)*Calculateur!BL85*Calculateur!BN85*VLOOKUP('Données projet'!$B$11,Paramètres!$A$1:$I$89,3,0)*0.475*44/12</f>
        <v>1.8579305301689093</v>
      </c>
      <c r="BR85" s="21">
        <f>EXP(-LN(2)/2)*BR84+(1-EXP(-LN(2)/2))/(LN(2)/2)*BL85*BO85*VLOOKUP('Données projet'!$B$11,Paramètres!$A$1:$I$89,3,0)*0.475*44/12</f>
        <v>1.4651084661924827E-7</v>
      </c>
      <c r="BS85" s="22">
        <f t="shared" si="63"/>
        <v>2.977201067848366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 t="e">
        <f>BY85*VLOOKUP('Données projet'!$B$12,Paramètres!$A$1:$I$89,3,0)*VLOOKUP('Données projet'!$B$12,Paramètres!$A$1:$I$89,5,0)</f>
        <v>#N/A</v>
      </c>
      <c r="CA85" s="13" t="e">
        <f t="shared" si="93"/>
        <v>#N/A</v>
      </c>
      <c r="CB85" s="20" t="e">
        <f t="shared" si="64"/>
        <v>#N/A</v>
      </c>
      <c r="CC85" s="59" t="e">
        <f t="shared" si="65"/>
        <v>#N/A</v>
      </c>
      <c r="CD85" s="59" t="e">
        <f ca="1">AVERAGE(OFFSET($CC$3,0,0,'Données projet'!$E$12+1,1))-AVERAGE(OFFSET($H$3,0,0,'Données projet'!$E$12+1,1))</f>
        <v>#N/A</v>
      </c>
      <c r="CE85" s="59" t="e">
        <f t="shared" si="94"/>
        <v>#N/A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 t="e">
        <f>EXP(-LN(2)/35)*CK84+(1-EXP(-LN(2)/35))/(LN(2)/35)*CG85*CH85*VLOOKUP('Données projet'!$B$12,Paramètres!$A$1:$I$89,3,0)*0.475*44/12</f>
        <v>#N/A</v>
      </c>
      <c r="CL85" s="21" t="e">
        <f>EXP(-LN(2)/25)*CL84+(1-EXP(-LN(2)/25))/(LN(2)/25)*Calculateur!CG85*Calculateur!CI85*VLOOKUP('Données projet'!$B$12,Paramètres!$A$1:$I$89,3,0)*0.475*44/12</f>
        <v>#N/A</v>
      </c>
      <c r="CM85" s="21" t="e">
        <f>EXP(-LN(2)/2)*CM84+(1-EXP(-LN(2)/2))/(LN(2)/2)*CG85*CJ85*VLOOKUP('Données projet'!$B$12,Paramètres!$A$1:$I$89,3,0)*0.475*44/12</f>
        <v>#N/A</v>
      </c>
      <c r="CN85" s="22" t="e">
        <f t="shared" si="66"/>
        <v>#N/A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25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73.803600000000102</v>
      </c>
      <c r="D86" s="11">
        <f t="shared" si="86"/>
        <v>20.615097106698798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10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728.8460829289038</v>
      </c>
      <c r="H86" s="67">
        <f t="shared" si="56"/>
        <v>457.77923079416723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-3.4106051316484809E-13</v>
      </c>
      <c r="O86" s="13">
        <f>N86*VLOOKUP('Données projet'!$B$9,Paramètres!$A$1:$I$89,3,0)*VLOOKUP('Données projet'!$B$9,Paramètres!$A$1:$I$89,5,0)</f>
        <v>-1.9065282685915009E-13</v>
      </c>
      <c r="P86" s="13" t="e">
        <f t="shared" si="87"/>
        <v>#NUM!</v>
      </c>
      <c r="Q86" s="20" t="e">
        <f t="shared" si="54"/>
        <v>#NUM!</v>
      </c>
      <c r="R86" s="59" t="e">
        <f t="shared" si="55"/>
        <v>#NUM!</v>
      </c>
      <c r="S86" s="59">
        <f ca="1">AVERAGE(OFFSET($R$3,0,0,'Données projet'!$E$9+1,1))-AVERAGE(OFFSET($H$3,0,0,'Données projet'!$E$9+1,1))</f>
        <v>279.98352834501759</v>
      </c>
      <c r="T86" s="59">
        <f t="shared" si="88"/>
        <v>281.30062655265488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1.3992119561786345</v>
      </c>
      <c r="AA86" s="21">
        <f>EXP(-LN(2)/25)*AA85+(1-EXP(-LN(2)/25))/(LN(2)/25)*Calculateur!V86*Calculateur!X86*VLOOKUP('Données projet'!$B$9,Paramètres!$A$1:$I$89,3,0)*0.475*44/12</f>
        <v>5.5733343981925429</v>
      </c>
      <c r="AB86" s="21">
        <f>EXP(-LN(2)/2)*AB85+(1-EXP(-LN(2)/2))/(LN(2)/2)*V86*Y86*VLOOKUP('Données projet'!$B$9,Paramètres!$A$1:$I$89,3,0)*0.475*44/12</f>
        <v>2.9836955642029597E-7</v>
      </c>
      <c r="AC86" s="22">
        <f t="shared" si="57"/>
        <v>6.9725466527407338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5.6</v>
      </c>
      <c r="AI86" s="13">
        <f>IF('Données projet'!$A$62&gt;35,AI85+AH86-AQ85,IF(A86&lt;'Données projet'!$A$62,$AF$205^A86,IF(A86='Données projet'!$A$62,'Données projet'!$B$62,AI85+AH86-AQ85)))</f>
        <v>256.8000000000003</v>
      </c>
      <c r="AJ86" s="13">
        <f>AI86*VLOOKUP('Données projet'!$B$10,Paramètres!$A$1:$I$89,3,0)*VLOOKUP('Données projet'!$B$10,Paramètres!$A$1:$I$89,5,0)</f>
        <v>260.39520000000027</v>
      </c>
      <c r="AK86" s="13">
        <f t="shared" si="89"/>
        <v>62.80661117771438</v>
      </c>
      <c r="AL86" s="20">
        <f t="shared" si="58"/>
        <v>562.90982113451958</v>
      </c>
      <c r="AM86" s="59">
        <f t="shared" si="59"/>
        <v>856.24315446785295</v>
      </c>
      <c r="AN86" s="59">
        <f ca="1">AVERAGE(OFFSET($AM$3,0,0,'Données projet'!$E$10+1,1))-AVERAGE(OFFSET($H$3,0,0,'Données projet'!$E$10+1,1))</f>
        <v>279.20364724206644</v>
      </c>
      <c r="AO86" s="59">
        <f t="shared" si="90"/>
        <v>173.99850582760712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0</v>
      </c>
      <c r="AV86" s="21">
        <f>EXP(-LN(2)/25)*AV85+(1-EXP(-LN(2)/25))/(LN(2)/25)*Calculateur!AQ86*Calculateur!AS86*VLOOKUP('Données projet'!$B$10,Paramètres!$A$1:$I$89,3,0)*0.475*44/12</f>
        <v>0.80074563252338193</v>
      </c>
      <c r="AW86" s="21">
        <f>EXP(-LN(2)/2)*AW85+(1-EXP(-LN(2)/2))/(LN(2)/2)*AQ86*AT86*VLOOKUP('Données projet'!$B$10,Paramètres!$A$1:$I$89,3,0)*0.475*44/12</f>
        <v>7.3086197914303546E-8</v>
      </c>
      <c r="AX86" s="21">
        <f t="shared" si="60"/>
        <v>0.80074570560957981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17.5</v>
      </c>
      <c r="BD86" s="12">
        <f>IF('Données projet'!$A$88&gt;35,BD85+BC86-BL85,IF(A86&lt;'Données projet'!$A$88,$BA$205^A86,IF(A86='Données projet'!$A$88,'Données projet'!$B$88,BD85+BC86-BL85)))</f>
        <v>502.09999999999991</v>
      </c>
      <c r="BE86" s="13">
        <f>BD86*VLOOKUP('Données projet'!$B$11,Paramètres!$A$1:$I$89,3,0)*VLOOKUP('Données projet'!$B$11,Paramètres!$A$1:$I$89,5,0)</f>
        <v>234.98279999999997</v>
      </c>
      <c r="BF86" s="13">
        <f t="shared" si="91"/>
        <v>57.358731763746825</v>
      </c>
      <c r="BG86" s="20">
        <f t="shared" si="61"/>
        <v>509.16150115519235</v>
      </c>
      <c r="BH86" s="59">
        <f t="shared" si="62"/>
        <v>802.49483448852561</v>
      </c>
      <c r="BI86" s="59">
        <f ca="1">AVERAGE(OFFSET($BH$3,0,0,'Données projet'!$E$11+1,1))-AVERAGE(OFFSET($H$3,0,0,'Données projet'!$E$11+1,1))</f>
        <v>215.23235148064941</v>
      </c>
      <c r="BJ86" s="59">
        <f t="shared" si="92"/>
        <v>184.07239726900434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1.0973221814853225</v>
      </c>
      <c r="BQ86" s="21">
        <f>EXP(-LN(2)/25)*BQ85+(1-EXP(-LN(2)/25))/(LN(2)/25)*Calculateur!BL86*Calculateur!BN86*VLOOKUP('Données projet'!$B$11,Paramètres!$A$1:$I$89,3,0)*0.475*44/12</f>
        <v>1.8071253221171202</v>
      </c>
      <c r="BR86" s="21">
        <f>EXP(-LN(2)/2)*BR85+(1-EXP(-LN(2)/2))/(LN(2)/2)*BL86*BO86*VLOOKUP('Données projet'!$B$11,Paramètres!$A$1:$I$89,3,0)*0.475*44/12</f>
        <v>1.0359881316185261E-7</v>
      </c>
      <c r="BS86" s="22">
        <f t="shared" si="63"/>
        <v>2.9044476072012557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 t="e">
        <f>BY86*VLOOKUP('Données projet'!$B$12,Paramètres!$A$1:$I$89,3,0)*VLOOKUP('Données projet'!$B$12,Paramètres!$A$1:$I$89,5,0)</f>
        <v>#N/A</v>
      </c>
      <c r="CA86" s="13" t="e">
        <f t="shared" si="93"/>
        <v>#N/A</v>
      </c>
      <c r="CB86" s="20" t="e">
        <f t="shared" si="64"/>
        <v>#N/A</v>
      </c>
      <c r="CC86" s="59" t="e">
        <f t="shared" si="65"/>
        <v>#N/A</v>
      </c>
      <c r="CD86" s="59" t="e">
        <f ca="1">AVERAGE(OFFSET($CC$3,0,0,'Données projet'!$E$12+1,1))-AVERAGE(OFFSET($H$3,0,0,'Données projet'!$E$12+1,1))</f>
        <v>#N/A</v>
      </c>
      <c r="CE86" s="59" t="e">
        <f t="shared" si="94"/>
        <v>#N/A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 t="e">
        <f>EXP(-LN(2)/35)*CK85+(1-EXP(-LN(2)/35))/(LN(2)/35)*CG86*CH86*VLOOKUP('Données projet'!$B$12,Paramètres!$A$1:$I$89,3,0)*0.475*44/12</f>
        <v>#N/A</v>
      </c>
      <c r="CL86" s="21" t="e">
        <f>EXP(-LN(2)/25)*CL85+(1-EXP(-LN(2)/25))/(LN(2)/25)*Calculateur!CG86*Calculateur!CI86*VLOOKUP('Données projet'!$B$12,Paramètres!$A$1:$I$89,3,0)*0.475*44/12</f>
        <v>#N/A</v>
      </c>
      <c r="CM86" s="21" t="e">
        <f>EXP(-LN(2)/2)*CM85+(1-EXP(-LN(2)/2))/(LN(2)/2)*CG86*CJ86*VLOOKUP('Données projet'!$B$12,Paramètres!$A$1:$I$89,3,0)*0.475*44/12</f>
        <v>#N/A</v>
      </c>
      <c r="CN86" s="22" t="e">
        <f t="shared" si="66"/>
        <v>#N/A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25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74.692800000000105</v>
      </c>
      <c r="D87" s="11">
        <f t="shared" si="86"/>
        <v>20.834407756242857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10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737.40300724117378</v>
      </c>
      <c r="H87" s="67">
        <f t="shared" si="56"/>
        <v>459.70988684212313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-3.4106051316484809E-13</v>
      </c>
      <c r="O87" s="13">
        <f>N87*VLOOKUP('Données projet'!$B$9,Paramètres!$A$1:$I$89,3,0)*VLOOKUP('Données projet'!$B$9,Paramètres!$A$1:$I$89,5,0)</f>
        <v>-1.9065282685915009E-13</v>
      </c>
      <c r="P87" s="13" t="e">
        <f t="shared" si="87"/>
        <v>#NUM!</v>
      </c>
      <c r="Q87" s="20" t="e">
        <f t="shared" si="54"/>
        <v>#NUM!</v>
      </c>
      <c r="R87" s="59" t="e">
        <f t="shared" si="55"/>
        <v>#NUM!</v>
      </c>
      <c r="S87" s="59">
        <f ca="1">AVERAGE(OFFSET($R$3,0,0,'Données projet'!$E$9+1,1))-AVERAGE(OFFSET($H$3,0,0,'Données projet'!$E$9+1,1))</f>
        <v>279.98352834501759</v>
      </c>
      <c r="T87" s="59">
        <f t="shared" si="88"/>
        <v>281.30062655265488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1.371774263152995</v>
      </c>
      <c r="AA87" s="21">
        <f>EXP(-LN(2)/25)*AA86+(1-EXP(-LN(2)/25))/(LN(2)/25)*Calculateur!V87*Calculateur!X87*VLOOKUP('Données projet'!$B$9,Paramètres!$A$1:$I$89,3,0)*0.475*44/12</f>
        <v>5.4209312759850503</v>
      </c>
      <c r="AB87" s="21">
        <f>EXP(-LN(2)/2)*AB86+(1-EXP(-LN(2)/2))/(LN(2)/2)*V87*Y87*VLOOKUP('Données projet'!$B$9,Paramètres!$A$1:$I$89,3,0)*0.475*44/12</f>
        <v>2.1097913664441347E-7</v>
      </c>
      <c r="AC87" s="22">
        <f t="shared" si="57"/>
        <v>6.7927057501171815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5.6</v>
      </c>
      <c r="AI87" s="13">
        <f>IF('Données projet'!$A$62&gt;35,AI86+AH87-AQ86,IF(A87&lt;'Données projet'!$A$62,$AF$205^A87,IF(A87='Données projet'!$A$62,'Données projet'!$B$62,AI86+AH87-AQ86)))</f>
        <v>262.40000000000032</v>
      </c>
      <c r="AJ87" s="13">
        <f>AI87*VLOOKUP('Données projet'!$B$10,Paramètres!$A$1:$I$89,3,0)*VLOOKUP('Données projet'!$B$10,Paramètres!$A$1:$I$89,5,0)</f>
        <v>266.07360000000034</v>
      </c>
      <c r="AK87" s="13">
        <f t="shared" si="89"/>
        <v>64.015279012301193</v>
      </c>
      <c r="AL87" s="20">
        <f t="shared" si="58"/>
        <v>574.90479761309177</v>
      </c>
      <c r="AM87" s="59">
        <f t="shared" si="59"/>
        <v>868.23813094642514</v>
      </c>
      <c r="AN87" s="59">
        <f ca="1">AVERAGE(OFFSET($AM$3,0,0,'Données projet'!$E$10+1,1))-AVERAGE(OFFSET($H$3,0,0,'Données projet'!$E$10+1,1))</f>
        <v>279.20364724206644</v>
      </c>
      <c r="AO87" s="59">
        <f t="shared" si="90"/>
        <v>173.99850582760712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0</v>
      </c>
      <c r="AV87" s="21">
        <f>EXP(-LN(2)/25)*AV86+(1-EXP(-LN(2)/25))/(LN(2)/25)*Calculateur!AQ87*Calculateur!AS87*VLOOKUP('Données projet'!$B$10,Paramètres!$A$1:$I$89,3,0)*0.475*44/12</f>
        <v>0.77884920109264733</v>
      </c>
      <c r="AW87" s="21">
        <f>EXP(-LN(2)/2)*AW86+(1-EXP(-LN(2)/2))/(LN(2)/2)*AQ87*AT87*VLOOKUP('Données projet'!$B$10,Paramètres!$A$1:$I$89,3,0)*0.475*44/12</f>
        <v>5.1679746156346144E-8</v>
      </c>
      <c r="AX87" s="21">
        <f t="shared" si="60"/>
        <v>0.77884925277239347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17.5</v>
      </c>
      <c r="BD87" s="12">
        <f>IF('Données projet'!$A$88&gt;35,BD86+BC87-BL86,IF(A87&lt;'Données projet'!$A$88,$BA$205^A87,IF(A87='Données projet'!$A$88,'Données projet'!$B$88,BD86+BC87-BL86)))</f>
        <v>519.59999999999991</v>
      </c>
      <c r="BE87" s="13">
        <f>BD87*VLOOKUP('Données projet'!$B$11,Paramètres!$A$1:$I$89,3,0)*VLOOKUP('Données projet'!$B$11,Paramètres!$A$1:$I$89,5,0)</f>
        <v>243.17279999999994</v>
      </c>
      <c r="BF87" s="13">
        <f t="shared" si="91"/>
        <v>59.121651195612671</v>
      </c>
      <c r="BG87" s="20">
        <f t="shared" si="61"/>
        <v>526.49616916569187</v>
      </c>
      <c r="BH87" s="59">
        <f t="shared" si="62"/>
        <v>819.82950249902524</v>
      </c>
      <c r="BI87" s="59">
        <f ca="1">AVERAGE(OFFSET($BH$3,0,0,'Données projet'!$E$11+1,1))-AVERAGE(OFFSET($H$3,0,0,'Données projet'!$E$11+1,1))</f>
        <v>215.23235148064941</v>
      </c>
      <c r="BJ87" s="59">
        <f t="shared" si="92"/>
        <v>184.07239726900434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1.0758043628068381</v>
      </c>
      <c r="BQ87" s="21">
        <f>EXP(-LN(2)/25)*BQ86+(1-EXP(-LN(2)/25))/(LN(2)/25)*Calculateur!BL87*Calculateur!BN87*VLOOKUP('Données projet'!$B$11,Paramètres!$A$1:$I$89,3,0)*0.475*44/12</f>
        <v>1.7577093851512371</v>
      </c>
      <c r="BR87" s="21">
        <f>EXP(-LN(2)/2)*BR86+(1-EXP(-LN(2)/2))/(LN(2)/2)*BL87*BO87*VLOOKUP('Données projet'!$B$11,Paramètres!$A$1:$I$89,3,0)*0.475*44/12</f>
        <v>7.3255423309624135E-8</v>
      </c>
      <c r="BS87" s="22">
        <f t="shared" si="63"/>
        <v>2.8335138212134985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 t="e">
        <f>BY87*VLOOKUP('Données projet'!$B$12,Paramètres!$A$1:$I$89,3,0)*VLOOKUP('Données projet'!$B$12,Paramètres!$A$1:$I$89,5,0)</f>
        <v>#N/A</v>
      </c>
      <c r="CA87" s="13" t="e">
        <f t="shared" si="93"/>
        <v>#N/A</v>
      </c>
      <c r="CB87" s="20" t="e">
        <f t="shared" si="64"/>
        <v>#N/A</v>
      </c>
      <c r="CC87" s="59" t="e">
        <f t="shared" si="65"/>
        <v>#N/A</v>
      </c>
      <c r="CD87" s="59" t="e">
        <f ca="1">AVERAGE(OFFSET($CC$3,0,0,'Données projet'!$E$12+1,1))-AVERAGE(OFFSET($H$3,0,0,'Données projet'!$E$12+1,1))</f>
        <v>#N/A</v>
      </c>
      <c r="CE87" s="59" t="e">
        <f t="shared" si="94"/>
        <v>#N/A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 t="e">
        <f>EXP(-LN(2)/35)*CK86+(1-EXP(-LN(2)/35))/(LN(2)/35)*CG87*CH87*VLOOKUP('Données projet'!$B$12,Paramètres!$A$1:$I$89,3,0)*0.475*44/12</f>
        <v>#N/A</v>
      </c>
      <c r="CL87" s="21" t="e">
        <f>EXP(-LN(2)/25)*CL86+(1-EXP(-LN(2)/25))/(LN(2)/25)*Calculateur!CG87*Calculateur!CI87*VLOOKUP('Données projet'!$B$12,Paramètres!$A$1:$I$89,3,0)*0.475*44/12</f>
        <v>#N/A</v>
      </c>
      <c r="CM87" s="21" t="e">
        <f>EXP(-LN(2)/2)*CM86+(1-EXP(-LN(2)/2))/(LN(2)/2)*CG87*CJ87*VLOOKUP('Données projet'!$B$12,Paramètres!$A$1:$I$89,3,0)*0.475*44/12</f>
        <v>#N/A</v>
      </c>
      <c r="CN87" s="22" t="e">
        <f t="shared" si="66"/>
        <v>#N/A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25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75.582000000000107</v>
      </c>
      <c r="D88" s="11">
        <f t="shared" si="86"/>
        <v>21.053414706764155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10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745.95758721011009</v>
      </c>
      <c r="H88" s="67">
        <f t="shared" si="56"/>
        <v>461.64001394761442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-3.4106051316484809E-13</v>
      </c>
      <c r="O88" s="13">
        <f>N88*VLOOKUP('Données projet'!$B$9,Paramètres!$A$1:$I$89,3,0)*VLOOKUP('Données projet'!$B$9,Paramètres!$A$1:$I$89,5,0)</f>
        <v>-1.9065282685915009E-13</v>
      </c>
      <c r="P88" s="13" t="e">
        <f t="shared" si="87"/>
        <v>#NUM!</v>
      </c>
      <c r="Q88" s="20" t="e">
        <f t="shared" si="54"/>
        <v>#NUM!</v>
      </c>
      <c r="R88" s="59" t="e">
        <f t="shared" si="55"/>
        <v>#NUM!</v>
      </c>
      <c r="S88" s="59">
        <f ca="1">AVERAGE(OFFSET($R$3,0,0,'Données projet'!$E$9+1,1))-AVERAGE(OFFSET($H$3,0,0,'Données projet'!$E$9+1,1))</f>
        <v>279.98352834501759</v>
      </c>
      <c r="T88" s="59">
        <f t="shared" si="88"/>
        <v>281.30062655265488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1.3448746065522481</v>
      </c>
      <c r="AA88" s="21">
        <f>EXP(-LN(2)/25)*AA87+(1-EXP(-LN(2)/25))/(LN(2)/25)*Calculateur!V88*Calculateur!X88*VLOOKUP('Données projet'!$B$9,Paramètres!$A$1:$I$89,3,0)*0.475*44/12</f>
        <v>5.2726956251688533</v>
      </c>
      <c r="AB88" s="21">
        <f>EXP(-LN(2)/2)*AB87+(1-EXP(-LN(2)/2))/(LN(2)/2)*V88*Y88*VLOOKUP('Données projet'!$B$9,Paramètres!$A$1:$I$89,3,0)*0.475*44/12</f>
        <v>1.4918477821014799E-7</v>
      </c>
      <c r="AC88" s="22">
        <f t="shared" si="57"/>
        <v>6.6175703809058799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5.6</v>
      </c>
      <c r="AI88" s="13">
        <f>IF('Données projet'!$A$62&gt;35,AI87+AH88-AQ87,IF(A88&lt;'Données projet'!$A$62,$AF$205^A88,IF(A88='Données projet'!$A$62,'Données projet'!$B$62,AI87+AH88-AQ87)))</f>
        <v>268.00000000000034</v>
      </c>
      <c r="AJ88" s="13">
        <f>AI88*VLOOKUP('Données projet'!$B$10,Paramètres!$A$1:$I$89,3,0)*VLOOKUP('Données projet'!$B$10,Paramètres!$A$1:$I$89,5,0)</f>
        <v>271.75200000000035</v>
      </c>
      <c r="AK88" s="13">
        <f t="shared" si="89"/>
        <v>65.220947824725044</v>
      </c>
      <c r="AL88" s="20">
        <f t="shared" si="58"/>
        <v>586.89455079472998</v>
      </c>
      <c r="AM88" s="59">
        <f t="shared" si="59"/>
        <v>880.22788412806335</v>
      </c>
      <c r="AN88" s="59">
        <f ca="1">AVERAGE(OFFSET($AM$3,0,0,'Données projet'!$E$10+1,1))-AVERAGE(OFFSET($H$3,0,0,'Données projet'!$E$10+1,1))</f>
        <v>279.20364724206644</v>
      </c>
      <c r="AO88" s="59">
        <f t="shared" si="90"/>
        <v>173.99850582760712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0</v>
      </c>
      <c r="AV88" s="21">
        <f>EXP(-LN(2)/25)*AV87+(1-EXP(-LN(2)/25))/(LN(2)/25)*Calculateur!AQ88*Calculateur!AS88*VLOOKUP('Données projet'!$B$10,Paramètres!$A$1:$I$89,3,0)*0.475*44/12</f>
        <v>0.75755152873086951</v>
      </c>
      <c r="AW88" s="21">
        <f>EXP(-LN(2)/2)*AW87+(1-EXP(-LN(2)/2))/(LN(2)/2)*AQ88*AT88*VLOOKUP('Données projet'!$B$10,Paramètres!$A$1:$I$89,3,0)*0.475*44/12</f>
        <v>3.6543098957151773E-8</v>
      </c>
      <c r="AX88" s="21">
        <f t="shared" si="60"/>
        <v>0.7575515652739685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17.5</v>
      </c>
      <c r="BD88" s="12">
        <f>IF('Données projet'!$A$88&gt;35,BD87+BC88-BL87,IF(A88&lt;'Données projet'!$A$88,$BA$205^A88,IF(A88='Données projet'!$A$88,'Données projet'!$B$88,BD87+BC88-BL87)))</f>
        <v>537.09999999999991</v>
      </c>
      <c r="BE88" s="13">
        <f>BD88*VLOOKUP('Données projet'!$B$11,Paramètres!$A$1:$I$89,3,0)*VLOOKUP('Données projet'!$B$11,Paramètres!$A$1:$I$89,5,0)</f>
        <v>251.36279999999996</v>
      </c>
      <c r="BF88" s="13">
        <f t="shared" si="91"/>
        <v>60.877671564837158</v>
      </c>
      <c r="BG88" s="20">
        <f t="shared" si="61"/>
        <v>543.81882130875795</v>
      </c>
      <c r="BH88" s="59">
        <f t="shared" si="62"/>
        <v>837.15215464209132</v>
      </c>
      <c r="BI88" s="59">
        <f ca="1">AVERAGE(OFFSET($BH$3,0,0,'Données projet'!$E$11+1,1))-AVERAGE(OFFSET($H$3,0,0,'Données projet'!$E$11+1,1))</f>
        <v>215.23235148064941</v>
      </c>
      <c r="BJ88" s="59">
        <f t="shared" si="92"/>
        <v>184.07239726900434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1.0547084954280654</v>
      </c>
      <c r="BQ88" s="21">
        <f>EXP(-LN(2)/25)*BQ87+(1-EXP(-LN(2)/25))/(LN(2)/25)*Calculateur!BL88*Calculateur!BN88*VLOOKUP('Données projet'!$B$11,Paramètres!$A$1:$I$89,3,0)*0.475*44/12</f>
        <v>1.7096447295803572</v>
      </c>
      <c r="BR88" s="21">
        <f>EXP(-LN(2)/2)*BR87+(1-EXP(-LN(2)/2))/(LN(2)/2)*BL88*BO88*VLOOKUP('Données projet'!$B$11,Paramètres!$A$1:$I$89,3,0)*0.475*44/12</f>
        <v>5.1799406580926307E-8</v>
      </c>
      <c r="BS88" s="22">
        <f t="shared" si="63"/>
        <v>2.7643532768078289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 t="e">
        <f>BY88*VLOOKUP('Données projet'!$B$12,Paramètres!$A$1:$I$89,3,0)*VLOOKUP('Données projet'!$B$12,Paramètres!$A$1:$I$89,5,0)</f>
        <v>#N/A</v>
      </c>
      <c r="CA88" s="13" t="e">
        <f t="shared" si="93"/>
        <v>#N/A</v>
      </c>
      <c r="CB88" s="20" t="e">
        <f t="shared" si="64"/>
        <v>#N/A</v>
      </c>
      <c r="CC88" s="59" t="e">
        <f t="shared" si="65"/>
        <v>#N/A</v>
      </c>
      <c r="CD88" s="59" t="e">
        <f ca="1">AVERAGE(OFFSET($CC$3,0,0,'Données projet'!$E$12+1,1))-AVERAGE(OFFSET($H$3,0,0,'Données projet'!$E$12+1,1))</f>
        <v>#N/A</v>
      </c>
      <c r="CE88" s="59" t="e">
        <f t="shared" si="94"/>
        <v>#N/A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 t="e">
        <f>EXP(-LN(2)/35)*CK87+(1-EXP(-LN(2)/35))/(LN(2)/35)*CG88*CH88*VLOOKUP('Données projet'!$B$12,Paramètres!$A$1:$I$89,3,0)*0.475*44/12</f>
        <v>#N/A</v>
      </c>
      <c r="CL88" s="21" t="e">
        <f>EXP(-LN(2)/25)*CL87+(1-EXP(-LN(2)/25))/(LN(2)/25)*Calculateur!CG88*Calculateur!CI88*VLOOKUP('Données projet'!$B$12,Paramètres!$A$1:$I$89,3,0)*0.475*44/12</f>
        <v>#N/A</v>
      </c>
      <c r="CM88" s="21" t="e">
        <f>EXP(-LN(2)/2)*CM87+(1-EXP(-LN(2)/2))/(LN(2)/2)*CG88*CJ88*VLOOKUP('Données projet'!$B$12,Paramètres!$A$1:$I$89,3,0)*0.475*44/12</f>
        <v>#N/A</v>
      </c>
      <c r="CN88" s="22" t="e">
        <f t="shared" si="66"/>
        <v>#N/A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25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76.47120000000011</v>
      </c>
      <c r="D89" s="11">
        <f t="shared" si="86"/>
        <v>21.272121944536373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10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754.50985360694824</v>
      </c>
      <c r="H89" s="67">
        <f t="shared" si="56"/>
        <v>463.56961905340103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-3.4106051316484809E-13</v>
      </c>
      <c r="O89" s="13">
        <f>N89*VLOOKUP('Données projet'!$B$9,Paramètres!$A$1:$I$89,3,0)*VLOOKUP('Données projet'!$B$9,Paramètres!$A$1:$I$89,5,0)</f>
        <v>-1.9065282685915009E-13</v>
      </c>
      <c r="P89" s="13" t="e">
        <f t="shared" si="87"/>
        <v>#NUM!</v>
      </c>
      <c r="Q89" s="20" t="e">
        <f t="shared" si="54"/>
        <v>#NUM!</v>
      </c>
      <c r="R89" s="59" t="e">
        <f t="shared" si="55"/>
        <v>#NUM!</v>
      </c>
      <c r="S89" s="59">
        <f ca="1">AVERAGE(OFFSET($R$3,0,0,'Données projet'!$E$9+1,1))-AVERAGE(OFFSET($H$3,0,0,'Données projet'!$E$9+1,1))</f>
        <v>279.98352834501759</v>
      </c>
      <c r="T89" s="59">
        <f t="shared" si="88"/>
        <v>281.30062655265488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1.3185024358102713</v>
      </c>
      <c r="AA89" s="21">
        <f>EXP(-LN(2)/25)*AA88+(1-EXP(-LN(2)/25))/(LN(2)/25)*Calculateur!V89*Calculateur!X89*VLOOKUP('Données projet'!$B$9,Paramètres!$A$1:$I$89,3,0)*0.475*44/12</f>
        <v>5.1285134860195987</v>
      </c>
      <c r="AB89" s="21">
        <f>EXP(-LN(2)/2)*AB88+(1-EXP(-LN(2)/2))/(LN(2)/2)*V89*Y89*VLOOKUP('Données projet'!$B$9,Paramètres!$A$1:$I$89,3,0)*0.475*44/12</f>
        <v>1.0548956832220674E-7</v>
      </c>
      <c r="AC89" s="22">
        <f t="shared" si="57"/>
        <v>6.4470160273194379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5.6</v>
      </c>
      <c r="AI89" s="13">
        <f>IF('Données projet'!$A$62&gt;35,AI88+AH89-AQ88,IF(A89&lt;'Données projet'!$A$62,$AF$205^A89,IF(A89='Données projet'!$A$62,'Données projet'!$B$62,AI88+AH89-AQ88)))</f>
        <v>273.60000000000036</v>
      </c>
      <c r="AJ89" s="13">
        <f>AI89*VLOOKUP('Données projet'!$B$10,Paramètres!$A$1:$I$89,3,0)*VLOOKUP('Données projet'!$B$10,Paramètres!$A$1:$I$89,5,0)</f>
        <v>277.43040000000036</v>
      </c>
      <c r="AK89" s="13">
        <f t="shared" si="89"/>
        <v>66.423687500715801</v>
      </c>
      <c r="AL89" s="20">
        <f t="shared" si="58"/>
        <v>598.87920239708058</v>
      </c>
      <c r="AM89" s="59">
        <f t="shared" si="59"/>
        <v>892.21253573041395</v>
      </c>
      <c r="AN89" s="59">
        <f ca="1">AVERAGE(OFFSET($AM$3,0,0,'Données projet'!$E$10+1,1))-AVERAGE(OFFSET($H$3,0,0,'Données projet'!$E$10+1,1))</f>
        <v>279.20364724206644</v>
      </c>
      <c r="AO89" s="59">
        <f t="shared" si="90"/>
        <v>173.99850582760712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0</v>
      </c>
      <c r="AV89" s="21">
        <f>EXP(-LN(2)/25)*AV88+(1-EXP(-LN(2)/25))/(LN(2)/25)*Calculateur!AQ89*Calculateur!AS89*VLOOKUP('Données projet'!$B$10,Paramètres!$A$1:$I$89,3,0)*0.475*44/12</f>
        <v>0.73683624233982037</v>
      </c>
      <c r="AW89" s="21">
        <f>EXP(-LN(2)/2)*AW88+(1-EXP(-LN(2)/2))/(LN(2)/2)*AQ89*AT89*VLOOKUP('Données projet'!$B$10,Paramètres!$A$1:$I$89,3,0)*0.475*44/12</f>
        <v>2.5839873078173072E-8</v>
      </c>
      <c r="AX89" s="21">
        <f t="shared" si="60"/>
        <v>0.7368362681796935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17.5</v>
      </c>
      <c r="BD89" s="12">
        <f>IF('Données projet'!$A$88&gt;35,BD88+BC89-BL88,IF(A89&lt;'Données projet'!$A$88,$BA$205^A89,IF(A89='Données projet'!$A$88,'Données projet'!$B$88,BD88+BC89-BL88)))</f>
        <v>554.59999999999991</v>
      </c>
      <c r="BE89" s="13">
        <f>BD89*VLOOKUP('Données projet'!$B$11,Paramètres!$A$1:$I$89,3,0)*VLOOKUP('Données projet'!$B$11,Paramètres!$A$1:$I$89,5,0)</f>
        <v>259.55279999999993</v>
      </c>
      <c r="BF89" s="13">
        <f t="shared" si="91"/>
        <v>62.627043439399927</v>
      </c>
      <c r="BG89" s="20">
        <f t="shared" si="61"/>
        <v>561.12989399028811</v>
      </c>
      <c r="BH89" s="59">
        <f t="shared" si="62"/>
        <v>854.46322732362137</v>
      </c>
      <c r="BI89" s="59">
        <f ca="1">AVERAGE(OFFSET($BH$3,0,0,'Données projet'!$E$11+1,1))-AVERAGE(OFFSET($H$3,0,0,'Données projet'!$E$11+1,1))</f>
        <v>215.23235148064941</v>
      </c>
      <c r="BJ89" s="59">
        <f t="shared" si="92"/>
        <v>184.07239726900434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1.0340263051413818</v>
      </c>
      <c r="BQ89" s="21">
        <f>EXP(-LN(2)/25)*BQ88+(1-EXP(-LN(2)/25))/(LN(2)/25)*Calculateur!BL89*Calculateur!BN89*VLOOKUP('Données projet'!$B$11,Paramètres!$A$1:$I$89,3,0)*0.475*44/12</f>
        <v>1.6628944045436733</v>
      </c>
      <c r="BR89" s="21">
        <f>EXP(-LN(2)/2)*BR88+(1-EXP(-LN(2)/2))/(LN(2)/2)*BL89*BO89*VLOOKUP('Données projet'!$B$11,Paramètres!$A$1:$I$89,3,0)*0.475*44/12</f>
        <v>3.6627711654812067E-8</v>
      </c>
      <c r="BS89" s="22">
        <f t="shared" si="63"/>
        <v>2.6969207463127667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 t="e">
        <f>BY89*VLOOKUP('Données projet'!$B$12,Paramètres!$A$1:$I$89,3,0)*VLOOKUP('Données projet'!$B$12,Paramètres!$A$1:$I$89,5,0)</f>
        <v>#N/A</v>
      </c>
      <c r="CA89" s="13" t="e">
        <f t="shared" si="93"/>
        <v>#N/A</v>
      </c>
      <c r="CB89" s="20" t="e">
        <f t="shared" si="64"/>
        <v>#N/A</v>
      </c>
      <c r="CC89" s="59" t="e">
        <f t="shared" si="65"/>
        <v>#N/A</v>
      </c>
      <c r="CD89" s="59" t="e">
        <f ca="1">AVERAGE(OFFSET($CC$3,0,0,'Données projet'!$E$12+1,1))-AVERAGE(OFFSET($H$3,0,0,'Données projet'!$E$12+1,1))</f>
        <v>#N/A</v>
      </c>
      <c r="CE89" s="59" t="e">
        <f t="shared" si="94"/>
        <v>#N/A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 t="e">
        <f>EXP(-LN(2)/35)*CK88+(1-EXP(-LN(2)/35))/(LN(2)/35)*CG89*CH89*VLOOKUP('Données projet'!$B$12,Paramètres!$A$1:$I$89,3,0)*0.475*44/12</f>
        <v>#N/A</v>
      </c>
      <c r="CL89" s="21" t="e">
        <f>EXP(-LN(2)/25)*CL88+(1-EXP(-LN(2)/25))/(LN(2)/25)*Calculateur!CG89*Calculateur!CI89*VLOOKUP('Données projet'!$B$12,Paramètres!$A$1:$I$89,3,0)*0.475*44/12</f>
        <v>#N/A</v>
      </c>
      <c r="CM89" s="21" t="e">
        <f>EXP(-LN(2)/2)*CM88+(1-EXP(-LN(2)/2))/(LN(2)/2)*CG89*CJ89*VLOOKUP('Données projet'!$B$12,Paramètres!$A$1:$I$89,3,0)*0.475*44/12</f>
        <v>#N/A</v>
      </c>
      <c r="CN89" s="22" t="e">
        <f t="shared" si="66"/>
        <v>#N/A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25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77.360400000000112</v>
      </c>
      <c r="D90" s="11">
        <f t="shared" si="86"/>
        <v>21.490533357793517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10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763.05983644612627</v>
      </c>
      <c r="H90" s="67">
        <f t="shared" si="56"/>
        <v>465.49870893149051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-3.4106051316484809E-13</v>
      </c>
      <c r="O90" s="13">
        <f>N90*VLOOKUP('Données projet'!$B$9,Paramètres!$A$1:$I$89,3,0)*VLOOKUP('Données projet'!$B$9,Paramètres!$A$1:$I$89,5,0)</f>
        <v>-1.9065282685915009E-13</v>
      </c>
      <c r="P90" s="13" t="e">
        <f t="shared" si="87"/>
        <v>#NUM!</v>
      </c>
      <c r="Q90" s="20" t="e">
        <f t="shared" si="54"/>
        <v>#NUM!</v>
      </c>
      <c r="R90" s="59" t="e">
        <f t="shared" si="55"/>
        <v>#NUM!</v>
      </c>
      <c r="S90" s="59">
        <f ca="1">AVERAGE(OFFSET($R$3,0,0,'Données projet'!$E$9+1,1))-AVERAGE(OFFSET($H$3,0,0,'Données projet'!$E$9+1,1))</f>
        <v>279.98352834501759</v>
      </c>
      <c r="T90" s="59">
        <f t="shared" si="88"/>
        <v>281.30062655265488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1.2926474072511089</v>
      </c>
      <c r="AA90" s="21">
        <f>EXP(-LN(2)/25)*AA89+(1-EXP(-LN(2)/25))/(LN(2)/25)*Calculateur!V90*Calculateur!X90*VLOOKUP('Données projet'!$B$9,Paramètres!$A$1:$I$89,3,0)*0.475*44/12</f>
        <v>4.9882740150475895</v>
      </c>
      <c r="AB90" s="21">
        <f>EXP(-LN(2)/2)*AB89+(1-EXP(-LN(2)/2))/(LN(2)/2)*V90*Y90*VLOOKUP('Données projet'!$B$9,Paramètres!$A$1:$I$89,3,0)*0.475*44/12</f>
        <v>7.4592389105073993E-8</v>
      </c>
      <c r="AC90" s="22">
        <f t="shared" si="57"/>
        <v>6.2809214968910876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5.6</v>
      </c>
      <c r="AI90" s="13">
        <f>IF('Données projet'!$A$62&gt;35,AI89+AH90-AQ89,IF(A90&lt;'Données projet'!$A$62,$AF$205^A90,IF(A90='Données projet'!$A$62,'Données projet'!$B$62,AI89+AH90-AQ89)))</f>
        <v>279.20000000000039</v>
      </c>
      <c r="AJ90" s="13">
        <f>AI90*VLOOKUP('Données projet'!$B$10,Paramètres!$A$1:$I$89,3,0)*VLOOKUP('Données projet'!$B$10,Paramètres!$A$1:$I$89,5,0)</f>
        <v>283.10880000000037</v>
      </c>
      <c r="AK90" s="13">
        <f t="shared" si="89"/>
        <v>67.623564901653921</v>
      </c>
      <c r="AL90" s="20">
        <f t="shared" si="58"/>
        <v>610.85886887038123</v>
      </c>
      <c r="AM90" s="59">
        <f t="shared" si="59"/>
        <v>904.19220220371449</v>
      </c>
      <c r="AN90" s="59">
        <f ca="1">AVERAGE(OFFSET($AM$3,0,0,'Données projet'!$E$10+1,1))-AVERAGE(OFFSET($H$3,0,0,'Données projet'!$E$10+1,1))</f>
        <v>279.20364724206644</v>
      </c>
      <c r="AO90" s="59">
        <f t="shared" si="90"/>
        <v>173.99850582760712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0</v>
      </c>
      <c r="AV90" s="21">
        <f>EXP(-LN(2)/25)*AV89+(1-EXP(-LN(2)/25))/(LN(2)/25)*Calculateur!AQ90*Calculateur!AS90*VLOOKUP('Données projet'!$B$10,Paramètres!$A$1:$I$89,3,0)*0.475*44/12</f>
        <v>0.71668741654450407</v>
      </c>
      <c r="AW90" s="21">
        <f>EXP(-LN(2)/2)*AW89+(1-EXP(-LN(2)/2))/(LN(2)/2)*AQ90*AT90*VLOOKUP('Données projet'!$B$10,Paramètres!$A$1:$I$89,3,0)*0.475*44/12</f>
        <v>1.8271549478575887E-8</v>
      </c>
      <c r="AX90" s="21">
        <f t="shared" si="60"/>
        <v>0.71668743481605357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17.5</v>
      </c>
      <c r="BD90" s="12">
        <f>IF('Données projet'!$A$88&gt;35,BD89+BC90-BL89,IF(A90&lt;'Données projet'!$A$88,$BA$205^A90,IF(A90='Données projet'!$A$88,'Données projet'!$B$88,BD89+BC90-BL89)))</f>
        <v>572.09999999999991</v>
      </c>
      <c r="BE90" s="13">
        <f>BD90*VLOOKUP('Données projet'!$B$11,Paramètres!$A$1:$I$89,3,0)*VLOOKUP('Données projet'!$B$11,Paramètres!$A$1:$I$89,5,0)</f>
        <v>267.74279999999993</v>
      </c>
      <c r="BF90" s="13">
        <f t="shared" si="91"/>
        <v>64.370000676259949</v>
      </c>
      <c r="BG90" s="20">
        <f t="shared" si="61"/>
        <v>578.42979451115264</v>
      </c>
      <c r="BH90" s="59">
        <f t="shared" si="62"/>
        <v>871.76312784448601</v>
      </c>
      <c r="BI90" s="59">
        <f ca="1">AVERAGE(OFFSET($BH$3,0,0,'Données projet'!$E$11+1,1))-AVERAGE(OFFSET($H$3,0,0,'Données projet'!$E$11+1,1))</f>
        <v>215.23235148064941</v>
      </c>
      <c r="BJ90" s="59">
        <f t="shared" si="92"/>
        <v>184.07239726900434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1.0137496799913297</v>
      </c>
      <c r="BQ90" s="21">
        <f>EXP(-LN(2)/25)*BQ89+(1-EXP(-LN(2)/25))/(LN(2)/25)*Calculateur!BL90*Calculateur!BN90*VLOOKUP('Données projet'!$B$11,Paramètres!$A$1:$I$89,3,0)*0.475*44/12</f>
        <v>1.6174224696036104</v>
      </c>
      <c r="BR90" s="21">
        <f>EXP(-LN(2)/2)*BR89+(1-EXP(-LN(2)/2))/(LN(2)/2)*BL90*BO90*VLOOKUP('Données projet'!$B$11,Paramètres!$A$1:$I$89,3,0)*0.475*44/12</f>
        <v>2.5899703290463154E-8</v>
      </c>
      <c r="BS90" s="22">
        <f t="shared" si="63"/>
        <v>2.6311721754946436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 t="e">
        <f>BY90*VLOOKUP('Données projet'!$B$12,Paramètres!$A$1:$I$89,3,0)*VLOOKUP('Données projet'!$B$12,Paramètres!$A$1:$I$89,5,0)</f>
        <v>#N/A</v>
      </c>
      <c r="CA90" s="13" t="e">
        <f t="shared" si="93"/>
        <v>#N/A</v>
      </c>
      <c r="CB90" s="20" t="e">
        <f t="shared" si="64"/>
        <v>#N/A</v>
      </c>
      <c r="CC90" s="59" t="e">
        <f t="shared" si="65"/>
        <v>#N/A</v>
      </c>
      <c r="CD90" s="59" t="e">
        <f ca="1">AVERAGE(OFFSET($CC$3,0,0,'Données projet'!$E$12+1,1))-AVERAGE(OFFSET($H$3,0,0,'Données projet'!$E$12+1,1))</f>
        <v>#N/A</v>
      </c>
      <c r="CE90" s="59" t="e">
        <f t="shared" si="94"/>
        <v>#N/A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 t="e">
        <f>EXP(-LN(2)/35)*CK89+(1-EXP(-LN(2)/35))/(LN(2)/35)*CG90*CH90*VLOOKUP('Données projet'!$B$12,Paramètres!$A$1:$I$89,3,0)*0.475*44/12</f>
        <v>#N/A</v>
      </c>
      <c r="CL90" s="21" t="e">
        <f>EXP(-LN(2)/25)*CL89+(1-EXP(-LN(2)/25))/(LN(2)/25)*Calculateur!CG90*Calculateur!CI90*VLOOKUP('Données projet'!$B$12,Paramètres!$A$1:$I$89,3,0)*0.475*44/12</f>
        <v>#N/A</v>
      </c>
      <c r="CM90" s="21" t="e">
        <f>EXP(-LN(2)/2)*CM89+(1-EXP(-LN(2)/2))/(LN(2)/2)*CG90*CJ90*VLOOKUP('Données projet'!$B$12,Paramètres!$A$1:$I$89,3,0)*0.475*44/12</f>
        <v>#N/A</v>
      </c>
      <c r="CN90" s="22" t="e">
        <f t="shared" si="66"/>
        <v>#N/A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25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78.249600000000115</v>
      </c>
      <c r="D91" s="11">
        <f t="shared" si="86"/>
        <v>21.70865274023982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10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771.60756501237847</v>
      </c>
      <c r="H91" s="67">
        <f t="shared" si="56"/>
        <v>467.42729018925121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-3.4106051316484809E-13</v>
      </c>
      <c r="O91" s="13">
        <f>N91*VLOOKUP('Données projet'!$B$9,Paramètres!$A$1:$I$89,3,0)*VLOOKUP('Données projet'!$B$9,Paramètres!$A$1:$I$89,5,0)</f>
        <v>-1.9065282685915009E-13</v>
      </c>
      <c r="P91" s="13" t="e">
        <f t="shared" si="87"/>
        <v>#NUM!</v>
      </c>
      <c r="Q91" s="20" t="e">
        <f t="shared" si="54"/>
        <v>#NUM!</v>
      </c>
      <c r="R91" s="59" t="e">
        <f t="shared" si="55"/>
        <v>#NUM!</v>
      </c>
      <c r="S91" s="59">
        <f ca="1">AVERAGE(OFFSET($R$3,0,0,'Données projet'!$E$9+1,1))-AVERAGE(OFFSET($H$3,0,0,'Données projet'!$E$9+1,1))</f>
        <v>279.98352834501759</v>
      </c>
      <c r="T91" s="59">
        <f t="shared" si="88"/>
        <v>281.30062655265488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1.2672993800319814</v>
      </c>
      <c r="AA91" s="21">
        <f>EXP(-LN(2)/25)*AA90+(1-EXP(-LN(2)/25))/(LN(2)/25)*Calculateur!V91*Calculateur!X91*VLOOKUP('Données projet'!$B$9,Paramètres!$A$1:$I$89,3,0)*0.475*44/12</f>
        <v>4.8518693997841833</v>
      </c>
      <c r="AB91" s="21">
        <f>EXP(-LN(2)/2)*AB90+(1-EXP(-LN(2)/2))/(LN(2)/2)*V91*Y91*VLOOKUP('Données projet'!$B$9,Paramètres!$A$1:$I$89,3,0)*0.475*44/12</f>
        <v>5.2744784161103368E-8</v>
      </c>
      <c r="AC91" s="22">
        <f t="shared" si="57"/>
        <v>6.1191688325609492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5.6</v>
      </c>
      <c r="AI91" s="13">
        <f>IF('Données projet'!$A$62&gt;35,AI90+AH91-AQ90,IF(A91&lt;'Données projet'!$A$62,$AF$205^A91,IF(A91='Données projet'!$A$62,'Données projet'!$B$62,AI90+AH91-AQ90)))</f>
        <v>284.80000000000041</v>
      </c>
      <c r="AJ91" s="13">
        <f>AI91*VLOOKUP('Données projet'!$B$10,Paramètres!$A$1:$I$89,3,0)*VLOOKUP('Données projet'!$B$10,Paramètres!$A$1:$I$89,5,0)</f>
        <v>288.78720000000044</v>
      </c>
      <c r="AK91" s="13">
        <f t="shared" si="89"/>
        <v>68.82064405344255</v>
      </c>
      <c r="AL91" s="20">
        <f t="shared" si="58"/>
        <v>622.8336617264132</v>
      </c>
      <c r="AM91" s="59">
        <f t="shared" si="59"/>
        <v>916.16699505974657</v>
      </c>
      <c r="AN91" s="59">
        <f ca="1">AVERAGE(OFFSET($AM$3,0,0,'Données projet'!$E$10+1,1))-AVERAGE(OFFSET($H$3,0,0,'Données projet'!$E$10+1,1))</f>
        <v>279.20364724206644</v>
      </c>
      <c r="AO91" s="59">
        <f t="shared" si="90"/>
        <v>173.99850582760712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0</v>
      </c>
      <c r="AV91" s="21">
        <f>EXP(-LN(2)/25)*AV90+(1-EXP(-LN(2)/25))/(LN(2)/25)*Calculateur!AQ91*Calculateur!AS91*VLOOKUP('Données projet'!$B$10,Paramètres!$A$1:$I$89,3,0)*0.475*44/12</f>
        <v>0.69708956145014134</v>
      </c>
      <c r="AW91" s="21">
        <f>EXP(-LN(2)/2)*AW90+(1-EXP(-LN(2)/2))/(LN(2)/2)*AQ91*AT91*VLOOKUP('Données projet'!$B$10,Paramètres!$A$1:$I$89,3,0)*0.475*44/12</f>
        <v>1.2919936539086536E-8</v>
      </c>
      <c r="AX91" s="21">
        <f t="shared" si="60"/>
        <v>0.6970895743700779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17.5</v>
      </c>
      <c r="BD91" s="12">
        <f>IF('Données projet'!$A$88&gt;35,BD90+BC91-BL90,IF(A91&lt;'Données projet'!$A$88,$BA$205^A91,IF(A91='Données projet'!$A$88,'Données projet'!$B$88,BD90+BC91-BL90)))</f>
        <v>589.59999999999991</v>
      </c>
      <c r="BE91" s="13">
        <f>BD91*VLOOKUP('Données projet'!$B$11,Paramètres!$A$1:$I$89,3,0)*VLOOKUP('Données projet'!$B$11,Paramètres!$A$1:$I$89,5,0)</f>
        <v>275.93279999999999</v>
      </c>
      <c r="BF91" s="13">
        <f t="shared" si="91"/>
        <v>66.106762012556132</v>
      </c>
      <c r="BG91" s="20">
        <f t="shared" si="61"/>
        <v>595.7189038385352</v>
      </c>
      <c r="BH91" s="59">
        <f t="shared" si="62"/>
        <v>889.05223717186846</v>
      </c>
      <c r="BI91" s="59">
        <f ca="1">AVERAGE(OFFSET($BH$3,0,0,'Données projet'!$E$11+1,1))-AVERAGE(OFFSET($H$3,0,0,'Données projet'!$E$11+1,1))</f>
        <v>215.23235148064941</v>
      </c>
      <c r="BJ91" s="59">
        <f t="shared" si="92"/>
        <v>184.07239726900434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0.99387066709294991</v>
      </c>
      <c r="BQ91" s="21">
        <f>EXP(-LN(2)/25)*BQ90+(1-EXP(-LN(2)/25))/(LN(2)/25)*Calculateur!BL91*Calculateur!BN91*VLOOKUP('Données projet'!$B$11,Paramètres!$A$1:$I$89,3,0)*0.475*44/12</f>
        <v>1.5731939671157487</v>
      </c>
      <c r="BR91" s="21">
        <f>EXP(-LN(2)/2)*BR90+(1-EXP(-LN(2)/2))/(LN(2)/2)*BL91*BO91*VLOOKUP('Données projet'!$B$11,Paramètres!$A$1:$I$89,3,0)*0.475*44/12</f>
        <v>1.8313855827406034E-8</v>
      </c>
      <c r="BS91" s="22">
        <f t="shared" si="63"/>
        <v>2.5670646525225544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 t="e">
        <f>BY91*VLOOKUP('Données projet'!$B$12,Paramètres!$A$1:$I$89,3,0)*VLOOKUP('Données projet'!$B$12,Paramètres!$A$1:$I$89,5,0)</f>
        <v>#N/A</v>
      </c>
      <c r="CA91" s="13" t="e">
        <f t="shared" si="93"/>
        <v>#N/A</v>
      </c>
      <c r="CB91" s="20" t="e">
        <f t="shared" si="64"/>
        <v>#N/A</v>
      </c>
      <c r="CC91" s="59" t="e">
        <f t="shared" si="65"/>
        <v>#N/A</v>
      </c>
      <c r="CD91" s="59" t="e">
        <f ca="1">AVERAGE(OFFSET($CC$3,0,0,'Données projet'!$E$12+1,1))-AVERAGE(OFFSET($H$3,0,0,'Données projet'!$E$12+1,1))</f>
        <v>#N/A</v>
      </c>
      <c r="CE91" s="59" t="e">
        <f t="shared" si="94"/>
        <v>#N/A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 t="e">
        <f>EXP(-LN(2)/35)*CK90+(1-EXP(-LN(2)/35))/(LN(2)/35)*CG91*CH91*VLOOKUP('Données projet'!$B$12,Paramètres!$A$1:$I$89,3,0)*0.475*44/12</f>
        <v>#N/A</v>
      </c>
      <c r="CL91" s="21" t="e">
        <f>EXP(-LN(2)/25)*CL90+(1-EXP(-LN(2)/25))/(LN(2)/25)*Calculateur!CG91*Calculateur!CI91*VLOOKUP('Données projet'!$B$12,Paramètres!$A$1:$I$89,3,0)*0.475*44/12</f>
        <v>#N/A</v>
      </c>
      <c r="CM91" s="21" t="e">
        <f>EXP(-LN(2)/2)*CM90+(1-EXP(-LN(2)/2))/(LN(2)/2)*CG91*CJ91*VLOOKUP('Données projet'!$B$12,Paramètres!$A$1:$I$89,3,0)*0.475*44/12</f>
        <v>#N/A</v>
      </c>
      <c r="CN91" s="22" t="e">
        <f t="shared" si="66"/>
        <v>#N/A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25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79.138800000000117</v>
      </c>
      <c r="D92" s="11">
        <f t="shared" si="86"/>
        <v>21.926483794395363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10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780.15306788656164</v>
      </c>
      <c r="H92" s="67">
        <f t="shared" si="56"/>
        <v>469.35536927523879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-3.4106051316484809E-13</v>
      </c>
      <c r="O92" s="13">
        <f>N92*VLOOKUP('Données projet'!$B$9,Paramètres!$A$1:$I$89,3,0)*VLOOKUP('Données projet'!$B$9,Paramètres!$A$1:$I$89,5,0)</f>
        <v>-1.9065282685915009E-13</v>
      </c>
      <c r="P92" s="13" t="e">
        <f t="shared" si="87"/>
        <v>#NUM!</v>
      </c>
      <c r="Q92" s="20" t="e">
        <f t="shared" si="54"/>
        <v>#NUM!</v>
      </c>
      <c r="R92" s="59" t="e">
        <f t="shared" si="55"/>
        <v>#NUM!</v>
      </c>
      <c r="S92" s="59">
        <f ca="1">AVERAGE(OFFSET($R$3,0,0,'Données projet'!$E$9+1,1))-AVERAGE(OFFSET($H$3,0,0,'Données projet'!$E$9+1,1))</f>
        <v>279.98352834501759</v>
      </c>
      <c r="T92" s="59">
        <f t="shared" si="88"/>
        <v>281.30062655265488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1.242448412165851</v>
      </c>
      <c r="AA92" s="21">
        <f>EXP(-LN(2)/25)*AA91+(1-EXP(-LN(2)/25))/(LN(2)/25)*Calculateur!V92*Calculateur!X92*VLOOKUP('Données projet'!$B$9,Paramètres!$A$1:$I$89,3,0)*0.475*44/12</f>
        <v>4.7191947758983623</v>
      </c>
      <c r="AB92" s="21">
        <f>EXP(-LN(2)/2)*AB91+(1-EXP(-LN(2)/2))/(LN(2)/2)*V92*Y92*VLOOKUP('Données projet'!$B$9,Paramètres!$A$1:$I$89,3,0)*0.475*44/12</f>
        <v>3.7296194552536996E-8</v>
      </c>
      <c r="AC92" s="22">
        <f t="shared" si="57"/>
        <v>5.9616432253604081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5.6</v>
      </c>
      <c r="AI92" s="13">
        <f>IF('Données projet'!$A$62&gt;35,AI91+AH92-AQ91,IF(A92&lt;'Données projet'!$A$62,$AF$205^A92,IF(A92='Données projet'!$A$62,'Données projet'!$B$62,AI91+AH92-AQ91)))</f>
        <v>290.40000000000043</v>
      </c>
      <c r="AJ92" s="13">
        <f>AI92*VLOOKUP('Données projet'!$B$10,Paramètres!$A$1:$I$89,3,0)*VLOOKUP('Données projet'!$B$10,Paramètres!$A$1:$I$89,5,0)</f>
        <v>294.46560000000045</v>
      </c>
      <c r="AK92" s="13">
        <f t="shared" si="89"/>
        <v>70.014986320104342</v>
      </c>
      <c r="AL92" s="20">
        <f t="shared" si="58"/>
        <v>634.80368784084919</v>
      </c>
      <c r="AM92" s="59">
        <f t="shared" si="59"/>
        <v>928.13702117418256</v>
      </c>
      <c r="AN92" s="59">
        <f ca="1">AVERAGE(OFFSET($AM$3,0,0,'Données projet'!$E$10+1,1))-AVERAGE(OFFSET($H$3,0,0,'Données projet'!$E$10+1,1))</f>
        <v>279.20364724206644</v>
      </c>
      <c r="AO92" s="59">
        <f t="shared" si="90"/>
        <v>173.99850582760712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0</v>
      </c>
      <c r="AV92" s="21">
        <f>EXP(-LN(2)/25)*AV91+(1-EXP(-LN(2)/25))/(LN(2)/25)*Calculateur!AQ92*Calculateur!AS92*VLOOKUP('Données projet'!$B$10,Paramètres!$A$1:$I$89,3,0)*0.475*44/12</f>
        <v>0.67802761073394036</v>
      </c>
      <c r="AW92" s="21">
        <f>EXP(-LN(2)/2)*AW91+(1-EXP(-LN(2)/2))/(LN(2)/2)*AQ92*AT92*VLOOKUP('Données projet'!$B$10,Paramètres!$A$1:$I$89,3,0)*0.475*44/12</f>
        <v>9.1357747392879433E-9</v>
      </c>
      <c r="AX92" s="21">
        <f t="shared" si="60"/>
        <v>0.67802761986971505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17.5</v>
      </c>
      <c r="BD92" s="12">
        <f>IF('Données projet'!$A$88&gt;35,BD91+BC92-BL91,IF(A92&lt;'Données projet'!$A$88,$BA$205^A92,IF(A92='Données projet'!$A$88,'Données projet'!$B$88,BD91+BC92-BL91)))</f>
        <v>607.09999999999991</v>
      </c>
      <c r="BE92" s="13">
        <f>BD92*VLOOKUP('Données projet'!$B$11,Paramètres!$A$1:$I$89,3,0)*VLOOKUP('Données projet'!$B$11,Paramètres!$A$1:$I$89,5,0)</f>
        <v>284.12279999999993</v>
      </c>
      <c r="BF92" s="13">
        <f t="shared" si="91"/>
        <v>67.837532462585557</v>
      </c>
      <c r="BG92" s="20">
        <f t="shared" si="61"/>
        <v>612.99757903900297</v>
      </c>
      <c r="BH92" s="59">
        <f t="shared" si="62"/>
        <v>906.33091237233634</v>
      </c>
      <c r="BI92" s="59">
        <f ca="1">AVERAGE(OFFSET($BH$3,0,0,'Données projet'!$E$11+1,1))-AVERAGE(OFFSET($H$3,0,0,'Données projet'!$E$11+1,1))</f>
        <v>215.23235148064941</v>
      </c>
      <c r="BJ92" s="59">
        <f t="shared" si="92"/>
        <v>184.07239726900434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0.9743814695125067</v>
      </c>
      <c r="BQ92" s="21">
        <f>EXP(-LN(2)/25)*BQ91+(1-EXP(-LN(2)/25))/(LN(2)/25)*Calculateur!BL92*Calculateur!BN92*VLOOKUP('Données projet'!$B$11,Paramètres!$A$1:$I$89,3,0)*0.475*44/12</f>
        <v>1.5301748953542933</v>
      </c>
      <c r="BR92" s="21">
        <f>EXP(-LN(2)/2)*BR91+(1-EXP(-LN(2)/2))/(LN(2)/2)*BL92*BO92*VLOOKUP('Données projet'!$B$11,Paramètres!$A$1:$I$89,3,0)*0.475*44/12</f>
        <v>1.2949851645231577E-8</v>
      </c>
      <c r="BS92" s="22">
        <f t="shared" si="63"/>
        <v>2.5045563778166517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 t="e">
        <f>BY92*VLOOKUP('Données projet'!$B$12,Paramètres!$A$1:$I$89,3,0)*VLOOKUP('Données projet'!$B$12,Paramètres!$A$1:$I$89,5,0)</f>
        <v>#N/A</v>
      </c>
      <c r="CA92" s="13" t="e">
        <f t="shared" si="93"/>
        <v>#N/A</v>
      </c>
      <c r="CB92" s="20" t="e">
        <f t="shared" si="64"/>
        <v>#N/A</v>
      </c>
      <c r="CC92" s="59" t="e">
        <f t="shared" si="65"/>
        <v>#N/A</v>
      </c>
      <c r="CD92" s="59" t="e">
        <f ca="1">AVERAGE(OFFSET($CC$3,0,0,'Données projet'!$E$12+1,1))-AVERAGE(OFFSET($H$3,0,0,'Données projet'!$E$12+1,1))</f>
        <v>#N/A</v>
      </c>
      <c r="CE92" s="59" t="e">
        <f t="shared" si="94"/>
        <v>#N/A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 t="e">
        <f>EXP(-LN(2)/35)*CK91+(1-EXP(-LN(2)/35))/(LN(2)/35)*CG92*CH92*VLOOKUP('Données projet'!$B$12,Paramètres!$A$1:$I$89,3,0)*0.475*44/12</f>
        <v>#N/A</v>
      </c>
      <c r="CL92" s="21" t="e">
        <f>EXP(-LN(2)/25)*CL91+(1-EXP(-LN(2)/25))/(LN(2)/25)*Calculateur!CG92*Calculateur!CI92*VLOOKUP('Données projet'!$B$12,Paramètres!$A$1:$I$89,3,0)*0.475*44/12</f>
        <v>#N/A</v>
      </c>
      <c r="CM92" s="21" t="e">
        <f>EXP(-LN(2)/2)*CM91+(1-EXP(-LN(2)/2))/(LN(2)/2)*CG92*CJ92*VLOOKUP('Données projet'!$B$12,Paramètres!$A$1:$I$89,3,0)*0.475*44/12</f>
        <v>#N/A</v>
      </c>
      <c r="CN92" s="22" t="e">
        <f t="shared" si="66"/>
        <v>#N/A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25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80.028000000000119</v>
      </c>
      <c r="D93" s="11">
        <f t="shared" si="86"/>
        <v>22.144030134787187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10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788.69637297028794</v>
      </c>
      <c r="H93" s="67">
        <f t="shared" si="56"/>
        <v>471.2829524847545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-3.4106051316484809E-13</v>
      </c>
      <c r="O93" s="13">
        <f>N93*VLOOKUP('Données projet'!$B$9,Paramètres!$A$1:$I$89,3,0)*VLOOKUP('Données projet'!$B$9,Paramètres!$A$1:$I$89,5,0)</f>
        <v>-1.9065282685915009E-13</v>
      </c>
      <c r="P93" s="13" t="e">
        <f t="shared" si="87"/>
        <v>#NUM!</v>
      </c>
      <c r="Q93" s="20" t="e">
        <f t="shared" si="54"/>
        <v>#NUM!</v>
      </c>
      <c r="R93" s="59" t="e">
        <f t="shared" si="55"/>
        <v>#NUM!</v>
      </c>
      <c r="S93" s="59">
        <f ca="1">AVERAGE(OFFSET($R$3,0,0,'Données projet'!$E$9+1,1))-AVERAGE(OFFSET($H$3,0,0,'Données projet'!$E$9+1,1))</f>
        <v>279.98352834501759</v>
      </c>
      <c r="T93" s="59">
        <f t="shared" si="88"/>
        <v>281.30062655265488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1.2180847566219817</v>
      </c>
      <c r="AA93" s="21">
        <f>EXP(-LN(2)/25)*AA92+(1-EXP(-LN(2)/25))/(LN(2)/25)*Calculateur!V93*Calculateur!X93*VLOOKUP('Données projet'!$B$9,Paramètres!$A$1:$I$89,3,0)*0.475*44/12</f>
        <v>4.5901481465797538</v>
      </c>
      <c r="AB93" s="21">
        <f>EXP(-LN(2)/2)*AB92+(1-EXP(-LN(2)/2))/(LN(2)/2)*V93*Y93*VLOOKUP('Données projet'!$B$9,Paramètres!$A$1:$I$89,3,0)*0.475*44/12</f>
        <v>2.6372392080551684E-8</v>
      </c>
      <c r="AC93" s="22">
        <f t="shared" si="57"/>
        <v>5.8082329295741282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>
        <f>VLOOKUP(A93,'Données projet'!$A$61:$I$81,2,0)</f>
        <v>296</v>
      </c>
      <c r="AG93" s="12">
        <f>VLOOKUP(A93,'Données projet'!$A$61:$I$81,9,0)</f>
        <v>5.6</v>
      </c>
      <c r="AH93" s="12">
        <f t="array" ref="AH93">INDEX(AG:AG,MIN(IF(ISNUMBER(AG93:AG289),ROW(AG93:AG289),"")))</f>
        <v>5.6</v>
      </c>
      <c r="AI93" s="13">
        <f>IF('Données projet'!$A$62&gt;35,AI92+AH93-AQ92,IF(A93&lt;'Données projet'!$A$62,$AF$205^A93,IF(A93='Données projet'!$A$62,'Données projet'!$B$62,AI92+AH93-AQ92)))</f>
        <v>296.00000000000045</v>
      </c>
      <c r="AJ93" s="13">
        <f>AI93*VLOOKUP('Données projet'!$B$10,Paramètres!$A$1:$I$89,3,0)*VLOOKUP('Données projet'!$B$10,Paramètres!$A$1:$I$89,5,0)</f>
        <v>300.14400000000046</v>
      </c>
      <c r="AK93" s="13">
        <f t="shared" si="89"/>
        <v>71.206650563609927</v>
      </c>
      <c r="AL93" s="20">
        <f t="shared" si="58"/>
        <v>646.76904973162129</v>
      </c>
      <c r="AM93" s="59">
        <f t="shared" si="59"/>
        <v>940.10238306495467</v>
      </c>
      <c r="AN93" s="59">
        <f ca="1">AVERAGE(OFFSET($AM$3,0,0,'Données projet'!$E$10+1,1))-AVERAGE(OFFSET($H$3,0,0,'Données projet'!$E$10+1,1))</f>
        <v>279.20364724206644</v>
      </c>
      <c r="AO93" s="59">
        <f t="shared" si="90"/>
        <v>173.99850582760712</v>
      </c>
      <c r="AP93" s="15">
        <f>IF(ISNA(VLOOKUP(A93,'Données projet'!$A$61:$I$81,3,0)),0,VLOOKUP(A93,'Données projet'!$A$61:$I$81,3,0))</f>
        <v>7</v>
      </c>
      <c r="AQ93" s="15">
        <f>IF(ISNA(VLOOKUP(A93,'Données projet'!$A$61:$I$81,4,0)),0,VLOOKUP(A93,'Données projet'!$A$61:$I$81,4,0))</f>
        <v>42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0</v>
      </c>
      <c r="AV93" s="21">
        <f>EXP(-LN(2)/25)*AV92+(1-EXP(-LN(2)/25))/(LN(2)/25)*Calculateur!AQ93*Calculateur!AS93*VLOOKUP('Données projet'!$B$10,Paramètres!$A$1:$I$89,3,0)*0.475*44/12</f>
        <v>0.65948691006249838</v>
      </c>
      <c r="AW93" s="21">
        <f>EXP(-LN(2)/2)*AW92+(1-EXP(-LN(2)/2))/(LN(2)/2)*AQ93*AT93*VLOOKUP('Données projet'!$B$10,Paramètres!$A$1:$I$89,3,0)*0.475*44/12</f>
        <v>6.459968269543268E-9</v>
      </c>
      <c r="AX93" s="21">
        <f t="shared" si="60"/>
        <v>0.6594869165224666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>
        <f>VLOOKUP(A93,'Données projet'!$A$87:$I$107,2,0)</f>
        <v>624.6</v>
      </c>
      <c r="BB93" s="12">
        <f>VLOOKUP(A93,'Données projet'!$A$87:$I$107,9,0)</f>
        <v>17.5</v>
      </c>
      <c r="BC93" s="12">
        <f t="array" ref="BC93">INDEX(BB:BB,MIN(IF(ISNUMBER(BB93:BB289),ROW(BB93:BB289),"")))</f>
        <v>17.5</v>
      </c>
      <c r="BD93" s="12">
        <f>IF('Données projet'!$A$88&gt;35,BD92+BC93-BL92,IF(A93&lt;'Données projet'!$A$88,$BA$205^A93,IF(A93='Données projet'!$A$88,'Données projet'!$B$88,BD92+BC93-BL92)))</f>
        <v>624.59999999999991</v>
      </c>
      <c r="BE93" s="13">
        <f>BD93*VLOOKUP('Données projet'!$B$11,Paramètres!$A$1:$I$89,3,0)*VLOOKUP('Données projet'!$B$11,Paramètres!$A$1:$I$89,5,0)</f>
        <v>292.31279999999998</v>
      </c>
      <c r="BF93" s="13">
        <f t="shared" si="91"/>
        <v>69.562504549179678</v>
      </c>
      <c r="BG93" s="20">
        <f t="shared" si="61"/>
        <v>630.26615542315449</v>
      </c>
      <c r="BH93" s="59">
        <f t="shared" si="62"/>
        <v>923.59948875648774</v>
      </c>
      <c r="BI93" s="59">
        <f ca="1">AVERAGE(OFFSET($BH$3,0,0,'Données projet'!$E$11+1,1))-AVERAGE(OFFSET($H$3,0,0,'Données projet'!$E$11+1,1))</f>
        <v>215.23235148064941</v>
      </c>
      <c r="BJ93" s="59">
        <f t="shared" si="92"/>
        <v>184.07239726900434</v>
      </c>
      <c r="BK93" s="15">
        <f>IF(ISNA(VLOOKUP(A93,'Données projet'!$A$87:$I$107,3,0)),0,VLOOKUP(A93,'Données projet'!$A$87:$I$107,3,0))</f>
        <v>8</v>
      </c>
      <c r="BL93" s="15">
        <f>IF(ISNA(VLOOKUP(A93,'Données projet'!$A$87:$I$107,4,0)),0,VLOOKUP(A93,'Données projet'!$A$87:$I$107,4,0))</f>
        <v>83.4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0.95527444320937926</v>
      </c>
      <c r="BQ93" s="21">
        <f>EXP(-LN(2)/25)*BQ92+(1-EXP(-LN(2)/25))/(LN(2)/25)*Calculateur!BL93*Calculateur!BN93*VLOOKUP('Données projet'!$B$11,Paramètres!$A$1:$I$89,3,0)*0.475*44/12</f>
        <v>1.4883321823724296</v>
      </c>
      <c r="BR93" s="21">
        <f>EXP(-LN(2)/2)*BR92+(1-EXP(-LN(2)/2))/(LN(2)/2)*BL93*BO93*VLOOKUP('Données projet'!$B$11,Paramètres!$A$1:$I$89,3,0)*0.475*44/12</f>
        <v>9.1569279137030168E-9</v>
      </c>
      <c r="BS93" s="22">
        <f t="shared" si="63"/>
        <v>2.4436066347387371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 t="e">
        <f>BY93*VLOOKUP('Données projet'!$B$12,Paramètres!$A$1:$I$89,3,0)*VLOOKUP('Données projet'!$B$12,Paramètres!$A$1:$I$89,5,0)</f>
        <v>#N/A</v>
      </c>
      <c r="CA93" s="13" t="e">
        <f t="shared" si="93"/>
        <v>#N/A</v>
      </c>
      <c r="CB93" s="20" t="e">
        <f t="shared" si="64"/>
        <v>#N/A</v>
      </c>
      <c r="CC93" s="59" t="e">
        <f t="shared" si="65"/>
        <v>#N/A</v>
      </c>
      <c r="CD93" s="59" t="e">
        <f ca="1">AVERAGE(OFFSET($CC$3,0,0,'Données projet'!$E$12+1,1))-AVERAGE(OFFSET($H$3,0,0,'Données projet'!$E$12+1,1))</f>
        <v>#N/A</v>
      </c>
      <c r="CE93" s="59" t="e">
        <f t="shared" si="94"/>
        <v>#N/A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 t="e">
        <f>EXP(-LN(2)/35)*CK92+(1-EXP(-LN(2)/35))/(LN(2)/35)*CG93*CH93*VLOOKUP('Données projet'!$B$12,Paramètres!$A$1:$I$89,3,0)*0.475*44/12</f>
        <v>#N/A</v>
      </c>
      <c r="CL93" s="21" t="e">
        <f>EXP(-LN(2)/25)*CL92+(1-EXP(-LN(2)/25))/(LN(2)/25)*Calculateur!CG93*Calculateur!CI93*VLOOKUP('Données projet'!$B$12,Paramètres!$A$1:$I$89,3,0)*0.475*44/12</f>
        <v>#N/A</v>
      </c>
      <c r="CM93" s="21" t="e">
        <f>EXP(-LN(2)/2)*CM92+(1-EXP(-LN(2)/2))/(LN(2)/2)*CG93*CJ93*VLOOKUP('Données projet'!$B$12,Paramètres!$A$1:$I$89,3,0)*0.475*44/12</f>
        <v>#N/A</v>
      </c>
      <c r="CN93" s="22" t="e">
        <f t="shared" si="66"/>
        <v>#N/A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25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80.917200000000122</v>
      </c>
      <c r="D94" s="11">
        <f t="shared" si="86"/>
        <v>22.361295290994477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10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797.23750750943202</v>
      </c>
      <c r="H94" s="67">
        <f t="shared" si="56"/>
        <v>473.21004596514888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-3.4106051316484809E-13</v>
      </c>
      <c r="O94" s="13">
        <f>N94*VLOOKUP('Données projet'!$B$9,Paramètres!$A$1:$I$89,3,0)*VLOOKUP('Données projet'!$B$9,Paramètres!$A$1:$I$89,5,0)</f>
        <v>-1.9065282685915009E-13</v>
      </c>
      <c r="P94" s="13" t="e">
        <f t="shared" si="87"/>
        <v>#NUM!</v>
      </c>
      <c r="Q94" s="20" t="e">
        <f t="shared" si="54"/>
        <v>#NUM!</v>
      </c>
      <c r="R94" s="59" t="e">
        <f t="shared" si="55"/>
        <v>#NUM!</v>
      </c>
      <c r="S94" s="59">
        <f ca="1">AVERAGE(OFFSET($R$3,0,0,'Données projet'!$E$9+1,1))-AVERAGE(OFFSET($H$3,0,0,'Données projet'!$E$9+1,1))</f>
        <v>279.98352834501759</v>
      </c>
      <c r="T94" s="59">
        <f t="shared" si="88"/>
        <v>281.30062655265488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1.1941988575029652</v>
      </c>
      <c r="AA94" s="21">
        <f>EXP(-LN(2)/25)*AA93+(1-EXP(-LN(2)/25))/(LN(2)/25)*Calculateur!V94*Calculateur!X94*VLOOKUP('Données projet'!$B$9,Paramètres!$A$1:$I$89,3,0)*0.475*44/12</f>
        <v>4.4646303041261302</v>
      </c>
      <c r="AB94" s="21">
        <f>EXP(-LN(2)/2)*AB93+(1-EXP(-LN(2)/2))/(LN(2)/2)*V94*Y94*VLOOKUP('Données projet'!$B$9,Paramètres!$A$1:$I$89,3,0)*0.475*44/12</f>
        <v>1.8648097276268498E-8</v>
      </c>
      <c r="AC94" s="22">
        <f t="shared" si="57"/>
        <v>5.6588291802771922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4.9000000000000004</v>
      </c>
      <c r="AI94" s="13">
        <f>IF('Données projet'!$A$62&gt;35,AI93+AH94-AQ93,IF(A94&lt;'Données projet'!$A$62,$AF$205^A94,IF(A94='Données projet'!$A$62,'Données projet'!$B$62,AI93+AH94-AQ93)))</f>
        <v>258.90000000000043</v>
      </c>
      <c r="AJ94" s="13">
        <f>AI94*VLOOKUP('Données projet'!$B$10,Paramètres!$A$1:$I$89,3,0)*VLOOKUP('Données projet'!$B$10,Paramètres!$A$1:$I$89,5,0)</f>
        <v>262.52460000000042</v>
      </c>
      <c r="AK94" s="13">
        <f t="shared" si="89"/>
        <v>63.2602176317748</v>
      </c>
      <c r="AL94" s="20">
        <f t="shared" si="58"/>
        <v>567.40855737534184</v>
      </c>
      <c r="AM94" s="59">
        <f t="shared" si="59"/>
        <v>860.7418907086751</v>
      </c>
      <c r="AN94" s="59">
        <f ca="1">AVERAGE(OFFSET($AM$3,0,0,'Données projet'!$E$10+1,1))-AVERAGE(OFFSET($H$3,0,0,'Données projet'!$E$10+1,1))</f>
        <v>279.20364724206644</v>
      </c>
      <c r="AO94" s="59">
        <f t="shared" si="90"/>
        <v>173.99850582760712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0</v>
      </c>
      <c r="AV94" s="21">
        <f>EXP(-LN(2)/25)*AV93+(1-EXP(-LN(2)/25))/(LN(2)/25)*Calculateur!AQ94*Calculateur!AS94*VLOOKUP('Données projet'!$B$10,Paramètres!$A$1:$I$89,3,0)*0.475*44/12</f>
        <v>0.64145320582593002</v>
      </c>
      <c r="AW94" s="21">
        <f>EXP(-LN(2)/2)*AW93+(1-EXP(-LN(2)/2))/(LN(2)/2)*AQ94*AT94*VLOOKUP('Données projet'!$B$10,Paramètres!$A$1:$I$89,3,0)*0.475*44/12</f>
        <v>4.5678873696439716E-9</v>
      </c>
      <c r="AX94" s="21">
        <f t="shared" si="60"/>
        <v>0.64145321039381742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18.5</v>
      </c>
      <c r="BD94" s="12">
        <f>IF('Données projet'!$A$88&gt;35,BD93+BC94-BL93,IF(A94&lt;'Données projet'!$A$88,$BA$205^A94,IF(A94='Données projet'!$A$88,'Données projet'!$B$88,BD93+BC94-BL93)))</f>
        <v>559.69999999999993</v>
      </c>
      <c r="BE94" s="13">
        <f>BD94*VLOOKUP('Données projet'!$B$11,Paramètres!$A$1:$I$89,3,0)*VLOOKUP('Données projet'!$B$11,Paramètres!$A$1:$I$89,5,0)</f>
        <v>261.93959999999998</v>
      </c>
      <c r="BF94" s="13">
        <f t="shared" si="91"/>
        <v>63.135643285567426</v>
      </c>
      <c r="BG94" s="20">
        <f t="shared" si="61"/>
        <v>566.1727153890298</v>
      </c>
      <c r="BH94" s="59">
        <f t="shared" si="62"/>
        <v>859.50604872236318</v>
      </c>
      <c r="BI94" s="59">
        <f ca="1">AVERAGE(OFFSET($BH$3,0,0,'Données projet'!$E$11+1,1))-AVERAGE(OFFSET($H$3,0,0,'Données projet'!$E$11+1,1))</f>
        <v>215.23235148064941</v>
      </c>
      <c r="BJ94" s="59">
        <f t="shared" si="92"/>
        <v>184.07239726900434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0.93654209403792077</v>
      </c>
      <c r="BQ94" s="21">
        <f>EXP(-LN(2)/25)*BQ93+(1-EXP(-LN(2)/25))/(LN(2)/25)*Calculateur!BL94*Calculateur!BN94*VLOOKUP('Données projet'!$B$11,Paramètres!$A$1:$I$89,3,0)*0.475*44/12</f>
        <v>1.4476336605774676</v>
      </c>
      <c r="BR94" s="21">
        <f>EXP(-LN(2)/2)*BR93+(1-EXP(-LN(2)/2))/(LN(2)/2)*BL94*BO94*VLOOKUP('Données projet'!$B$11,Paramètres!$A$1:$I$89,3,0)*0.475*44/12</f>
        <v>6.4749258226157884E-9</v>
      </c>
      <c r="BS94" s="22">
        <f t="shared" si="63"/>
        <v>2.3841757610903143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 t="e">
        <f>BY94*VLOOKUP('Données projet'!$B$12,Paramètres!$A$1:$I$89,3,0)*VLOOKUP('Données projet'!$B$12,Paramètres!$A$1:$I$89,5,0)</f>
        <v>#N/A</v>
      </c>
      <c r="CA94" s="13" t="e">
        <f t="shared" si="93"/>
        <v>#N/A</v>
      </c>
      <c r="CB94" s="20" t="e">
        <f t="shared" si="64"/>
        <v>#N/A</v>
      </c>
      <c r="CC94" s="59" t="e">
        <f t="shared" si="65"/>
        <v>#N/A</v>
      </c>
      <c r="CD94" s="59" t="e">
        <f ca="1">AVERAGE(OFFSET($CC$3,0,0,'Données projet'!$E$12+1,1))-AVERAGE(OFFSET($H$3,0,0,'Données projet'!$E$12+1,1))</f>
        <v>#N/A</v>
      </c>
      <c r="CE94" s="59" t="e">
        <f t="shared" si="94"/>
        <v>#N/A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 t="e">
        <f>EXP(-LN(2)/35)*CK93+(1-EXP(-LN(2)/35))/(LN(2)/35)*CG94*CH94*VLOOKUP('Données projet'!$B$12,Paramètres!$A$1:$I$89,3,0)*0.475*44/12</f>
        <v>#N/A</v>
      </c>
      <c r="CL94" s="21" t="e">
        <f>EXP(-LN(2)/25)*CL93+(1-EXP(-LN(2)/25))/(LN(2)/25)*Calculateur!CG94*Calculateur!CI94*VLOOKUP('Données projet'!$B$12,Paramètres!$A$1:$I$89,3,0)*0.475*44/12</f>
        <v>#N/A</v>
      </c>
      <c r="CM94" s="21" t="e">
        <f>EXP(-LN(2)/2)*CM93+(1-EXP(-LN(2)/2))/(LN(2)/2)*CG94*CJ94*VLOOKUP('Données projet'!$B$12,Paramètres!$A$1:$I$89,3,0)*0.475*44/12</f>
        <v>#N/A</v>
      </c>
      <c r="CN94" s="22" t="e">
        <f t="shared" si="66"/>
        <v>#N/A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25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81.806400000000124</v>
      </c>
      <c r="D95" s="11">
        <f t="shared" si="86"/>
        <v>22.578282710556053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10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805.77649811657409</v>
      </c>
      <c r="H95" s="67">
        <f t="shared" si="56"/>
        <v>475.1366557208853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-3.4106051316484809E-13</v>
      </c>
      <c r="O95" s="13">
        <f>N95*VLOOKUP('Données projet'!$B$9,Paramètres!$A$1:$I$89,3,0)*VLOOKUP('Données projet'!$B$9,Paramètres!$A$1:$I$89,5,0)</f>
        <v>-1.9065282685915009E-13</v>
      </c>
      <c r="P95" s="13" t="e">
        <f t="shared" si="87"/>
        <v>#NUM!</v>
      </c>
      <c r="Q95" s="20" t="e">
        <f t="shared" si="54"/>
        <v>#NUM!</v>
      </c>
      <c r="R95" s="59" t="e">
        <f t="shared" si="55"/>
        <v>#NUM!</v>
      </c>
      <c r="S95" s="59">
        <f ca="1">AVERAGE(OFFSET($R$3,0,0,'Données projet'!$E$9+1,1))-AVERAGE(OFFSET($H$3,0,0,'Données projet'!$E$9+1,1))</f>
        <v>279.98352834501759</v>
      </c>
      <c r="T95" s="59">
        <f t="shared" si="88"/>
        <v>281.30062655265488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1.1707813462967127</v>
      </c>
      <c r="AA95" s="21">
        <f>EXP(-LN(2)/25)*AA94+(1-EXP(-LN(2)/25))/(LN(2)/25)*Calculateur!V95*Calculateur!X95*VLOOKUP('Données projet'!$B$9,Paramètres!$A$1:$I$89,3,0)*0.475*44/12</f>
        <v>4.3425447536750976</v>
      </c>
      <c r="AB95" s="21">
        <f>EXP(-LN(2)/2)*AB94+(1-EXP(-LN(2)/2))/(LN(2)/2)*V95*Y95*VLOOKUP('Données projet'!$B$9,Paramètres!$A$1:$I$89,3,0)*0.475*44/12</f>
        <v>1.3186196040275842E-8</v>
      </c>
      <c r="AC95" s="22">
        <f t="shared" si="57"/>
        <v>5.5133261131580067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4.9000000000000004</v>
      </c>
      <c r="AI95" s="13">
        <f>IF('Données projet'!$A$62&gt;35,AI94+AH95-AQ94,IF(A95&lt;'Données projet'!$A$62,$AF$205^A95,IF(A95='Données projet'!$A$62,'Données projet'!$B$62,AI94+AH95-AQ94)))</f>
        <v>263.80000000000041</v>
      </c>
      <c r="AJ95" s="13">
        <f>AI95*VLOOKUP('Données projet'!$B$10,Paramètres!$A$1:$I$89,3,0)*VLOOKUP('Données projet'!$B$10,Paramètres!$A$1:$I$89,5,0)</f>
        <v>267.49320000000046</v>
      </c>
      <c r="AK95" s="13">
        <f t="shared" si="89"/>
        <v>64.316974590266341</v>
      </c>
      <c r="AL95" s="20">
        <f t="shared" si="58"/>
        <v>577.90272074471466</v>
      </c>
      <c r="AM95" s="59">
        <f t="shared" si="59"/>
        <v>871.23605407804803</v>
      </c>
      <c r="AN95" s="59">
        <f ca="1">AVERAGE(OFFSET($AM$3,0,0,'Données projet'!$E$10+1,1))-AVERAGE(OFFSET($H$3,0,0,'Données projet'!$E$10+1,1))</f>
        <v>279.20364724206644</v>
      </c>
      <c r="AO95" s="59">
        <f t="shared" si="90"/>
        <v>173.99850582760712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0</v>
      </c>
      <c r="AV95" s="21">
        <f>EXP(-LN(2)/25)*AV94+(1-EXP(-LN(2)/25))/(LN(2)/25)*Calculateur!AQ95*Calculateur!AS95*VLOOKUP('Données projet'!$B$10,Paramètres!$A$1:$I$89,3,0)*0.475*44/12</f>
        <v>0.62391263418006193</v>
      </c>
      <c r="AW95" s="21">
        <f>EXP(-LN(2)/2)*AW94+(1-EXP(-LN(2)/2))/(LN(2)/2)*AQ95*AT95*VLOOKUP('Données projet'!$B$10,Paramètres!$A$1:$I$89,3,0)*0.475*44/12</f>
        <v>3.229984134771634E-9</v>
      </c>
      <c r="AX95" s="21">
        <f t="shared" si="60"/>
        <v>0.6239126374100461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18.5</v>
      </c>
      <c r="BD95" s="12">
        <f>IF('Données projet'!$A$88&gt;35,BD94+BC95-BL94,IF(A95&lt;'Données projet'!$A$88,$BA$205^A95,IF(A95='Données projet'!$A$88,'Données projet'!$B$88,BD94+BC95-BL94)))</f>
        <v>578.19999999999993</v>
      </c>
      <c r="BE95" s="13">
        <f>BD95*VLOOKUP('Données projet'!$B$11,Paramètres!$A$1:$I$89,3,0)*VLOOKUP('Données projet'!$B$11,Paramètres!$A$1:$I$89,5,0)</f>
        <v>270.59759999999994</v>
      </c>
      <c r="BF95" s="13">
        <f t="shared" si="91"/>
        <v>64.976078766498532</v>
      </c>
      <c r="BG95" s="20">
        <f t="shared" si="61"/>
        <v>584.45749051831808</v>
      </c>
      <c r="BH95" s="59">
        <f t="shared" si="62"/>
        <v>877.79082385165134</v>
      </c>
      <c r="BI95" s="59">
        <f ca="1">AVERAGE(OFFSET($BH$3,0,0,'Données projet'!$E$11+1,1))-AVERAGE(OFFSET($H$3,0,0,'Données projet'!$E$11+1,1))</f>
        <v>215.23235148064941</v>
      </c>
      <c r="BJ95" s="59">
        <f t="shared" si="92"/>
        <v>184.07239726900434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0.91817707480810984</v>
      </c>
      <c r="BQ95" s="21">
        <f>EXP(-LN(2)/25)*BQ94+(1-EXP(-LN(2)/25))/(LN(2)/25)*Calculateur!BL95*Calculateur!BN95*VLOOKUP('Données projet'!$B$11,Paramètres!$A$1:$I$89,3,0)*0.475*44/12</f>
        <v>1.4080480420012311</v>
      </c>
      <c r="BR95" s="21">
        <f>EXP(-LN(2)/2)*BR94+(1-EXP(-LN(2)/2))/(LN(2)/2)*BL95*BO95*VLOOKUP('Données projet'!$B$11,Paramètres!$A$1:$I$89,3,0)*0.475*44/12</f>
        <v>4.5784639568515084E-9</v>
      </c>
      <c r="BS95" s="22">
        <f t="shared" si="63"/>
        <v>2.3262251213878047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 t="e">
        <f>BY95*VLOOKUP('Données projet'!$B$12,Paramètres!$A$1:$I$89,3,0)*VLOOKUP('Données projet'!$B$12,Paramètres!$A$1:$I$89,5,0)</f>
        <v>#N/A</v>
      </c>
      <c r="CA95" s="13" t="e">
        <f t="shared" si="93"/>
        <v>#N/A</v>
      </c>
      <c r="CB95" s="20" t="e">
        <f t="shared" si="64"/>
        <v>#N/A</v>
      </c>
      <c r="CC95" s="59" t="e">
        <f t="shared" si="65"/>
        <v>#N/A</v>
      </c>
      <c r="CD95" s="59" t="e">
        <f ca="1">AVERAGE(OFFSET($CC$3,0,0,'Données projet'!$E$12+1,1))-AVERAGE(OFFSET($H$3,0,0,'Données projet'!$E$12+1,1))</f>
        <v>#N/A</v>
      </c>
      <c r="CE95" s="59" t="e">
        <f t="shared" si="94"/>
        <v>#N/A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 t="e">
        <f>EXP(-LN(2)/35)*CK94+(1-EXP(-LN(2)/35))/(LN(2)/35)*CG95*CH95*VLOOKUP('Données projet'!$B$12,Paramètres!$A$1:$I$89,3,0)*0.475*44/12</f>
        <v>#N/A</v>
      </c>
      <c r="CL95" s="21" t="e">
        <f>EXP(-LN(2)/25)*CL94+(1-EXP(-LN(2)/25))/(LN(2)/25)*Calculateur!CG95*Calculateur!CI95*VLOOKUP('Données projet'!$B$12,Paramètres!$A$1:$I$89,3,0)*0.475*44/12</f>
        <v>#N/A</v>
      </c>
      <c r="CM95" s="21" t="e">
        <f>EXP(-LN(2)/2)*CM94+(1-EXP(-LN(2)/2))/(LN(2)/2)*CG95*CJ95*VLOOKUP('Données projet'!$B$12,Paramètres!$A$1:$I$89,3,0)*0.475*44/12</f>
        <v>#N/A</v>
      </c>
      <c r="CN95" s="22" t="e">
        <f t="shared" si="66"/>
        <v>#N/A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25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82.695600000000127</v>
      </c>
      <c r="D96" s="11">
        <f t="shared" si="86"/>
        <v>22.794995761747877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10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814.31337079244076</v>
      </c>
      <c r="H96" s="67">
        <f t="shared" si="56"/>
        <v>477.06278761837774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-3.4106051316484809E-13</v>
      </c>
      <c r="O96" s="13">
        <f>N96*VLOOKUP('Données projet'!$B$9,Paramètres!$A$1:$I$89,3,0)*VLOOKUP('Données projet'!$B$9,Paramètres!$A$1:$I$89,5,0)</f>
        <v>-1.9065282685915009E-13</v>
      </c>
      <c r="P96" s="13" t="e">
        <f t="shared" si="87"/>
        <v>#NUM!</v>
      </c>
      <c r="Q96" s="20" t="e">
        <f t="shared" si="54"/>
        <v>#NUM!</v>
      </c>
      <c r="R96" s="59" t="e">
        <f t="shared" si="55"/>
        <v>#NUM!</v>
      </c>
      <c r="S96" s="59">
        <f ca="1">AVERAGE(OFFSET($R$3,0,0,'Données projet'!$E$9+1,1))-AVERAGE(OFFSET($H$3,0,0,'Données projet'!$E$9+1,1))</f>
        <v>279.98352834501759</v>
      </c>
      <c r="T96" s="59">
        <f t="shared" si="88"/>
        <v>281.30062655265488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1.1478230382019432</v>
      </c>
      <c r="AA96" s="21">
        <f>EXP(-LN(2)/25)*AA95+(1-EXP(-LN(2)/25))/(LN(2)/25)*Calculateur!V96*Calculateur!X96*VLOOKUP('Données projet'!$B$9,Paramètres!$A$1:$I$89,3,0)*0.475*44/12</f>
        <v>4.2237976390213481</v>
      </c>
      <c r="AB96" s="21">
        <f>EXP(-LN(2)/2)*AB95+(1-EXP(-LN(2)/2))/(LN(2)/2)*V96*Y96*VLOOKUP('Données projet'!$B$9,Paramètres!$A$1:$I$89,3,0)*0.475*44/12</f>
        <v>9.3240486381342491E-9</v>
      </c>
      <c r="AC96" s="22">
        <f t="shared" si="57"/>
        <v>5.371620686547339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4.9000000000000004</v>
      </c>
      <c r="AI96" s="13">
        <f>IF('Données projet'!$A$62&gt;35,AI95+AH96-AQ95,IF(A96&lt;'Données projet'!$A$62,$AF$205^A96,IF(A96='Données projet'!$A$62,'Données projet'!$B$62,AI95+AH96-AQ95)))</f>
        <v>268.70000000000039</v>
      </c>
      <c r="AJ96" s="13">
        <f>AI96*VLOOKUP('Données projet'!$B$10,Paramètres!$A$1:$I$89,3,0)*VLOOKUP('Données projet'!$B$10,Paramètres!$A$1:$I$89,5,0)</f>
        <v>272.46180000000044</v>
      </c>
      <c r="AK96" s="13">
        <f t="shared" si="89"/>
        <v>65.371449071922058</v>
      </c>
      <c r="AL96" s="20">
        <f t="shared" si="58"/>
        <v>588.39290880026499</v>
      </c>
      <c r="AM96" s="59">
        <f t="shared" si="59"/>
        <v>881.72624213359836</v>
      </c>
      <c r="AN96" s="59">
        <f ca="1">AVERAGE(OFFSET($AM$3,0,0,'Données projet'!$E$10+1,1))-AVERAGE(OFFSET($H$3,0,0,'Données projet'!$E$10+1,1))</f>
        <v>279.20364724206644</v>
      </c>
      <c r="AO96" s="59">
        <f t="shared" si="90"/>
        <v>173.99850582760712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0</v>
      </c>
      <c r="AV96" s="21">
        <f>EXP(-LN(2)/25)*AV95+(1-EXP(-LN(2)/25))/(LN(2)/25)*Calculateur!AQ96*Calculateur!AS96*VLOOKUP('Données projet'!$B$10,Paramètres!$A$1:$I$89,3,0)*0.475*44/12</f>
        <v>0.60685171038826868</v>
      </c>
      <c r="AW96" s="21">
        <f>EXP(-LN(2)/2)*AW95+(1-EXP(-LN(2)/2))/(LN(2)/2)*AQ96*AT96*VLOOKUP('Données projet'!$B$10,Paramètres!$A$1:$I$89,3,0)*0.475*44/12</f>
        <v>2.2839436848219858E-9</v>
      </c>
      <c r="AX96" s="21">
        <f t="shared" si="60"/>
        <v>0.60685171267221238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18.5</v>
      </c>
      <c r="BD96" s="12">
        <f>IF('Données projet'!$A$88&gt;35,BD95+BC96-BL95,IF(A96&lt;'Données projet'!$A$88,$BA$205^A96,IF(A96='Données projet'!$A$88,'Données projet'!$B$88,BD95+BC96-BL95)))</f>
        <v>596.69999999999993</v>
      </c>
      <c r="BE96" s="13">
        <f>BD96*VLOOKUP('Données projet'!$B$11,Paramètres!$A$1:$I$89,3,0)*VLOOKUP('Données projet'!$B$11,Paramètres!$A$1:$I$89,5,0)</f>
        <v>279.25559999999996</v>
      </c>
      <c r="BF96" s="13">
        <f t="shared" si="91"/>
        <v>66.809671397146161</v>
      </c>
      <c r="BG96" s="20">
        <f t="shared" si="61"/>
        <v>602.73034768336277</v>
      </c>
      <c r="BH96" s="59">
        <f t="shared" si="62"/>
        <v>896.06368101669614</v>
      </c>
      <c r="BI96" s="59">
        <f ca="1">AVERAGE(OFFSET($BH$3,0,0,'Données projet'!$E$11+1,1))-AVERAGE(OFFSET($H$3,0,0,'Données projet'!$E$11+1,1))</f>
        <v>215.23235148064941</v>
      </c>
      <c r="BJ96" s="59">
        <f t="shared" si="92"/>
        <v>184.07239726900434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0.90017218240383978</v>
      </c>
      <c r="BQ96" s="21">
        <f>EXP(-LN(2)/25)*BQ95+(1-EXP(-LN(2)/25))/(LN(2)/25)*Calculateur!BL96*Calculateur!BN96*VLOOKUP('Données projet'!$B$11,Paramètres!$A$1:$I$89,3,0)*0.475*44/12</f>
        <v>1.369544894246679</v>
      </c>
      <c r="BR96" s="21">
        <f>EXP(-LN(2)/2)*BR95+(1-EXP(-LN(2)/2))/(LN(2)/2)*BL96*BO96*VLOOKUP('Données projet'!$B$11,Paramètres!$A$1:$I$89,3,0)*0.475*44/12</f>
        <v>3.2374629113078942E-9</v>
      </c>
      <c r="BS96" s="22">
        <f t="shared" si="63"/>
        <v>2.2697170798879815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 t="e">
        <f>BY96*VLOOKUP('Données projet'!$B$12,Paramètres!$A$1:$I$89,3,0)*VLOOKUP('Données projet'!$B$12,Paramètres!$A$1:$I$89,5,0)</f>
        <v>#N/A</v>
      </c>
      <c r="CA96" s="13" t="e">
        <f t="shared" si="93"/>
        <v>#N/A</v>
      </c>
      <c r="CB96" s="20" t="e">
        <f t="shared" si="64"/>
        <v>#N/A</v>
      </c>
      <c r="CC96" s="59" t="e">
        <f t="shared" si="65"/>
        <v>#N/A</v>
      </c>
      <c r="CD96" s="59" t="e">
        <f ca="1">AVERAGE(OFFSET($CC$3,0,0,'Données projet'!$E$12+1,1))-AVERAGE(OFFSET($H$3,0,0,'Données projet'!$E$12+1,1))</f>
        <v>#N/A</v>
      </c>
      <c r="CE96" s="59" t="e">
        <f t="shared" si="94"/>
        <v>#N/A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 t="e">
        <f>EXP(-LN(2)/35)*CK95+(1-EXP(-LN(2)/35))/(LN(2)/35)*CG96*CH96*VLOOKUP('Données projet'!$B$12,Paramètres!$A$1:$I$89,3,0)*0.475*44/12</f>
        <v>#N/A</v>
      </c>
      <c r="CL96" s="21" t="e">
        <f>EXP(-LN(2)/25)*CL95+(1-EXP(-LN(2)/25))/(LN(2)/25)*Calculateur!CG96*Calculateur!CI96*VLOOKUP('Données projet'!$B$12,Paramètres!$A$1:$I$89,3,0)*0.475*44/12</f>
        <v>#N/A</v>
      </c>
      <c r="CM96" s="21" t="e">
        <f>EXP(-LN(2)/2)*CM95+(1-EXP(-LN(2)/2))/(LN(2)/2)*CG96*CJ96*VLOOKUP('Données projet'!$B$12,Paramètres!$A$1:$I$89,3,0)*0.475*44/12</f>
        <v>#N/A</v>
      </c>
      <c r="CN96" s="22" t="e">
        <f t="shared" si="66"/>
        <v>#N/A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25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83.584800000000129</v>
      </c>
      <c r="D97" s="11">
        <f t="shared" si="86"/>
        <v>23.011437736237649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10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822.84815094639691</v>
      </c>
      <c r="H97" s="67">
        <f t="shared" si="56"/>
        <v>478.98844739061411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-3.4106051316484809E-13</v>
      </c>
      <c r="O97" s="13">
        <f>N97*VLOOKUP('Données projet'!$B$9,Paramètres!$A$1:$I$89,3,0)*VLOOKUP('Données projet'!$B$9,Paramètres!$A$1:$I$89,5,0)</f>
        <v>-1.9065282685915009E-13</v>
      </c>
      <c r="P97" s="13" t="e">
        <f t="shared" si="87"/>
        <v>#NUM!</v>
      </c>
      <c r="Q97" s="20" t="e">
        <f t="shared" si="54"/>
        <v>#NUM!</v>
      </c>
      <c r="R97" s="59" t="e">
        <f t="shared" si="55"/>
        <v>#NUM!</v>
      </c>
      <c r="S97" s="59">
        <f ca="1">AVERAGE(OFFSET($R$3,0,0,'Données projet'!$E$9+1,1))-AVERAGE(OFFSET($H$3,0,0,'Données projet'!$E$9+1,1))</f>
        <v>279.98352834501759</v>
      </c>
      <c r="T97" s="59">
        <f t="shared" si="88"/>
        <v>281.30062655265488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1.1253149285257269</v>
      </c>
      <c r="AA97" s="21">
        <f>EXP(-LN(2)/25)*AA96+(1-EXP(-LN(2)/25))/(LN(2)/25)*Calculateur!V97*Calculateur!X97*VLOOKUP('Données projet'!$B$9,Paramètres!$A$1:$I$89,3,0)*0.475*44/12</f>
        <v>4.108297670462445</v>
      </c>
      <c r="AB97" s="21">
        <f>EXP(-LN(2)/2)*AB96+(1-EXP(-LN(2)/2))/(LN(2)/2)*V97*Y97*VLOOKUP('Données projet'!$B$9,Paramètres!$A$1:$I$89,3,0)*0.475*44/12</f>
        <v>6.593098020137921E-9</v>
      </c>
      <c r="AC97" s="22">
        <f t="shared" si="57"/>
        <v>5.2336126055812695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4.9000000000000004</v>
      </c>
      <c r="AI97" s="13">
        <f>IF('Données projet'!$A$62&gt;35,AI96+AH97-AQ96,IF(A97&lt;'Données projet'!$A$62,$AF$205^A97,IF(A97='Données projet'!$A$62,'Données projet'!$B$62,AI96+AH97-AQ96)))</f>
        <v>273.60000000000036</v>
      </c>
      <c r="AJ97" s="13">
        <f>AI97*VLOOKUP('Données projet'!$B$10,Paramètres!$A$1:$I$89,3,0)*VLOOKUP('Données projet'!$B$10,Paramètres!$A$1:$I$89,5,0)</f>
        <v>277.43040000000036</v>
      </c>
      <c r="AK97" s="13">
        <f t="shared" si="89"/>
        <v>66.423687500715801</v>
      </c>
      <c r="AL97" s="20">
        <f t="shared" si="58"/>
        <v>598.87920239708058</v>
      </c>
      <c r="AM97" s="59">
        <f t="shared" si="59"/>
        <v>892.21253573041395</v>
      </c>
      <c r="AN97" s="59">
        <f ca="1">AVERAGE(OFFSET($AM$3,0,0,'Données projet'!$E$10+1,1))-AVERAGE(OFFSET($H$3,0,0,'Données projet'!$E$10+1,1))</f>
        <v>279.20364724206644</v>
      </c>
      <c r="AO97" s="59">
        <f t="shared" si="90"/>
        <v>173.99850582760712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0</v>
      </c>
      <c r="AV97" s="21">
        <f>EXP(-LN(2)/25)*AV96+(1-EXP(-LN(2)/25))/(LN(2)/25)*Calculateur!AQ97*Calculateur!AS97*VLOOKUP('Données projet'!$B$10,Paramètres!$A$1:$I$89,3,0)*0.475*44/12</f>
        <v>0.59025731845475704</v>
      </c>
      <c r="AW97" s="21">
        <f>EXP(-LN(2)/2)*AW96+(1-EXP(-LN(2)/2))/(LN(2)/2)*AQ97*AT97*VLOOKUP('Données projet'!$B$10,Paramètres!$A$1:$I$89,3,0)*0.475*44/12</f>
        <v>1.614992067385817E-9</v>
      </c>
      <c r="AX97" s="21">
        <f t="shared" si="60"/>
        <v>0.59025732006974907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18.5</v>
      </c>
      <c r="BD97" s="12">
        <f>IF('Données projet'!$A$88&gt;35,BD96+BC97-BL96,IF(A97&lt;'Données projet'!$A$88,$BA$205^A97,IF(A97='Données projet'!$A$88,'Données projet'!$B$88,BD96+BC97-BL96)))</f>
        <v>615.19999999999993</v>
      </c>
      <c r="BE97" s="13">
        <f>BD97*VLOOKUP('Données projet'!$B$11,Paramètres!$A$1:$I$89,3,0)*VLOOKUP('Données projet'!$B$11,Paramètres!$A$1:$I$89,5,0)</f>
        <v>287.91359999999997</v>
      </c>
      <c r="BF97" s="13">
        <f t="shared" si="91"/>
        <v>68.636657677063752</v>
      </c>
      <c r="BG97" s="20">
        <f t="shared" si="61"/>
        <v>620.99169878755254</v>
      </c>
      <c r="BH97" s="59">
        <f t="shared" si="62"/>
        <v>914.32503212088591</v>
      </c>
      <c r="BI97" s="59">
        <f ca="1">AVERAGE(OFFSET($BH$3,0,0,'Données projet'!$E$11+1,1))-AVERAGE(OFFSET($H$3,0,0,'Données projet'!$E$11+1,1))</f>
        <v>215.23235148064941</v>
      </c>
      <c r="BJ97" s="59">
        <f t="shared" si="92"/>
        <v>184.07239726900434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0.88252035495771752</v>
      </c>
      <c r="BQ97" s="21">
        <f>EXP(-LN(2)/25)*BQ96+(1-EXP(-LN(2)/25))/(LN(2)/25)*Calculateur!BL97*Calculateur!BN97*VLOOKUP('Données projet'!$B$11,Paramètres!$A$1:$I$89,3,0)*0.475*44/12</f>
        <v>1.3320946170922678</v>
      </c>
      <c r="BR97" s="21">
        <f>EXP(-LN(2)/2)*BR96+(1-EXP(-LN(2)/2))/(LN(2)/2)*BL97*BO97*VLOOKUP('Données projet'!$B$11,Paramètres!$A$1:$I$89,3,0)*0.475*44/12</f>
        <v>2.2892319784257542E-9</v>
      </c>
      <c r="BS97" s="22">
        <f t="shared" si="63"/>
        <v>2.2146149743392174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 t="e">
        <f>BY97*VLOOKUP('Données projet'!$B$12,Paramètres!$A$1:$I$89,3,0)*VLOOKUP('Données projet'!$B$12,Paramètres!$A$1:$I$89,5,0)</f>
        <v>#N/A</v>
      </c>
      <c r="CA97" s="13" t="e">
        <f t="shared" si="93"/>
        <v>#N/A</v>
      </c>
      <c r="CB97" s="20" t="e">
        <f t="shared" si="64"/>
        <v>#N/A</v>
      </c>
      <c r="CC97" s="59" t="e">
        <f t="shared" si="65"/>
        <v>#N/A</v>
      </c>
      <c r="CD97" s="59" t="e">
        <f ca="1">AVERAGE(OFFSET($CC$3,0,0,'Données projet'!$E$12+1,1))-AVERAGE(OFFSET($H$3,0,0,'Données projet'!$E$12+1,1))</f>
        <v>#N/A</v>
      </c>
      <c r="CE97" s="59" t="e">
        <f t="shared" si="94"/>
        <v>#N/A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 t="e">
        <f>EXP(-LN(2)/35)*CK96+(1-EXP(-LN(2)/35))/(LN(2)/35)*CG97*CH97*VLOOKUP('Données projet'!$B$12,Paramètres!$A$1:$I$89,3,0)*0.475*44/12</f>
        <v>#N/A</v>
      </c>
      <c r="CL97" s="21" t="e">
        <f>EXP(-LN(2)/25)*CL96+(1-EXP(-LN(2)/25))/(LN(2)/25)*Calculateur!CG97*Calculateur!CI97*VLOOKUP('Données projet'!$B$12,Paramètres!$A$1:$I$89,3,0)*0.475*44/12</f>
        <v>#N/A</v>
      </c>
      <c r="CM97" s="21" t="e">
        <f>EXP(-LN(2)/2)*CM96+(1-EXP(-LN(2)/2))/(LN(2)/2)*CG97*CJ97*VLOOKUP('Données projet'!$B$12,Paramètres!$A$1:$I$89,3,0)*0.475*44/12</f>
        <v>#N/A</v>
      </c>
      <c r="CN97" s="22" t="e">
        <f t="shared" si="66"/>
        <v>#N/A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25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84.474000000000132</v>
      </c>
      <c r="D98" s="11">
        <f t="shared" si="86"/>
        <v>23.227611851623202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10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831.38086341603992</v>
      </c>
      <c r="H98" s="67">
        <f t="shared" si="56"/>
        <v>480.91364064157727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-3.4106051316484809E-13</v>
      </c>
      <c r="O98" s="13">
        <f>N98*VLOOKUP('Données projet'!$B$9,Paramètres!$A$1:$I$89,3,0)*VLOOKUP('Données projet'!$B$9,Paramètres!$A$1:$I$89,5,0)</f>
        <v>-1.9065282685915009E-13</v>
      </c>
      <c r="P98" s="13" t="e">
        <f t="shared" si="87"/>
        <v>#NUM!</v>
      </c>
      <c r="Q98" s="20" t="e">
        <f t="shared" si="54"/>
        <v>#NUM!</v>
      </c>
      <c r="R98" s="59" t="e">
        <f t="shared" si="55"/>
        <v>#NUM!</v>
      </c>
      <c r="S98" s="59">
        <f ca="1">AVERAGE(OFFSET($R$3,0,0,'Données projet'!$E$9+1,1))-AVERAGE(OFFSET($H$3,0,0,'Données projet'!$E$9+1,1))</f>
        <v>279.98352834501759</v>
      </c>
      <c r="T98" s="59">
        <f t="shared" si="88"/>
        <v>281.30062655265488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1.1032481891516699</v>
      </c>
      <c r="AA98" s="21">
        <f>EXP(-LN(2)/25)*AA97+(1-EXP(-LN(2)/25))/(LN(2)/25)*Calculateur!V98*Calculateur!X98*VLOOKUP('Données projet'!$B$9,Paramètres!$A$1:$I$89,3,0)*0.475*44/12</f>
        <v>3.9959560546176647</v>
      </c>
      <c r="AB98" s="21">
        <f>EXP(-LN(2)/2)*AB97+(1-EXP(-LN(2)/2))/(LN(2)/2)*V98*Y98*VLOOKUP('Données projet'!$B$9,Paramètres!$A$1:$I$89,3,0)*0.475*44/12</f>
        <v>4.6620243190671245E-9</v>
      </c>
      <c r="AC98" s="22">
        <f t="shared" si="57"/>
        <v>5.0992042484313593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4.9000000000000004</v>
      </c>
      <c r="AI98" s="13">
        <f>IF('Données projet'!$A$62&gt;35,AI97+AH98-AQ97,IF(A98&lt;'Données projet'!$A$62,$AF$205^A98,IF(A98='Données projet'!$A$62,'Données projet'!$B$62,AI97+AH98-AQ97)))</f>
        <v>278.50000000000034</v>
      </c>
      <c r="AJ98" s="13">
        <f>AI98*VLOOKUP('Données projet'!$B$10,Paramètres!$A$1:$I$89,3,0)*VLOOKUP('Données projet'!$B$10,Paramètres!$A$1:$I$89,5,0)</f>
        <v>282.3990000000004</v>
      </c>
      <c r="AK98" s="13">
        <f t="shared" si="89"/>
        <v>67.473734542548499</v>
      </c>
      <c r="AL98" s="20">
        <f t="shared" si="58"/>
        <v>609.36167932827254</v>
      </c>
      <c r="AM98" s="59">
        <f t="shared" si="59"/>
        <v>902.69501266160592</v>
      </c>
      <c r="AN98" s="59">
        <f ca="1">AVERAGE(OFFSET($AM$3,0,0,'Données projet'!$E$10+1,1))-AVERAGE(OFFSET($H$3,0,0,'Données projet'!$E$10+1,1))</f>
        <v>279.20364724206644</v>
      </c>
      <c r="AO98" s="59">
        <f t="shared" si="90"/>
        <v>173.99850582760712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0</v>
      </c>
      <c r="AV98" s="21">
        <f>EXP(-LN(2)/25)*AV97+(1-EXP(-LN(2)/25))/(LN(2)/25)*Calculateur!AQ98*Calculateur!AS98*VLOOKUP('Données projet'!$B$10,Paramètres!$A$1:$I$89,3,0)*0.475*44/12</f>
        <v>0.57411670104132839</v>
      </c>
      <c r="AW98" s="21">
        <f>EXP(-LN(2)/2)*AW97+(1-EXP(-LN(2)/2))/(LN(2)/2)*AQ98*AT98*VLOOKUP('Données projet'!$B$10,Paramètres!$A$1:$I$89,3,0)*0.475*44/12</f>
        <v>1.1419718424109929E-9</v>
      </c>
      <c r="AX98" s="21">
        <f t="shared" si="60"/>
        <v>0.57411670218330024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18.5</v>
      </c>
      <c r="BD98" s="12">
        <f>IF('Données projet'!$A$88&gt;35,BD97+BC98-BL97,IF(A98&lt;'Données projet'!$A$88,$BA$205^A98,IF(A98='Données projet'!$A$88,'Données projet'!$B$88,BD97+BC98-BL97)))</f>
        <v>633.69999999999993</v>
      </c>
      <c r="BE98" s="13">
        <f>BD98*VLOOKUP('Données projet'!$B$11,Paramètres!$A$1:$I$89,3,0)*VLOOKUP('Données projet'!$B$11,Paramètres!$A$1:$I$89,5,0)</f>
        <v>296.57159999999999</v>
      </c>
      <c r="BF98" s="13">
        <f t="shared" si="91"/>
        <v>70.457259073622822</v>
      </c>
      <c r="BG98" s="20">
        <f t="shared" si="61"/>
        <v>639.24192955322633</v>
      </c>
      <c r="BH98" s="59">
        <f t="shared" si="62"/>
        <v>932.57526288655959</v>
      </c>
      <c r="BI98" s="59">
        <f ca="1">AVERAGE(OFFSET($BH$3,0,0,'Données projet'!$E$11+1,1))-AVERAGE(OFFSET($H$3,0,0,'Données projet'!$E$11+1,1))</f>
        <v>215.23235148064941</v>
      </c>
      <c r="BJ98" s="59">
        <f t="shared" si="92"/>
        <v>184.07239726900434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0.8652146690812621</v>
      </c>
      <c r="BQ98" s="21">
        <f>EXP(-LN(2)/25)*BQ97+(1-EXP(-LN(2)/25))/(LN(2)/25)*Calculateur!BL98*Calculateur!BN98*VLOOKUP('Données projet'!$B$11,Paramètres!$A$1:$I$89,3,0)*0.475*44/12</f>
        <v>1.2956684197360684</v>
      </c>
      <c r="BR98" s="21">
        <f>EXP(-LN(2)/2)*BR97+(1-EXP(-LN(2)/2))/(LN(2)/2)*BL98*BO98*VLOOKUP('Données projet'!$B$11,Paramètres!$A$1:$I$89,3,0)*0.475*44/12</f>
        <v>1.6187314556539471E-9</v>
      </c>
      <c r="BS98" s="22">
        <f t="shared" si="63"/>
        <v>2.1608830904360619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 t="e">
        <f>BY98*VLOOKUP('Données projet'!$B$12,Paramètres!$A$1:$I$89,3,0)*VLOOKUP('Données projet'!$B$12,Paramètres!$A$1:$I$89,5,0)</f>
        <v>#N/A</v>
      </c>
      <c r="CA98" s="13" t="e">
        <f t="shared" si="93"/>
        <v>#N/A</v>
      </c>
      <c r="CB98" s="20" t="e">
        <f t="shared" si="64"/>
        <v>#N/A</v>
      </c>
      <c r="CC98" s="59" t="e">
        <f t="shared" si="65"/>
        <v>#N/A</v>
      </c>
      <c r="CD98" s="59" t="e">
        <f ca="1">AVERAGE(OFFSET($CC$3,0,0,'Données projet'!$E$12+1,1))-AVERAGE(OFFSET($H$3,0,0,'Données projet'!$E$12+1,1))</f>
        <v>#N/A</v>
      </c>
      <c r="CE98" s="59" t="e">
        <f t="shared" si="94"/>
        <v>#N/A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 t="e">
        <f>EXP(-LN(2)/35)*CK97+(1-EXP(-LN(2)/35))/(LN(2)/35)*CG98*CH98*VLOOKUP('Données projet'!$B$12,Paramètres!$A$1:$I$89,3,0)*0.475*44/12</f>
        <v>#N/A</v>
      </c>
      <c r="CL98" s="21" t="e">
        <f>EXP(-LN(2)/25)*CL97+(1-EXP(-LN(2)/25))/(LN(2)/25)*Calculateur!CG98*Calculateur!CI98*VLOOKUP('Données projet'!$B$12,Paramètres!$A$1:$I$89,3,0)*0.475*44/12</f>
        <v>#N/A</v>
      </c>
      <c r="CM98" s="21" t="e">
        <f>EXP(-LN(2)/2)*CM97+(1-EXP(-LN(2)/2))/(LN(2)/2)*CG98*CJ98*VLOOKUP('Données projet'!$B$12,Paramètres!$A$1:$I$89,3,0)*0.475*44/12</f>
        <v>#N/A</v>
      </c>
      <c r="CN98" s="22" t="e">
        <f t="shared" si="66"/>
        <v>#N/A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25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85.363200000000134</v>
      </c>
      <c r="D99" s="11">
        <f t="shared" si="86"/>
        <v>23.443521253861071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10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839.91153248594617</v>
      </c>
      <c r="H99" s="67">
        <f t="shared" si="56"/>
        <v>482.83837285047491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-3.4106051316484809E-13</v>
      </c>
      <c r="O99" s="13">
        <f>N99*VLOOKUP('Données projet'!$B$9,Paramètres!$A$1:$I$89,3,0)*VLOOKUP('Données projet'!$B$9,Paramètres!$A$1:$I$89,5,0)</f>
        <v>-1.9065282685915009E-13</v>
      </c>
      <c r="P99" s="13" t="e">
        <f t="shared" si="87"/>
        <v>#NUM!</v>
      </c>
      <c r="Q99" s="20" t="e">
        <f t="shared" ref="Q99:Q130" si="107">(O99+P99)*0.475*44/12</f>
        <v>#NUM!</v>
      </c>
      <c r="R99" s="59" t="e">
        <f t="shared" si="55"/>
        <v>#NUM!</v>
      </c>
      <c r="S99" s="59">
        <f ca="1">AVERAGE(OFFSET($R$3,0,0,'Données projet'!$E$9+1,1))-AVERAGE(OFFSET($H$3,0,0,'Données projet'!$E$9+1,1))</f>
        <v>279.98352834501759</v>
      </c>
      <c r="T99" s="59">
        <f t="shared" si="88"/>
        <v>281.30062655265488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1.0816141650773561</v>
      </c>
      <c r="AA99" s="21">
        <f>EXP(-LN(2)/25)*AA98+(1-EXP(-LN(2)/25))/(LN(2)/25)*Calculateur!V99*Calculateur!X99*VLOOKUP('Données projet'!$B$9,Paramètres!$A$1:$I$89,3,0)*0.475*44/12</f>
        <v>3.8866864261659484</v>
      </c>
      <c r="AB99" s="21">
        <f>EXP(-LN(2)/2)*AB98+(1-EXP(-LN(2)/2))/(LN(2)/2)*V99*Y99*VLOOKUP('Données projet'!$B$9,Paramètres!$A$1:$I$89,3,0)*0.475*44/12</f>
        <v>3.2965490100689605E-9</v>
      </c>
      <c r="AC99" s="22">
        <f t="shared" si="57"/>
        <v>4.9683005945398531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4.9000000000000004</v>
      </c>
      <c r="AI99" s="13">
        <f>IF('Données projet'!$A$62&gt;35,AI98+AH99-AQ98,IF(A99&lt;'Données projet'!$A$62,$AF$205^A99,IF(A99='Données projet'!$A$62,'Données projet'!$B$62,AI98+AH99-AQ98)))</f>
        <v>283.40000000000032</v>
      </c>
      <c r="AJ99" s="13">
        <f>AI99*VLOOKUP('Données projet'!$B$10,Paramètres!$A$1:$I$89,3,0)*VLOOKUP('Données projet'!$B$10,Paramètres!$A$1:$I$89,5,0)</f>
        <v>287.36760000000032</v>
      </c>
      <c r="AK99" s="13">
        <f t="shared" si="89"/>
        <v>68.52163320156518</v>
      </c>
      <c r="AL99" s="20">
        <f t="shared" si="58"/>
        <v>619.84041449272661</v>
      </c>
      <c r="AM99" s="59">
        <f t="shared" si="59"/>
        <v>913.17374782605998</v>
      </c>
      <c r="AN99" s="59">
        <f ca="1">AVERAGE(OFFSET($AM$3,0,0,'Données projet'!$E$10+1,1))-AVERAGE(OFFSET($H$3,0,0,'Données projet'!$E$10+1,1))</f>
        <v>279.20364724206644</v>
      </c>
      <c r="AO99" s="59">
        <f t="shared" si="90"/>
        <v>173.99850582760712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0</v>
      </c>
      <c r="AV99" s="21">
        <f>EXP(-LN(2)/25)*AV98+(1-EXP(-LN(2)/25))/(LN(2)/25)*Calculateur!AQ99*Calculateur!AS99*VLOOKUP('Données projet'!$B$10,Paramètres!$A$1:$I$89,3,0)*0.475*44/12</f>
        <v>0.55841744965986817</v>
      </c>
      <c r="AW99" s="21">
        <f>EXP(-LN(2)/2)*AW98+(1-EXP(-LN(2)/2))/(LN(2)/2)*AQ99*AT99*VLOOKUP('Données projet'!$B$10,Paramètres!$A$1:$I$89,3,0)*0.475*44/12</f>
        <v>8.074960336929085E-10</v>
      </c>
      <c r="AX99" s="21">
        <f t="shared" si="60"/>
        <v>0.55841745046736424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18.5</v>
      </c>
      <c r="BD99" s="12">
        <f>IF('Données projet'!$A$88&gt;35,BD98+BC99-BL98,IF(A99&lt;'Données projet'!$A$88,$BA$205^A99,IF(A99='Données projet'!$A$88,'Données projet'!$B$88,BD98+BC99-BL98)))</f>
        <v>652.19999999999993</v>
      </c>
      <c r="BE99" s="13">
        <f>BD99*VLOOKUP('Données projet'!$B$11,Paramètres!$A$1:$I$89,3,0)*VLOOKUP('Données projet'!$B$11,Paramètres!$A$1:$I$89,5,0)</f>
        <v>305.22959999999995</v>
      </c>
      <c r="BF99" s="13">
        <f t="shared" si="91"/>
        <v>72.271683388093081</v>
      </c>
      <c r="BG99" s="20">
        <f t="shared" si="61"/>
        <v>657.48140190092874</v>
      </c>
      <c r="BH99" s="59">
        <f t="shared" si="62"/>
        <v>950.81473523426212</v>
      </c>
      <c r="BI99" s="59">
        <f ca="1">AVERAGE(OFFSET($BH$3,0,0,'Données projet'!$E$11+1,1))-AVERAGE(OFFSET($H$3,0,0,'Données projet'!$E$11+1,1))</f>
        <v>215.23235148064941</v>
      </c>
      <c r="BJ99" s="59">
        <f t="shared" si="92"/>
        <v>184.07239726900434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0.84824833714941783</v>
      </c>
      <c r="BQ99" s="21">
        <f>EXP(-LN(2)/25)*BQ98+(1-EXP(-LN(2)/25))/(LN(2)/25)*Calculateur!BL99*Calculateur!BN99*VLOOKUP('Données projet'!$B$11,Paramètres!$A$1:$I$89,3,0)*0.475*44/12</f>
        <v>1.2602382986621448</v>
      </c>
      <c r="BR99" s="21">
        <f>EXP(-LN(2)/2)*BR98+(1-EXP(-LN(2)/2))/(LN(2)/2)*BL99*BO99*VLOOKUP('Données projet'!$B$11,Paramètres!$A$1:$I$89,3,0)*0.475*44/12</f>
        <v>1.1446159892128771E-9</v>
      </c>
      <c r="BS99" s="22">
        <f t="shared" si="63"/>
        <v>2.1084866369561786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 t="e">
        <f>BY99*VLOOKUP('Données projet'!$B$12,Paramètres!$A$1:$I$89,3,0)*VLOOKUP('Données projet'!$B$12,Paramètres!$A$1:$I$89,5,0)</f>
        <v>#N/A</v>
      </c>
      <c r="CA99" s="13" t="e">
        <f t="shared" si="93"/>
        <v>#N/A</v>
      </c>
      <c r="CB99" s="20" t="e">
        <f t="shared" si="64"/>
        <v>#N/A</v>
      </c>
      <c r="CC99" s="59" t="e">
        <f t="shared" si="65"/>
        <v>#N/A</v>
      </c>
      <c r="CD99" s="59" t="e">
        <f ca="1">AVERAGE(OFFSET($CC$3,0,0,'Données projet'!$E$12+1,1))-AVERAGE(OFFSET($H$3,0,0,'Données projet'!$E$12+1,1))</f>
        <v>#N/A</v>
      </c>
      <c r="CE99" s="59" t="e">
        <f t="shared" si="94"/>
        <v>#N/A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 t="e">
        <f>EXP(-LN(2)/35)*CK98+(1-EXP(-LN(2)/35))/(LN(2)/35)*CG99*CH99*VLOOKUP('Données projet'!$B$12,Paramètres!$A$1:$I$89,3,0)*0.475*44/12</f>
        <v>#N/A</v>
      </c>
      <c r="CL99" s="21" t="e">
        <f>EXP(-LN(2)/25)*CL98+(1-EXP(-LN(2)/25))/(LN(2)/25)*Calculateur!CG99*Calculateur!CI99*VLOOKUP('Données projet'!$B$12,Paramètres!$A$1:$I$89,3,0)*0.475*44/12</f>
        <v>#N/A</v>
      </c>
      <c r="CM99" s="21" t="e">
        <f>EXP(-LN(2)/2)*CM98+(1-EXP(-LN(2)/2))/(LN(2)/2)*CG99*CJ99*VLOOKUP('Données projet'!$B$12,Paramètres!$A$1:$I$89,3,0)*0.475*44/12</f>
        <v>#N/A</v>
      </c>
      <c r="CN99" s="22" t="e">
        <f t="shared" si="66"/>
        <v>#N/A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25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86.252400000000137</v>
      </c>
      <c r="D100" s="11">
        <f t="shared" si="86"/>
        <v>23.659169019590845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10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848.44018190561474</v>
      </c>
      <c r="H100" s="67">
        <f t="shared" si="56"/>
        <v>484.76264937578765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-3.4106051316484809E-13</v>
      </c>
      <c r="O100" s="13">
        <f>N100*VLOOKUP('Données projet'!$B$9,Paramètres!$A$1:$I$89,3,0)*VLOOKUP('Données projet'!$B$9,Paramètres!$A$1:$I$89,5,0)</f>
        <v>-1.9065282685915009E-13</v>
      </c>
      <c r="P100" s="13" t="e">
        <f t="shared" si="87"/>
        <v>#NUM!</v>
      </c>
      <c r="Q100" s="20" t="e">
        <f t="shared" si="107"/>
        <v>#NUM!</v>
      </c>
      <c r="R100" s="59" t="e">
        <f t="shared" si="55"/>
        <v>#NUM!</v>
      </c>
      <c r="S100" s="59">
        <f ca="1">AVERAGE(OFFSET($R$3,0,0,'Données projet'!$E$9+1,1))-AVERAGE(OFFSET($H$3,0,0,'Données projet'!$E$9+1,1))</f>
        <v>279.98352834501759</v>
      </c>
      <c r="T100" s="59">
        <f t="shared" si="88"/>
        <v>281.30062655265488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1.060404371019688</v>
      </c>
      <c r="AA100" s="21">
        <f>EXP(-LN(2)/25)*AA99+(1-EXP(-LN(2)/25))/(LN(2)/25)*Calculateur!V100*Calculateur!X100*VLOOKUP('Données projet'!$B$9,Paramètres!$A$1:$I$89,3,0)*0.475*44/12</f>
        <v>3.7804047814504846</v>
      </c>
      <c r="AB100" s="21">
        <f>EXP(-LN(2)/2)*AB99+(1-EXP(-LN(2)/2))/(LN(2)/2)*V100*Y100*VLOOKUP('Données projet'!$B$9,Paramètres!$A$1:$I$89,3,0)*0.475*44/12</f>
        <v>2.3310121595335623E-9</v>
      </c>
      <c r="AC100" s="22">
        <f t="shared" si="57"/>
        <v>4.8408091548011845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4.9000000000000004</v>
      </c>
      <c r="AI100" s="13">
        <f>IF('Données projet'!$A$62&gt;35,AI99+AH100-AQ99,IF(A100&lt;'Données projet'!$A$62,$AF$205^A100,IF(A100='Données projet'!$A$62,'Données projet'!$B$62,AI99+AH100-AQ99)))</f>
        <v>288.3000000000003</v>
      </c>
      <c r="AJ100" s="13">
        <f>AI100*VLOOKUP('Données projet'!$B$10,Paramètres!$A$1:$I$89,3,0)*VLOOKUP('Données projet'!$B$10,Paramètres!$A$1:$I$89,5,0)</f>
        <v>292.33620000000036</v>
      </c>
      <c r="AK100" s="13">
        <f t="shared" si="89"/>
        <v>69.567424909623327</v>
      </c>
      <c r="AL100" s="20">
        <f t="shared" si="58"/>
        <v>630.31548005092793</v>
      </c>
      <c r="AM100" s="59">
        <f t="shared" si="59"/>
        <v>923.6488133842613</v>
      </c>
      <c r="AN100" s="59">
        <f ca="1">AVERAGE(OFFSET($AM$3,0,0,'Données projet'!$E$10+1,1))-AVERAGE(OFFSET($H$3,0,0,'Données projet'!$E$10+1,1))</f>
        <v>279.20364724206644</v>
      </c>
      <c r="AO100" s="59">
        <f t="shared" si="90"/>
        <v>173.99850582760712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0</v>
      </c>
      <c r="AV100" s="21">
        <f>EXP(-LN(2)/25)*AV99+(1-EXP(-LN(2)/25))/(LN(2)/25)*Calculateur!AQ100*Calculateur!AS100*VLOOKUP('Données projet'!$B$10,Paramètres!$A$1:$I$89,3,0)*0.475*44/12</f>
        <v>0.54314749513302163</v>
      </c>
      <c r="AW100" s="21">
        <f>EXP(-LN(2)/2)*AW99+(1-EXP(-LN(2)/2))/(LN(2)/2)*AQ100*AT100*VLOOKUP('Données projet'!$B$10,Paramètres!$A$1:$I$89,3,0)*0.475*44/12</f>
        <v>5.7098592120549646E-10</v>
      </c>
      <c r="AX100" s="21">
        <f t="shared" si="60"/>
        <v>0.54314749570400755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18.5</v>
      </c>
      <c r="BD100" s="12">
        <f>IF('Données projet'!$A$88&gt;35,BD99+BC100-BL99,IF(A100&lt;'Données projet'!$A$88,$BA$205^A100,IF(A100='Données projet'!$A$88,'Données projet'!$B$88,BD99+BC100-BL99)))</f>
        <v>670.69999999999993</v>
      </c>
      <c r="BE100" s="13">
        <f>BD100*VLOOKUP('Données projet'!$B$11,Paramètres!$A$1:$I$89,3,0)*VLOOKUP('Données projet'!$B$11,Paramètres!$A$1:$I$89,5,0)</f>
        <v>313.88759999999996</v>
      </c>
      <c r="BF100" s="13">
        <f t="shared" si="91"/>
        <v>74.080125962367049</v>
      </c>
      <c r="BG100" s="20">
        <f t="shared" si="61"/>
        <v>675.71045605112249</v>
      </c>
      <c r="BH100" s="59">
        <f t="shared" si="62"/>
        <v>969.04378938445575</v>
      </c>
      <c r="BI100" s="59">
        <f ca="1">AVERAGE(OFFSET($BH$3,0,0,'Données projet'!$E$11+1,1))-AVERAGE(OFFSET($H$3,0,0,'Données projet'!$E$11+1,1))</f>
        <v>215.23235148064941</v>
      </c>
      <c r="BJ100" s="59">
        <f t="shared" si="92"/>
        <v>184.07239726900434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0.83161470463831633</v>
      </c>
      <c r="BQ100" s="21">
        <f>EXP(-LN(2)/25)*BQ99+(1-EXP(-LN(2)/25))/(LN(2)/25)*Calculateur!BL100*Calculateur!BN100*VLOOKUP('Données projet'!$B$11,Paramètres!$A$1:$I$89,3,0)*0.475*44/12</f>
        <v>1.2257770161121766</v>
      </c>
      <c r="BR100" s="21">
        <f>EXP(-LN(2)/2)*BR99+(1-EXP(-LN(2)/2))/(LN(2)/2)*BL100*BO100*VLOOKUP('Données projet'!$B$11,Paramètres!$A$1:$I$89,3,0)*0.475*44/12</f>
        <v>8.0936572782697355E-10</v>
      </c>
      <c r="BS100" s="22">
        <f t="shared" si="63"/>
        <v>2.0573917215598589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 t="e">
        <f>BY100*VLOOKUP('Données projet'!$B$12,Paramètres!$A$1:$I$89,3,0)*VLOOKUP('Données projet'!$B$12,Paramètres!$A$1:$I$89,5,0)</f>
        <v>#N/A</v>
      </c>
      <c r="CA100" s="13" t="e">
        <f t="shared" si="93"/>
        <v>#N/A</v>
      </c>
      <c r="CB100" s="20" t="e">
        <f t="shared" si="64"/>
        <v>#N/A</v>
      </c>
      <c r="CC100" s="59" t="e">
        <f t="shared" si="65"/>
        <v>#N/A</v>
      </c>
      <c r="CD100" s="59" t="e">
        <f ca="1">AVERAGE(OFFSET($CC$3,0,0,'Données projet'!$E$12+1,1))-AVERAGE(OFFSET($H$3,0,0,'Données projet'!$E$12+1,1))</f>
        <v>#N/A</v>
      </c>
      <c r="CE100" s="59" t="e">
        <f t="shared" si="94"/>
        <v>#N/A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 t="e">
        <f>EXP(-LN(2)/35)*CK99+(1-EXP(-LN(2)/35))/(LN(2)/35)*CG100*CH100*VLOOKUP('Données projet'!$B$12,Paramètres!$A$1:$I$89,3,0)*0.475*44/12</f>
        <v>#N/A</v>
      </c>
      <c r="CL100" s="21" t="e">
        <f>EXP(-LN(2)/25)*CL99+(1-EXP(-LN(2)/25))/(LN(2)/25)*Calculateur!CG100*Calculateur!CI100*VLOOKUP('Données projet'!$B$12,Paramètres!$A$1:$I$89,3,0)*0.475*44/12</f>
        <v>#N/A</v>
      </c>
      <c r="CM100" s="21" t="e">
        <f>EXP(-LN(2)/2)*CM99+(1-EXP(-LN(2)/2))/(LN(2)/2)*CG100*CJ100*VLOOKUP('Données projet'!$B$12,Paramètres!$A$1:$I$89,3,0)*0.475*44/12</f>
        <v>#N/A</v>
      </c>
      <c r="CN100" s="22" t="e">
        <f t="shared" si="66"/>
        <v>#N/A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25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87.141600000000139</v>
      </c>
      <c r="D101" s="11">
        <f t="shared" si="86"/>
        <v>23.874558158360987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10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856.96683490664736</v>
      </c>
      <c r="H101" s="67">
        <f t="shared" si="56"/>
        <v>486.68647545914564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-3.4106051316484809E-13</v>
      </c>
      <c r="O101" s="13">
        <f>N101*VLOOKUP('Données projet'!$B$9,Paramètres!$A$1:$I$89,3,0)*VLOOKUP('Données projet'!$B$9,Paramètres!$A$1:$I$89,5,0)</f>
        <v>-1.9065282685915009E-13</v>
      </c>
      <c r="P101" s="13" t="e">
        <f t="shared" si="87"/>
        <v>#NUM!</v>
      </c>
      <c r="Q101" s="20" t="e">
        <f t="shared" si="107"/>
        <v>#NUM!</v>
      </c>
      <c r="R101" s="59" t="e">
        <f t="shared" si="55"/>
        <v>#NUM!</v>
      </c>
      <c r="S101" s="59">
        <f ca="1">AVERAGE(OFFSET($R$3,0,0,'Données projet'!$E$9+1,1))-AVERAGE(OFFSET($H$3,0,0,'Données projet'!$E$9+1,1))</f>
        <v>279.98352834501759</v>
      </c>
      <c r="T101" s="59">
        <f t="shared" si="88"/>
        <v>281.30062655265488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1.0396104880867938</v>
      </c>
      <c r="AA101" s="21">
        <f>EXP(-LN(2)/25)*AA100+(1-EXP(-LN(2)/25))/(LN(2)/25)*Calculateur!V101*Calculateur!X101*VLOOKUP('Données projet'!$B$9,Paramètres!$A$1:$I$89,3,0)*0.475*44/12</f>
        <v>3.6770294138988739</v>
      </c>
      <c r="AB101" s="21">
        <f>EXP(-LN(2)/2)*AB100+(1-EXP(-LN(2)/2))/(LN(2)/2)*V101*Y101*VLOOKUP('Données projet'!$B$9,Paramètres!$A$1:$I$89,3,0)*0.475*44/12</f>
        <v>1.6482745050344802E-9</v>
      </c>
      <c r="AC101" s="22">
        <f t="shared" si="57"/>
        <v>4.7166399036339417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4.9000000000000004</v>
      </c>
      <c r="AI101" s="13">
        <f>IF('Données projet'!$A$62&gt;35,AI100+AH101-AQ100,IF(A101&lt;'Données projet'!$A$62,$AF$205^A101,IF(A101='Données projet'!$A$62,'Données projet'!$B$62,AI100+AH101-AQ100)))</f>
        <v>293.20000000000027</v>
      </c>
      <c r="AJ101" s="13">
        <f>AI101*VLOOKUP('Données projet'!$B$10,Paramètres!$A$1:$I$89,3,0)*VLOOKUP('Données projet'!$B$10,Paramètres!$A$1:$I$89,5,0)</f>
        <v>297.30480000000028</v>
      </c>
      <c r="AK101" s="13">
        <f t="shared" si="89"/>
        <v>70.611149609505034</v>
      </c>
      <c r="AL101" s="20">
        <f t="shared" si="58"/>
        <v>640.78694556988842</v>
      </c>
      <c r="AM101" s="59">
        <f t="shared" si="59"/>
        <v>934.12027890322179</v>
      </c>
      <c r="AN101" s="59">
        <f ca="1">AVERAGE(OFFSET($AM$3,0,0,'Données projet'!$E$10+1,1))-AVERAGE(OFFSET($H$3,0,0,'Données projet'!$E$10+1,1))</f>
        <v>279.20364724206644</v>
      </c>
      <c r="AO101" s="59">
        <f t="shared" si="90"/>
        <v>173.99850582760712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0</v>
      </c>
      <c r="AV101" s="21">
        <f>EXP(-LN(2)/25)*AV100+(1-EXP(-LN(2)/25))/(LN(2)/25)*Calculateur!AQ101*Calculateur!AS101*VLOOKUP('Données projet'!$B$10,Paramètres!$A$1:$I$89,3,0)*0.475*44/12</f>
        <v>0.52829509831572374</v>
      </c>
      <c r="AW101" s="21">
        <f>EXP(-LN(2)/2)*AW100+(1-EXP(-LN(2)/2))/(LN(2)/2)*AQ101*AT101*VLOOKUP('Données projet'!$B$10,Paramètres!$A$1:$I$89,3,0)*0.475*44/12</f>
        <v>4.0374801684645425E-10</v>
      </c>
      <c r="AX101" s="21">
        <f t="shared" si="60"/>
        <v>0.52829509871947178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18.5</v>
      </c>
      <c r="BD101" s="12">
        <f>IF('Données projet'!$A$88&gt;35,BD100+BC101-BL100,IF(A101&lt;'Données projet'!$A$88,$BA$205^A101,IF(A101='Données projet'!$A$88,'Données projet'!$B$88,BD100+BC101-BL100)))</f>
        <v>689.19999999999993</v>
      </c>
      <c r="BE101" s="13">
        <f>BD101*VLOOKUP('Données projet'!$B$11,Paramètres!$A$1:$I$89,3,0)*VLOOKUP('Données projet'!$B$11,Paramètres!$A$1:$I$89,5,0)</f>
        <v>322.54559999999998</v>
      </c>
      <c r="BF101" s="13">
        <f t="shared" si="91"/>
        <v>75.882770748800752</v>
      </c>
      <c r="BG101" s="20">
        <f t="shared" si="61"/>
        <v>693.92941238749461</v>
      </c>
      <c r="BH101" s="59">
        <f t="shared" si="62"/>
        <v>987.26274572082798</v>
      </c>
      <c r="BI101" s="59">
        <f ca="1">AVERAGE(OFFSET($BH$3,0,0,'Données projet'!$E$11+1,1))-AVERAGE(OFFSET($H$3,0,0,'Données projet'!$E$11+1,1))</f>
        <v>215.23235148064941</v>
      </c>
      <c r="BJ101" s="59">
        <f t="shared" si="92"/>
        <v>184.07239726900434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0.81530724751524353</v>
      </c>
      <c r="BQ101" s="21">
        <f>EXP(-LN(2)/25)*BQ100+(1-EXP(-LN(2)/25))/(LN(2)/25)*Calculateur!BL101*Calculateur!BN101*VLOOKUP('Données projet'!$B$11,Paramètres!$A$1:$I$89,3,0)*0.475*44/12</f>
        <v>1.1922580791457773</v>
      </c>
      <c r="BR101" s="21">
        <f>EXP(-LN(2)/2)*BR100+(1-EXP(-LN(2)/2))/(LN(2)/2)*BL101*BO101*VLOOKUP('Données projet'!$B$11,Paramètres!$A$1:$I$89,3,0)*0.475*44/12</f>
        <v>5.7230799460643855E-10</v>
      </c>
      <c r="BS101" s="22">
        <f t="shared" si="63"/>
        <v>2.0075653272333289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 t="e">
        <f>BY101*VLOOKUP('Données projet'!$B$12,Paramètres!$A$1:$I$89,3,0)*VLOOKUP('Données projet'!$B$12,Paramètres!$A$1:$I$89,5,0)</f>
        <v>#N/A</v>
      </c>
      <c r="CA101" s="13" t="e">
        <f t="shared" si="93"/>
        <v>#N/A</v>
      </c>
      <c r="CB101" s="20" t="e">
        <f t="shared" si="64"/>
        <v>#N/A</v>
      </c>
      <c r="CC101" s="59" t="e">
        <f t="shared" si="65"/>
        <v>#N/A</v>
      </c>
      <c r="CD101" s="59" t="e">
        <f ca="1">AVERAGE(OFFSET($CC$3,0,0,'Données projet'!$E$12+1,1))-AVERAGE(OFFSET($H$3,0,0,'Données projet'!$E$12+1,1))</f>
        <v>#N/A</v>
      </c>
      <c r="CE101" s="59" t="e">
        <f t="shared" si="94"/>
        <v>#N/A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 t="e">
        <f>EXP(-LN(2)/35)*CK100+(1-EXP(-LN(2)/35))/(LN(2)/35)*CG101*CH101*VLOOKUP('Données projet'!$B$12,Paramètres!$A$1:$I$89,3,0)*0.475*44/12</f>
        <v>#N/A</v>
      </c>
      <c r="CL101" s="21" t="e">
        <f>EXP(-LN(2)/25)*CL100+(1-EXP(-LN(2)/25))/(LN(2)/25)*Calculateur!CG101*Calculateur!CI101*VLOOKUP('Données projet'!$B$12,Paramètres!$A$1:$I$89,3,0)*0.475*44/12</f>
        <v>#N/A</v>
      </c>
      <c r="CM101" s="21" t="e">
        <f>EXP(-LN(2)/2)*CM100+(1-EXP(-LN(2)/2))/(LN(2)/2)*CG101*CJ101*VLOOKUP('Données projet'!$B$12,Paramètres!$A$1:$I$89,3,0)*0.475*44/12</f>
        <v>#N/A</v>
      </c>
      <c r="CN101" s="22" t="e">
        <f t="shared" si="66"/>
        <v>#N/A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25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88.030800000000141</v>
      </c>
      <c r="D102" s="11">
        <f t="shared" si="86"/>
        <v>24.089691614761293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10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865.49151421921113</v>
      </c>
      <c r="H102" s="67">
        <f t="shared" si="56"/>
        <v>488.6098562290428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-3.4106051316484809E-13</v>
      </c>
      <c r="O102" s="13">
        <f>N102*VLOOKUP('Données projet'!$B$9,Paramètres!$A$1:$I$89,3,0)*VLOOKUP('Données projet'!$B$9,Paramètres!$A$1:$I$89,5,0)</f>
        <v>-1.9065282685915009E-13</v>
      </c>
      <c r="P102" s="13" t="e">
        <f t="shared" si="87"/>
        <v>#NUM!</v>
      </c>
      <c r="Q102" s="20" t="e">
        <f t="shared" si="107"/>
        <v>#NUM!</v>
      </c>
      <c r="R102" s="59" t="e">
        <f t="shared" si="55"/>
        <v>#NUM!</v>
      </c>
      <c r="S102" s="59">
        <f ca="1">AVERAGE(OFFSET($R$3,0,0,'Données projet'!$E$9+1,1))-AVERAGE(OFFSET($H$3,0,0,'Données projet'!$E$9+1,1))</f>
        <v>279.98352834501759</v>
      </c>
      <c r="T102" s="59">
        <f t="shared" si="88"/>
        <v>281.30062655265488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1.0192243605151974</v>
      </c>
      <c r="AA102" s="21">
        <f>EXP(-LN(2)/25)*AA101+(1-EXP(-LN(2)/25))/(LN(2)/25)*Calculateur!V102*Calculateur!X102*VLOOKUP('Données projet'!$B$9,Paramètres!$A$1:$I$89,3,0)*0.475*44/12</f>
        <v>3.5764808512092365</v>
      </c>
      <c r="AB102" s="21">
        <f>EXP(-LN(2)/2)*AB101+(1-EXP(-LN(2)/2))/(LN(2)/2)*V102*Y102*VLOOKUP('Données projet'!$B$9,Paramètres!$A$1:$I$89,3,0)*0.475*44/12</f>
        <v>1.1655060797667811E-9</v>
      </c>
      <c r="AC102" s="22">
        <f t="shared" si="57"/>
        <v>4.5957052128899401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4.9000000000000004</v>
      </c>
      <c r="AI102" s="13">
        <f>IF('Données projet'!$A$62&gt;35,AI101+AH102-AQ101,IF(A102&lt;'Données projet'!$A$62,$AF$205^A102,IF(A102='Données projet'!$A$62,'Données projet'!$B$62,AI101+AH102-AQ101)))</f>
        <v>298.10000000000025</v>
      </c>
      <c r="AJ102" s="13">
        <f>AI102*VLOOKUP('Données projet'!$B$10,Paramètres!$A$1:$I$89,3,0)*VLOOKUP('Données projet'!$B$10,Paramètres!$A$1:$I$89,5,0)</f>
        <v>302.27340000000027</v>
      </c>
      <c r="AK102" s="13">
        <f t="shared" si="89"/>
        <v>71.652845832409795</v>
      </c>
      <c r="AL102" s="20">
        <f t="shared" si="58"/>
        <v>651.25487815811414</v>
      </c>
      <c r="AM102" s="59">
        <f t="shared" si="59"/>
        <v>944.58821149144751</v>
      </c>
      <c r="AN102" s="59">
        <f ca="1">AVERAGE(OFFSET($AM$3,0,0,'Données projet'!$E$10+1,1))-AVERAGE(OFFSET($H$3,0,0,'Données projet'!$E$10+1,1))</f>
        <v>279.20364724206644</v>
      </c>
      <c r="AO102" s="59">
        <f t="shared" si="90"/>
        <v>173.99850582760712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0</v>
      </c>
      <c r="AV102" s="21">
        <f>EXP(-LN(2)/25)*AV101+(1-EXP(-LN(2)/25))/(LN(2)/25)*Calculateur!AQ102*Calculateur!AS102*VLOOKUP('Données projet'!$B$10,Paramètres!$A$1:$I$89,3,0)*0.475*44/12</f>
        <v>0.51384884107044848</v>
      </c>
      <c r="AW102" s="21">
        <f>EXP(-LN(2)/2)*AW101+(1-EXP(-LN(2)/2))/(LN(2)/2)*AQ102*AT102*VLOOKUP('Données projet'!$B$10,Paramètres!$A$1:$I$89,3,0)*0.475*44/12</f>
        <v>2.8549296060274823E-10</v>
      </c>
      <c r="AX102" s="21">
        <f t="shared" si="60"/>
        <v>0.51384884135594144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18.5</v>
      </c>
      <c r="BD102" s="12">
        <f>IF('Données projet'!$A$88&gt;35,BD101+BC102-BL101,IF(A102&lt;'Données projet'!$A$88,$BA$205^A102,IF(A102='Données projet'!$A$88,'Données projet'!$B$88,BD101+BC102-BL101)))</f>
        <v>707.69999999999993</v>
      </c>
      <c r="BE102" s="13">
        <f>BD102*VLOOKUP('Données projet'!$B$11,Paramètres!$A$1:$I$89,3,0)*VLOOKUP('Données projet'!$B$11,Paramètres!$A$1:$I$89,5,0)</f>
        <v>331.20359999999994</v>
      </c>
      <c r="BF102" s="13">
        <f t="shared" si="91"/>
        <v>77.67979126195354</v>
      </c>
      <c r="BG102" s="20">
        <f t="shared" si="61"/>
        <v>712.13857311456889</v>
      </c>
      <c r="BH102" s="59">
        <f t="shared" si="62"/>
        <v>1005.4719064479023</v>
      </c>
      <c r="BI102" s="59">
        <f ca="1">AVERAGE(OFFSET($BH$3,0,0,'Données projet'!$E$11+1,1))-AVERAGE(OFFSET($H$3,0,0,'Données projet'!$E$11+1,1))</f>
        <v>215.23235148064941</v>
      </c>
      <c r="BJ102" s="59">
        <f t="shared" si="92"/>
        <v>184.07239726900434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0.79931956967978746</v>
      </c>
      <c r="BQ102" s="21">
        <f>EXP(-LN(2)/25)*BQ101+(1-EXP(-LN(2)/25))/(LN(2)/25)*Calculateur!BL102*Calculateur!BN102*VLOOKUP('Données projet'!$B$11,Paramètres!$A$1:$I$89,3,0)*0.475*44/12</f>
        <v>1.1596557192734085</v>
      </c>
      <c r="BR102" s="21">
        <f>EXP(-LN(2)/2)*BR101+(1-EXP(-LN(2)/2))/(LN(2)/2)*BL102*BO102*VLOOKUP('Données projet'!$B$11,Paramètres!$A$1:$I$89,3,0)*0.475*44/12</f>
        <v>4.0468286391348677E-10</v>
      </c>
      <c r="BS102" s="22">
        <f t="shared" si="63"/>
        <v>1.9589752893578789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 t="e">
        <f>BY102*VLOOKUP('Données projet'!$B$12,Paramètres!$A$1:$I$89,3,0)*VLOOKUP('Données projet'!$B$12,Paramètres!$A$1:$I$89,5,0)</f>
        <v>#N/A</v>
      </c>
      <c r="CA102" s="13" t="e">
        <f t="shared" si="93"/>
        <v>#N/A</v>
      </c>
      <c r="CB102" s="20" t="e">
        <f t="shared" si="64"/>
        <v>#N/A</v>
      </c>
      <c r="CC102" s="59" t="e">
        <f t="shared" si="65"/>
        <v>#N/A</v>
      </c>
      <c r="CD102" s="59" t="e">
        <f ca="1">AVERAGE(OFFSET($CC$3,0,0,'Données projet'!$E$12+1,1))-AVERAGE(OFFSET($H$3,0,0,'Données projet'!$E$12+1,1))</f>
        <v>#N/A</v>
      </c>
      <c r="CE102" s="59" t="e">
        <f t="shared" si="94"/>
        <v>#N/A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 t="e">
        <f>EXP(-LN(2)/35)*CK101+(1-EXP(-LN(2)/35))/(LN(2)/35)*CG102*CH102*VLOOKUP('Données projet'!$B$12,Paramètres!$A$1:$I$89,3,0)*0.475*44/12</f>
        <v>#N/A</v>
      </c>
      <c r="CL102" s="21" t="e">
        <f>EXP(-LN(2)/25)*CL101+(1-EXP(-LN(2)/25))/(LN(2)/25)*Calculateur!CG102*Calculateur!CI102*VLOOKUP('Données projet'!$B$12,Paramètres!$A$1:$I$89,3,0)*0.475*44/12</f>
        <v>#N/A</v>
      </c>
      <c r="CM102" s="21" t="e">
        <f>EXP(-LN(2)/2)*CM101+(1-EXP(-LN(2)/2))/(LN(2)/2)*CG102*CJ102*VLOOKUP('Données projet'!$B$12,Paramètres!$A$1:$I$89,3,0)*0.475*44/12</f>
        <v>#N/A</v>
      </c>
      <c r="CN102" s="22" t="e">
        <f t="shared" si="66"/>
        <v>#N/A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25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88.920000000000144</v>
      </c>
      <c r="D103" s="11">
        <f t="shared" si="86"/>
        <v>24.304572270466512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10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874.01424208781282</v>
      </c>
      <c r="H103" s="67">
        <f t="shared" si="56"/>
        <v>490.53279670439605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-3.4106051316484809E-13</v>
      </c>
      <c r="O103" s="13">
        <f>N103*VLOOKUP('Données projet'!$B$9,Paramètres!$A$1:$I$89,3,0)*VLOOKUP('Données projet'!$B$9,Paramètres!$A$1:$I$89,5,0)</f>
        <v>-1.9065282685915009E-13</v>
      </c>
      <c r="P103" s="13" t="e">
        <f t="shared" si="87"/>
        <v>#NUM!</v>
      </c>
      <c r="Q103" s="20" t="e">
        <f t="shared" si="107"/>
        <v>#NUM!</v>
      </c>
      <c r="R103" s="59" t="e">
        <f t="shared" si="55"/>
        <v>#NUM!</v>
      </c>
      <c r="S103" s="59">
        <f ca="1">AVERAGE(OFFSET($R$3,0,0,'Données projet'!$E$9+1,1))-AVERAGE(OFFSET($H$3,0,0,'Données projet'!$E$9+1,1))</f>
        <v>279.98352834501759</v>
      </c>
      <c r="T103" s="59">
        <f t="shared" si="88"/>
        <v>281.30062655265488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0.99923799247096989</v>
      </c>
      <c r="AA103" s="21">
        <f>EXP(-LN(2)/25)*AA102+(1-EXP(-LN(2)/25))/(LN(2)/25)*Calculateur!V103*Calculateur!X103*VLOOKUP('Données projet'!$B$9,Paramètres!$A$1:$I$89,3,0)*0.475*44/12</f>
        <v>3.4786817942539661</v>
      </c>
      <c r="AB103" s="21">
        <f>EXP(-LN(2)/2)*AB102+(1-EXP(-LN(2)/2))/(LN(2)/2)*V103*Y103*VLOOKUP('Données projet'!$B$9,Paramètres!$A$1:$I$89,3,0)*0.475*44/12</f>
        <v>8.2413725251724012E-10</v>
      </c>
      <c r="AC103" s="22">
        <f t="shared" si="57"/>
        <v>4.477919787549073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>
        <f>VLOOKUP(A103,'Données projet'!$A$61:$I$81,2,0)</f>
        <v>303</v>
      </c>
      <c r="AG103" s="12">
        <f>VLOOKUP(A103,'Données projet'!$A$61:$I$81,9,0)</f>
        <v>4.9000000000000004</v>
      </c>
      <c r="AH103" s="12">
        <f t="array" ref="AH103">INDEX(AG:AG,MIN(IF(ISNUMBER(AG103:AG299),ROW(AG103:AG299),"")))</f>
        <v>4.9000000000000004</v>
      </c>
      <c r="AI103" s="13">
        <f>IF('Données projet'!$A$62&gt;35,AI102+AH103-AQ102,IF(A103&lt;'Données projet'!$A$62,$AF$205^A103,IF(A103='Données projet'!$A$62,'Données projet'!$B$62,AI102+AH103-AQ102)))</f>
        <v>303.00000000000023</v>
      </c>
      <c r="AJ103" s="13">
        <f>AI103*VLOOKUP('Données projet'!$B$10,Paramètres!$A$1:$I$89,3,0)*VLOOKUP('Données projet'!$B$10,Paramètres!$A$1:$I$89,5,0)</f>
        <v>307.24200000000025</v>
      </c>
      <c r="AK103" s="13">
        <f t="shared" si="89"/>
        <v>72.692550770207845</v>
      </c>
      <c r="AL103" s="20">
        <f t="shared" si="58"/>
        <v>661.71934259144575</v>
      </c>
      <c r="AM103" s="59">
        <f t="shared" si="59"/>
        <v>955.05267592477912</v>
      </c>
      <c r="AN103" s="59">
        <f ca="1">AVERAGE(OFFSET($AM$3,0,0,'Données projet'!$E$10+1,1))-AVERAGE(OFFSET($H$3,0,0,'Données projet'!$E$10+1,1))</f>
        <v>279.20364724206644</v>
      </c>
      <c r="AO103" s="59">
        <f t="shared" si="90"/>
        <v>173.99850582760712</v>
      </c>
      <c r="AP103" s="15">
        <f>IF(ISNA(VLOOKUP(A103,'Données projet'!$A$61:$I$81,3,0)),0,VLOOKUP(A103,'Données projet'!$A$61:$I$81,3,0))</f>
        <v>8</v>
      </c>
      <c r="AQ103" s="15">
        <f>IF(ISNA(VLOOKUP(A103,'Données projet'!$A$61:$I$81,4,0)),0,VLOOKUP(A103,'Données projet'!$A$61:$I$81,4,0))</f>
        <v>42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0</v>
      </c>
      <c r="AV103" s="21">
        <f>EXP(-LN(2)/25)*AV102+(1-EXP(-LN(2)/25))/(LN(2)/25)*Calculateur!AQ103*Calculateur!AS103*VLOOKUP('Données projet'!$B$10,Paramètres!$A$1:$I$89,3,0)*0.475*44/12</f>
        <v>0.49979761748924095</v>
      </c>
      <c r="AW103" s="21">
        <f>EXP(-LN(2)/2)*AW102+(1-EXP(-LN(2)/2))/(LN(2)/2)*AQ103*AT103*VLOOKUP('Données projet'!$B$10,Paramètres!$A$1:$I$89,3,0)*0.475*44/12</f>
        <v>2.0187400842322713E-10</v>
      </c>
      <c r="AX103" s="21">
        <f t="shared" si="60"/>
        <v>0.49979761769111497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>
        <f>VLOOKUP(A103,'Données projet'!$A$87:$I$107,2,0)</f>
        <v>726.2</v>
      </c>
      <c r="BB103" s="12">
        <f>VLOOKUP(A103,'Données projet'!$A$87:$I$107,9,0)</f>
        <v>18.5</v>
      </c>
      <c r="BC103" s="12">
        <f t="array" ref="BC103">INDEX(BB:BB,MIN(IF(ISNUMBER(BB103:BB299),ROW(BB103:BB299),"")))</f>
        <v>18.5</v>
      </c>
      <c r="BD103" s="12">
        <f>IF('Données projet'!$A$88&gt;35,BD102+BC103-BL102,IF(A103&lt;'Données projet'!$A$88,$BA$205^A103,IF(A103='Données projet'!$A$88,'Données projet'!$B$88,BD102+BC103-BL102)))</f>
        <v>726.19999999999993</v>
      </c>
      <c r="BE103" s="13">
        <f>BD103*VLOOKUP('Données projet'!$B$11,Paramètres!$A$1:$I$89,3,0)*VLOOKUP('Données projet'!$B$11,Paramètres!$A$1:$I$89,5,0)</f>
        <v>339.86159999999995</v>
      </c>
      <c r="BF103" s="13">
        <f t="shared" si="91"/>
        <v>79.47135142801136</v>
      </c>
      <c r="BG103" s="20">
        <f t="shared" si="61"/>
        <v>730.33822373711973</v>
      </c>
      <c r="BH103" s="59">
        <f t="shared" si="62"/>
        <v>1023.671557070453</v>
      </c>
      <c r="BI103" s="59">
        <f ca="1">AVERAGE(OFFSET($BH$3,0,0,'Données projet'!$E$11+1,1))-AVERAGE(OFFSET($H$3,0,0,'Données projet'!$E$11+1,1))</f>
        <v>215.23235148064941</v>
      </c>
      <c r="BJ103" s="59">
        <f t="shared" si="92"/>
        <v>184.07239726900434</v>
      </c>
      <c r="BK103" s="15">
        <f>IF(ISNA(VLOOKUP(A103,'Données projet'!$A$87:$I$107,3,0)),0,VLOOKUP(A103,'Données projet'!$A$87:$I$107,3,0))</f>
        <v>9</v>
      </c>
      <c r="BL103" s="15">
        <f>IF(ISNA(VLOOKUP(A103,'Données projet'!$A$87:$I$107,4,0)),0,VLOOKUP(A103,'Données projet'!$A$87:$I$107,4,0))</f>
        <v>726.2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0.78364540045516407</v>
      </c>
      <c r="BQ103" s="21">
        <f>EXP(-LN(2)/25)*BQ102+(1-EXP(-LN(2)/25))/(LN(2)/25)*Calculateur!BL103*Calculateur!BN103*VLOOKUP('Données projet'!$B$11,Paramètres!$A$1:$I$89,3,0)*0.475*44/12</f>
        <v>1.1279448726462333</v>
      </c>
      <c r="BR103" s="21">
        <f>EXP(-LN(2)/2)*BR102+(1-EXP(-LN(2)/2))/(LN(2)/2)*BL103*BO103*VLOOKUP('Données projet'!$B$11,Paramètres!$A$1:$I$89,3,0)*0.475*44/12</f>
        <v>2.8615399730321928E-10</v>
      </c>
      <c r="BS103" s="22">
        <f t="shared" si="63"/>
        <v>1.9115902733875514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 t="e">
        <f>BY103*VLOOKUP('Données projet'!$B$12,Paramètres!$A$1:$I$89,3,0)*VLOOKUP('Données projet'!$B$12,Paramètres!$A$1:$I$89,5,0)</f>
        <v>#N/A</v>
      </c>
      <c r="CA103" s="13" t="e">
        <f t="shared" si="93"/>
        <v>#N/A</v>
      </c>
      <c r="CB103" s="20" t="e">
        <f t="shared" si="64"/>
        <v>#N/A</v>
      </c>
      <c r="CC103" s="59" t="e">
        <f t="shared" si="65"/>
        <v>#N/A</v>
      </c>
      <c r="CD103" s="59" t="e">
        <f ca="1">AVERAGE(OFFSET($CC$3,0,0,'Données projet'!$E$12+1,1))-AVERAGE(OFFSET($H$3,0,0,'Données projet'!$E$12+1,1))</f>
        <v>#N/A</v>
      </c>
      <c r="CE103" s="59" t="e">
        <f t="shared" si="94"/>
        <v>#N/A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 t="e">
        <f>EXP(-LN(2)/35)*CK102+(1-EXP(-LN(2)/35))/(LN(2)/35)*CG103*CH103*VLOOKUP('Données projet'!$B$12,Paramètres!$A$1:$I$89,3,0)*0.475*44/12</f>
        <v>#N/A</v>
      </c>
      <c r="CL103" s="21" t="e">
        <f>EXP(-LN(2)/25)*CL102+(1-EXP(-LN(2)/25))/(LN(2)/25)*Calculateur!CG103*Calculateur!CI103*VLOOKUP('Données projet'!$B$12,Paramètres!$A$1:$I$89,3,0)*0.475*44/12</f>
        <v>#N/A</v>
      </c>
      <c r="CM103" s="21" t="e">
        <f>EXP(-LN(2)/2)*CM102+(1-EXP(-LN(2)/2))/(LN(2)/2)*CG103*CJ103*VLOOKUP('Données projet'!$B$12,Paramètres!$A$1:$I$89,3,0)*0.475*44/12</f>
        <v>#N/A</v>
      </c>
      <c r="CN103" s="22" t="e">
        <f t="shared" si="66"/>
        <v>#N/A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25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89.809200000000146</v>
      </c>
      <c r="D104" s="11">
        <f t="shared" si="86"/>
        <v>24.519202946196138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10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882.53504028642749</v>
      </c>
      <c r="H104" s="67">
        <f t="shared" si="56"/>
        <v>492.4553017979585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-3.4106051316484809E-13</v>
      </c>
      <c r="O104" s="13">
        <f>N104*VLOOKUP('Données projet'!$B$9,Paramètres!$A$1:$I$89,3,0)*VLOOKUP('Données projet'!$B$9,Paramètres!$A$1:$I$89,5,0)</f>
        <v>-1.9065282685915009E-13</v>
      </c>
      <c r="P104" s="13" t="e">
        <f t="shared" si="87"/>
        <v>#NUM!</v>
      </c>
      <c r="Q104" s="20" t="e">
        <f t="shared" si="107"/>
        <v>#NUM!</v>
      </c>
      <c r="R104" s="59" t="e">
        <f t="shared" si="55"/>
        <v>#NUM!</v>
      </c>
      <c r="S104" s="59">
        <f ca="1">AVERAGE(OFFSET($R$3,0,0,'Données projet'!$E$9+1,1))-AVERAGE(OFFSET($H$3,0,0,'Données projet'!$E$9+1,1))</f>
        <v>279.98352834501759</v>
      </c>
      <c r="T104" s="59">
        <f t="shared" si="88"/>
        <v>281.30062655265488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0.97964354491360894</v>
      </c>
      <c r="AA104" s="21">
        <f>EXP(-LN(2)/25)*AA103+(1-EXP(-LN(2)/25))/(LN(2)/25)*Calculateur!V104*Calculateur!X104*VLOOKUP('Données projet'!$B$9,Paramètres!$A$1:$I$89,3,0)*0.475*44/12</f>
        <v>3.3835570576541665</v>
      </c>
      <c r="AB104" s="21">
        <f>EXP(-LN(2)/2)*AB103+(1-EXP(-LN(2)/2))/(LN(2)/2)*V104*Y104*VLOOKUP('Données projet'!$B$9,Paramètres!$A$1:$I$89,3,0)*0.475*44/12</f>
        <v>5.8275303988339057E-10</v>
      </c>
      <c r="AC104" s="22">
        <f t="shared" si="57"/>
        <v>4.3632006031505286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4.4000000000000004</v>
      </c>
      <c r="AI104" s="13">
        <f>IF('Données projet'!$A$62&gt;35,AI103+AH104-AQ103,IF(A104&lt;'Données projet'!$A$62,$AF$205^A104,IF(A104='Données projet'!$A$62,'Données projet'!$B$62,AI103+AH104-AQ103)))</f>
        <v>265.4000000000002</v>
      </c>
      <c r="AJ104" s="13">
        <f>AI104*VLOOKUP('Données projet'!$B$10,Paramètres!$A$1:$I$89,3,0)*VLOOKUP('Données projet'!$B$10,Paramètres!$A$1:$I$89,5,0)</f>
        <v>269.1156000000002</v>
      </c>
      <c r="AK104" s="13">
        <f t="shared" si="89"/>
        <v>64.66154146228719</v>
      </c>
      <c r="AL104" s="20">
        <f t="shared" si="58"/>
        <v>581.32852138015051</v>
      </c>
      <c r="AM104" s="59">
        <f t="shared" si="59"/>
        <v>874.66185471348376</v>
      </c>
      <c r="AN104" s="59">
        <f ca="1">AVERAGE(OFFSET($AM$3,0,0,'Données projet'!$E$10+1,1))-AVERAGE(OFFSET($H$3,0,0,'Données projet'!$E$10+1,1))</f>
        <v>279.20364724206644</v>
      </c>
      <c r="AO104" s="59">
        <f t="shared" si="90"/>
        <v>173.99850582760712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0</v>
      </c>
      <c r="AV104" s="21">
        <f>EXP(-LN(2)/25)*AV103+(1-EXP(-LN(2)/25))/(LN(2)/25)*Calculateur!AQ104*Calculateur!AS104*VLOOKUP('Données projet'!$B$10,Paramètres!$A$1:$I$89,3,0)*0.475*44/12</f>
        <v>0.48613062535578327</v>
      </c>
      <c r="AW104" s="21">
        <f>EXP(-LN(2)/2)*AW103+(1-EXP(-LN(2)/2))/(LN(2)/2)*AQ104*AT104*VLOOKUP('Données projet'!$B$10,Paramètres!$A$1:$I$89,3,0)*0.475*44/12</f>
        <v>1.4274648030137411E-10</v>
      </c>
      <c r="AX104" s="21">
        <f t="shared" si="60"/>
        <v>0.48613062549852976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-1.1368683772161603E-13</v>
      </c>
      <c r="BE104" s="13">
        <f>BD104*VLOOKUP('Données projet'!$B$11,Paramètres!$A$1:$I$89,3,0)*VLOOKUP('Données projet'!$B$11,Paramètres!$A$1:$I$89,5,0)</f>
        <v>-5.3205440053716299E-14</v>
      </c>
      <c r="BF104" s="13" t="e">
        <f t="shared" si="91"/>
        <v>#NUM!</v>
      </c>
      <c r="BG104" s="20" t="e">
        <f t="shared" si="61"/>
        <v>#NUM!</v>
      </c>
      <c r="BH104" s="59" t="e">
        <f t="shared" si="62"/>
        <v>#NUM!</v>
      </c>
      <c r="BI104" s="59">
        <f ca="1">AVERAGE(OFFSET($BH$3,0,0,'Données projet'!$E$11+1,1))-AVERAGE(OFFSET($H$3,0,0,'Données projet'!$E$11+1,1))</f>
        <v>215.23235148064941</v>
      </c>
      <c r="BJ104" s="59">
        <f t="shared" si="92"/>
        <v>184.07239726900434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0.76827859212873628</v>
      </c>
      <c r="BQ104" s="21">
        <f>EXP(-LN(2)/25)*BQ103+(1-EXP(-LN(2)/25))/(LN(2)/25)*Calculateur!BL104*Calculateur!BN104*VLOOKUP('Données projet'!$B$11,Paramètres!$A$1:$I$89,3,0)*0.475*44/12</f>
        <v>1.0971011607876793</v>
      </c>
      <c r="BR104" s="21">
        <f>EXP(-LN(2)/2)*BR103+(1-EXP(-LN(2)/2))/(LN(2)/2)*BL104*BO104*VLOOKUP('Données projet'!$B$11,Paramètres!$A$1:$I$89,3,0)*0.475*44/12</f>
        <v>2.0234143195674339E-10</v>
      </c>
      <c r="BS104" s="22">
        <f t="shared" si="63"/>
        <v>1.865379753118757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 t="e">
        <f>BY104*VLOOKUP('Données projet'!$B$12,Paramètres!$A$1:$I$89,3,0)*VLOOKUP('Données projet'!$B$12,Paramètres!$A$1:$I$89,5,0)</f>
        <v>#N/A</v>
      </c>
      <c r="CA104" s="13" t="e">
        <f t="shared" si="93"/>
        <v>#N/A</v>
      </c>
      <c r="CB104" s="20" t="e">
        <f t="shared" si="64"/>
        <v>#N/A</v>
      </c>
      <c r="CC104" s="59" t="e">
        <f t="shared" si="65"/>
        <v>#N/A</v>
      </c>
      <c r="CD104" s="59" t="e">
        <f ca="1">AVERAGE(OFFSET($CC$3,0,0,'Données projet'!$E$12+1,1))-AVERAGE(OFFSET($H$3,0,0,'Données projet'!$E$12+1,1))</f>
        <v>#N/A</v>
      </c>
      <c r="CE104" s="59" t="e">
        <f t="shared" si="94"/>
        <v>#N/A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 t="e">
        <f>EXP(-LN(2)/35)*CK103+(1-EXP(-LN(2)/35))/(LN(2)/35)*CG104*CH104*VLOOKUP('Données projet'!$B$12,Paramètres!$A$1:$I$89,3,0)*0.475*44/12</f>
        <v>#N/A</v>
      </c>
      <c r="CL104" s="21" t="e">
        <f>EXP(-LN(2)/25)*CL103+(1-EXP(-LN(2)/25))/(LN(2)/25)*Calculateur!CG104*Calculateur!CI104*VLOOKUP('Données projet'!$B$12,Paramètres!$A$1:$I$89,3,0)*0.475*44/12</f>
        <v>#N/A</v>
      </c>
      <c r="CM104" s="21" t="e">
        <f>EXP(-LN(2)/2)*CM103+(1-EXP(-LN(2)/2))/(LN(2)/2)*CG104*CJ104*VLOOKUP('Données projet'!$B$12,Paramètres!$A$1:$I$89,3,0)*0.475*44/12</f>
        <v>#N/A</v>
      </c>
      <c r="CN104" s="22" t="e">
        <f t="shared" si="66"/>
        <v>#N/A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25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90.698400000000149</v>
      </c>
      <c r="D105" s="11">
        <f t="shared" si="86"/>
        <v>24.733586403594217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10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891.05393013300909</v>
      </c>
      <c r="H105" s="67">
        <f t="shared" si="56"/>
        <v>494.37737631959351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-3.4106051316484809E-13</v>
      </c>
      <c r="O105" s="13">
        <f>N105*VLOOKUP('Données projet'!$B$9,Paramètres!$A$1:$I$89,3,0)*VLOOKUP('Données projet'!$B$9,Paramètres!$A$1:$I$89,5,0)</f>
        <v>-1.9065282685915009E-13</v>
      </c>
      <c r="P105" s="13" t="e">
        <f t="shared" si="87"/>
        <v>#NUM!</v>
      </c>
      <c r="Q105" s="20" t="e">
        <f t="shared" si="107"/>
        <v>#NUM!</v>
      </c>
      <c r="R105" s="59" t="e">
        <f t="shared" si="55"/>
        <v>#NUM!</v>
      </c>
      <c r="S105" s="59">
        <f ca="1">AVERAGE(OFFSET($R$3,0,0,'Données projet'!$E$9+1,1))-AVERAGE(OFFSET($H$3,0,0,'Données projet'!$E$9+1,1))</f>
        <v>279.98352834501759</v>
      </c>
      <c r="T105" s="59">
        <f t="shared" si="88"/>
        <v>281.30062655265488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0.96043333252141494</v>
      </c>
      <c r="AA105" s="21">
        <f>EXP(-LN(2)/25)*AA104+(1-EXP(-LN(2)/25))/(LN(2)/25)*Calculateur!V105*Calculateur!X105*VLOOKUP('Données projet'!$B$9,Paramètres!$A$1:$I$89,3,0)*0.475*44/12</f>
        <v>3.291033511979081</v>
      </c>
      <c r="AB105" s="21">
        <f>EXP(-LN(2)/2)*AB104+(1-EXP(-LN(2)/2))/(LN(2)/2)*V105*Y105*VLOOKUP('Données projet'!$B$9,Paramètres!$A$1:$I$89,3,0)*0.475*44/12</f>
        <v>4.1206862625862006E-10</v>
      </c>
      <c r="AC105" s="22">
        <f t="shared" si="57"/>
        <v>4.2514668449125645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4.4000000000000004</v>
      </c>
      <c r="AI105" s="13">
        <f>IF('Données projet'!$A$62&gt;35,AI104+AH105-AQ104,IF(A105&lt;'Données projet'!$A$62,$AF$205^A105,IF(A105='Données projet'!$A$62,'Données projet'!$B$62,AI104+AH105-AQ104)))</f>
        <v>269.80000000000018</v>
      </c>
      <c r="AJ105" s="13">
        <f>AI105*VLOOKUP('Données projet'!$B$10,Paramètres!$A$1:$I$89,3,0)*VLOOKUP('Données projet'!$B$10,Paramètres!$A$1:$I$89,5,0)</f>
        <v>273.57720000000018</v>
      </c>
      <c r="AK105" s="13">
        <f t="shared" si="89"/>
        <v>65.607858889915107</v>
      </c>
      <c r="AL105" s="20">
        <f t="shared" si="58"/>
        <v>590.74731089993577</v>
      </c>
      <c r="AM105" s="59">
        <f t="shared" si="59"/>
        <v>884.08064423326914</v>
      </c>
      <c r="AN105" s="59">
        <f ca="1">AVERAGE(OFFSET($AM$3,0,0,'Données projet'!$E$10+1,1))-AVERAGE(OFFSET($H$3,0,0,'Données projet'!$E$10+1,1))</f>
        <v>279.20364724206644</v>
      </c>
      <c r="AO105" s="59">
        <f t="shared" si="90"/>
        <v>173.99850582760712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0</v>
      </c>
      <c r="AV105" s="21">
        <f>EXP(-LN(2)/25)*AV104+(1-EXP(-LN(2)/25))/(LN(2)/25)*Calculateur!AQ105*Calculateur!AS105*VLOOKUP('Données projet'!$B$10,Paramètres!$A$1:$I$89,3,0)*0.475*44/12</f>
        <v>0.47283735784093084</v>
      </c>
      <c r="AW105" s="21">
        <f>EXP(-LN(2)/2)*AW104+(1-EXP(-LN(2)/2))/(LN(2)/2)*AQ105*AT105*VLOOKUP('Données projet'!$B$10,Paramètres!$A$1:$I$89,3,0)*0.475*44/12</f>
        <v>1.0093700421161356E-10</v>
      </c>
      <c r="AX105" s="21">
        <f t="shared" si="60"/>
        <v>0.47283735794186782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-1.1368683772161603E-13</v>
      </c>
      <c r="BE105" s="13">
        <f>BD105*VLOOKUP('Données projet'!$B$11,Paramètres!$A$1:$I$89,3,0)*VLOOKUP('Données projet'!$B$11,Paramètres!$A$1:$I$89,5,0)</f>
        <v>-5.3205440053716299E-14</v>
      </c>
      <c r="BF105" s="13" t="e">
        <f t="shared" si="91"/>
        <v>#NUM!</v>
      </c>
      <c r="BG105" s="20" t="e">
        <f t="shared" si="61"/>
        <v>#NUM!</v>
      </c>
      <c r="BH105" s="59" t="e">
        <f t="shared" si="62"/>
        <v>#NUM!</v>
      </c>
      <c r="BI105" s="59">
        <f ca="1">AVERAGE(OFFSET($BH$3,0,0,'Données projet'!$E$11+1,1))-AVERAGE(OFFSET($H$3,0,0,'Données projet'!$E$11+1,1))</f>
        <v>215.23235148064941</v>
      </c>
      <c r="BJ105" s="59">
        <f t="shared" si="92"/>
        <v>184.07239726900434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0.75321311754076214</v>
      </c>
      <c r="BQ105" s="21">
        <f>EXP(-LN(2)/25)*BQ104+(1-EXP(-LN(2)/25))/(LN(2)/25)*Calculateur!BL105*Calculateur!BN105*VLOOKUP('Données projet'!$B$11,Paramètres!$A$1:$I$89,3,0)*0.475*44/12</f>
        <v>1.0671008718518975</v>
      </c>
      <c r="BR105" s="21">
        <f>EXP(-LN(2)/2)*BR104+(1-EXP(-LN(2)/2))/(LN(2)/2)*BL105*BO105*VLOOKUP('Données projet'!$B$11,Paramètres!$A$1:$I$89,3,0)*0.475*44/12</f>
        <v>1.4307699865160964E-10</v>
      </c>
      <c r="BS105" s="22">
        <f t="shared" si="63"/>
        <v>1.8203139895357368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 t="e">
        <f>BY105*VLOOKUP('Données projet'!$B$12,Paramètres!$A$1:$I$89,3,0)*VLOOKUP('Données projet'!$B$12,Paramètres!$A$1:$I$89,5,0)</f>
        <v>#N/A</v>
      </c>
      <c r="CA105" s="13" t="e">
        <f t="shared" si="93"/>
        <v>#N/A</v>
      </c>
      <c r="CB105" s="20" t="e">
        <f t="shared" si="64"/>
        <v>#N/A</v>
      </c>
      <c r="CC105" s="59" t="e">
        <f t="shared" si="65"/>
        <v>#N/A</v>
      </c>
      <c r="CD105" s="59" t="e">
        <f ca="1">AVERAGE(OFFSET($CC$3,0,0,'Données projet'!$E$12+1,1))-AVERAGE(OFFSET($H$3,0,0,'Données projet'!$E$12+1,1))</f>
        <v>#N/A</v>
      </c>
      <c r="CE105" s="59" t="e">
        <f t="shared" si="94"/>
        <v>#N/A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 t="e">
        <f>EXP(-LN(2)/35)*CK104+(1-EXP(-LN(2)/35))/(LN(2)/35)*CG105*CH105*VLOOKUP('Données projet'!$B$12,Paramètres!$A$1:$I$89,3,0)*0.475*44/12</f>
        <v>#N/A</v>
      </c>
      <c r="CL105" s="21" t="e">
        <f>EXP(-LN(2)/25)*CL104+(1-EXP(-LN(2)/25))/(LN(2)/25)*Calculateur!CG105*Calculateur!CI105*VLOOKUP('Données projet'!$B$12,Paramètres!$A$1:$I$89,3,0)*0.475*44/12</f>
        <v>#N/A</v>
      </c>
      <c r="CM105" s="21" t="e">
        <f>EXP(-LN(2)/2)*CM104+(1-EXP(-LN(2)/2))/(LN(2)/2)*CG105*CJ105*VLOOKUP('Données projet'!$B$12,Paramètres!$A$1:$I$89,3,0)*0.475*44/12</f>
        <v>#N/A</v>
      </c>
      <c r="CN105" s="22" t="e">
        <f t="shared" si="66"/>
        <v>#N/A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25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91.587600000000151</v>
      </c>
      <c r="D106" s="11">
        <f t="shared" si="86"/>
        <v>24.947725347033305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10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899.5709325034162</v>
      </c>
      <c r="H106" s="67">
        <f t="shared" si="56"/>
        <v>496.29902497941657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-3.4106051316484809E-13</v>
      </c>
      <c r="O106" s="13">
        <f>N106*VLOOKUP('Données projet'!$B$9,Paramètres!$A$1:$I$89,3,0)*VLOOKUP('Données projet'!$B$9,Paramètres!$A$1:$I$89,5,0)</f>
        <v>-1.9065282685915009E-13</v>
      </c>
      <c r="P106" s="13" t="e">
        <f t="shared" si="87"/>
        <v>#NUM!</v>
      </c>
      <c r="Q106" s="20" t="e">
        <f t="shared" si="107"/>
        <v>#NUM!</v>
      </c>
      <c r="R106" s="59" t="e">
        <f t="shared" si="55"/>
        <v>#NUM!</v>
      </c>
      <c r="S106" s="59">
        <f ca="1">AVERAGE(OFFSET($R$3,0,0,'Données projet'!$E$9+1,1))-AVERAGE(OFFSET($H$3,0,0,'Données projet'!$E$9+1,1))</f>
        <v>279.98352834501759</v>
      </c>
      <c r="T106" s="59">
        <f t="shared" si="88"/>
        <v>281.30062655265488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0.94159982067715919</v>
      </c>
      <c r="AA106" s="21">
        <f>EXP(-LN(2)/25)*AA105+(1-EXP(-LN(2)/25))/(LN(2)/25)*Calculateur!V106*Calculateur!X106*VLOOKUP('Données projet'!$B$9,Paramètres!$A$1:$I$89,3,0)*0.475*44/12</f>
        <v>3.2010400275260822</v>
      </c>
      <c r="AB106" s="21">
        <f>EXP(-LN(2)/2)*AB105+(1-EXP(-LN(2)/2))/(LN(2)/2)*V106*Y106*VLOOKUP('Données projet'!$B$9,Paramètres!$A$1:$I$89,3,0)*0.475*44/12</f>
        <v>2.9137651994169528E-10</v>
      </c>
      <c r="AC106" s="22">
        <f t="shared" si="57"/>
        <v>4.1426398484946185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4.4000000000000004</v>
      </c>
      <c r="AI106" s="13">
        <f>IF('Données projet'!$A$62&gt;35,AI105+AH106-AQ105,IF(A106&lt;'Données projet'!$A$62,$AF$205^A106,IF(A106='Données projet'!$A$62,'Données projet'!$B$62,AI105+AH106-AQ105)))</f>
        <v>274.20000000000016</v>
      </c>
      <c r="AJ106" s="13">
        <f>AI106*VLOOKUP('Données projet'!$B$10,Paramètres!$A$1:$I$89,3,0)*VLOOKUP('Données projet'!$B$10,Paramètres!$A$1:$I$89,5,0)</f>
        <v>278.03880000000015</v>
      </c>
      <c r="AK106" s="13">
        <f t="shared" si="89"/>
        <v>66.5523815477178</v>
      </c>
      <c r="AL106" s="20">
        <f t="shared" si="58"/>
        <v>600.16297452894207</v>
      </c>
      <c r="AM106" s="59">
        <f t="shared" si="59"/>
        <v>893.49630786227544</v>
      </c>
      <c r="AN106" s="59">
        <f ca="1">AVERAGE(OFFSET($AM$3,0,0,'Données projet'!$E$10+1,1))-AVERAGE(OFFSET($H$3,0,0,'Données projet'!$E$10+1,1))</f>
        <v>279.20364724206644</v>
      </c>
      <c r="AO106" s="59">
        <f t="shared" si="90"/>
        <v>173.99850582760712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0</v>
      </c>
      <c r="AV106" s="21">
        <f>EXP(-LN(2)/25)*AV105+(1-EXP(-LN(2)/25))/(LN(2)/25)*Calculateur!AQ106*Calculateur!AS106*VLOOKUP('Données projet'!$B$10,Paramètres!$A$1:$I$89,3,0)*0.475*44/12</f>
        <v>0.4599075954253346</v>
      </c>
      <c r="AW106" s="21">
        <f>EXP(-LN(2)/2)*AW105+(1-EXP(-LN(2)/2))/(LN(2)/2)*AQ106*AT106*VLOOKUP('Données projet'!$B$10,Paramètres!$A$1:$I$89,3,0)*0.475*44/12</f>
        <v>7.1373240150687057E-11</v>
      </c>
      <c r="AX106" s="21">
        <f t="shared" si="60"/>
        <v>0.45990759549670784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-1.1368683772161603E-13</v>
      </c>
      <c r="BE106" s="13">
        <f>BD106*VLOOKUP('Données projet'!$B$11,Paramètres!$A$1:$I$89,3,0)*VLOOKUP('Données projet'!$B$11,Paramètres!$A$1:$I$89,5,0)</f>
        <v>-5.3205440053716299E-14</v>
      </c>
      <c r="BF106" s="13" t="e">
        <f t="shared" si="91"/>
        <v>#NUM!</v>
      </c>
      <c r="BG106" s="20" t="e">
        <f t="shared" si="61"/>
        <v>#NUM!</v>
      </c>
      <c r="BH106" s="59" t="e">
        <f t="shared" si="62"/>
        <v>#NUM!</v>
      </c>
      <c r="BI106" s="59">
        <f ca="1">AVERAGE(OFFSET($BH$3,0,0,'Données projet'!$E$11+1,1))-AVERAGE(OFFSET($H$3,0,0,'Données projet'!$E$11+1,1))</f>
        <v>215.23235148064941</v>
      </c>
      <c r="BJ106" s="59">
        <f t="shared" si="92"/>
        <v>184.07239726900434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0.73844306772042612</v>
      </c>
      <c r="BQ106" s="21">
        <f>EXP(-LN(2)/25)*BQ105+(1-EXP(-LN(2)/25))/(LN(2)/25)*Calculateur!BL106*Calculateur!BN106*VLOOKUP('Données projet'!$B$11,Paramètres!$A$1:$I$89,3,0)*0.475*44/12</f>
        <v>1.0379209423947113</v>
      </c>
      <c r="BR106" s="21">
        <f>EXP(-LN(2)/2)*BR105+(1-EXP(-LN(2)/2))/(LN(2)/2)*BL106*BO106*VLOOKUP('Données projet'!$B$11,Paramètres!$A$1:$I$89,3,0)*0.475*44/12</f>
        <v>1.0117071597837169E-10</v>
      </c>
      <c r="BS106" s="22">
        <f t="shared" si="63"/>
        <v>1.7763640102163081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 t="e">
        <f>BY106*VLOOKUP('Données projet'!$B$12,Paramètres!$A$1:$I$89,3,0)*VLOOKUP('Données projet'!$B$12,Paramètres!$A$1:$I$89,5,0)</f>
        <v>#N/A</v>
      </c>
      <c r="CA106" s="13" t="e">
        <f t="shared" si="93"/>
        <v>#N/A</v>
      </c>
      <c r="CB106" s="20" t="e">
        <f t="shared" si="64"/>
        <v>#N/A</v>
      </c>
      <c r="CC106" s="59" t="e">
        <f t="shared" si="65"/>
        <v>#N/A</v>
      </c>
      <c r="CD106" s="59" t="e">
        <f ca="1">AVERAGE(OFFSET($CC$3,0,0,'Données projet'!$E$12+1,1))-AVERAGE(OFFSET($H$3,0,0,'Données projet'!$E$12+1,1))</f>
        <v>#N/A</v>
      </c>
      <c r="CE106" s="59" t="e">
        <f t="shared" si="94"/>
        <v>#N/A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 t="e">
        <f>EXP(-LN(2)/35)*CK105+(1-EXP(-LN(2)/35))/(LN(2)/35)*CG106*CH106*VLOOKUP('Données projet'!$B$12,Paramètres!$A$1:$I$89,3,0)*0.475*44/12</f>
        <v>#N/A</v>
      </c>
      <c r="CL106" s="21" t="e">
        <f>EXP(-LN(2)/25)*CL105+(1-EXP(-LN(2)/25))/(LN(2)/25)*Calculateur!CG106*Calculateur!CI106*VLOOKUP('Données projet'!$B$12,Paramètres!$A$1:$I$89,3,0)*0.475*44/12</f>
        <v>#N/A</v>
      </c>
      <c r="CM106" s="21" t="e">
        <f>EXP(-LN(2)/2)*CM105+(1-EXP(-LN(2)/2))/(LN(2)/2)*CG106*CJ106*VLOOKUP('Données projet'!$B$12,Paramètres!$A$1:$I$89,3,0)*0.475*44/12</f>
        <v>#N/A</v>
      </c>
      <c r="CN106" s="22" t="e">
        <f t="shared" si="66"/>
        <v>#N/A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25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92.476800000000154</v>
      </c>
      <c r="D107" s="11">
        <f t="shared" si="86"/>
        <v>25.161622425346469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10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908.08606784478104</v>
      </c>
      <c r="H107" s="67">
        <f t="shared" si="56"/>
        <v>498.22025239081199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-3.4106051316484809E-13</v>
      </c>
      <c r="O107" s="13">
        <f>N107*VLOOKUP('Données projet'!$B$9,Paramètres!$A$1:$I$89,3,0)*VLOOKUP('Données projet'!$B$9,Paramètres!$A$1:$I$89,5,0)</f>
        <v>-1.9065282685915009E-13</v>
      </c>
      <c r="P107" s="13" t="e">
        <f t="shared" si="87"/>
        <v>#NUM!</v>
      </c>
      <c r="Q107" s="20" t="e">
        <f t="shared" si="107"/>
        <v>#NUM!</v>
      </c>
      <c r="R107" s="59" t="e">
        <f t="shared" si="55"/>
        <v>#NUM!</v>
      </c>
      <c r="S107" s="59">
        <f ca="1">AVERAGE(OFFSET($R$3,0,0,'Données projet'!$E$9+1,1))-AVERAGE(OFFSET($H$3,0,0,'Données projet'!$E$9+1,1))</f>
        <v>279.98352834501759</v>
      </c>
      <c r="T107" s="59">
        <f t="shared" si="88"/>
        <v>281.30062655265488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0.92313562251286141</v>
      </c>
      <c r="AA107" s="21">
        <f>EXP(-LN(2)/25)*AA106+(1-EXP(-LN(2)/25))/(LN(2)/25)*Calculateur!V107*Calculateur!X107*VLOOKUP('Données projet'!$B$9,Paramètres!$A$1:$I$89,3,0)*0.475*44/12</f>
        <v>3.1135074196380024</v>
      </c>
      <c r="AB107" s="21">
        <f>EXP(-LN(2)/2)*AB106+(1-EXP(-LN(2)/2))/(LN(2)/2)*V107*Y107*VLOOKUP('Données projet'!$B$9,Paramètres!$A$1:$I$89,3,0)*0.475*44/12</f>
        <v>2.0603431312931003E-10</v>
      </c>
      <c r="AC107" s="22">
        <f t="shared" si="57"/>
        <v>4.0366430423568982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4.4000000000000004</v>
      </c>
      <c r="AI107" s="13">
        <f>IF('Données projet'!$A$62&gt;35,AI106+AH107-AQ106,IF(A107&lt;'Données projet'!$A$62,$AF$205^A107,IF(A107='Données projet'!$A$62,'Données projet'!$B$62,AI106+AH107-AQ106)))</f>
        <v>278.60000000000014</v>
      </c>
      <c r="AJ107" s="13">
        <f>AI107*VLOOKUP('Données projet'!$B$10,Paramètres!$A$1:$I$89,3,0)*VLOOKUP('Données projet'!$B$10,Paramètres!$A$1:$I$89,5,0)</f>
        <v>282.50040000000013</v>
      </c>
      <c r="AK107" s="13">
        <f t="shared" si="89"/>
        <v>67.495141560894439</v>
      </c>
      <c r="AL107" s="20">
        <f t="shared" si="58"/>
        <v>609.57556821855803</v>
      </c>
      <c r="AM107" s="59">
        <f t="shared" si="59"/>
        <v>902.9089015518914</v>
      </c>
      <c r="AN107" s="59">
        <f ca="1">AVERAGE(OFFSET($AM$3,0,0,'Données projet'!$E$10+1,1))-AVERAGE(OFFSET($H$3,0,0,'Données projet'!$E$10+1,1))</f>
        <v>279.20364724206644</v>
      </c>
      <c r="AO107" s="59">
        <f t="shared" si="90"/>
        <v>173.99850582760712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0</v>
      </c>
      <c r="AV107" s="21">
        <f>EXP(-LN(2)/25)*AV106+(1-EXP(-LN(2)/25))/(LN(2)/25)*Calculateur!AQ107*Calculateur!AS107*VLOOKUP('Données projet'!$B$10,Paramètres!$A$1:$I$89,3,0)*0.475*44/12</f>
        <v>0.44733139804293953</v>
      </c>
      <c r="AW107" s="21">
        <f>EXP(-LN(2)/2)*AW106+(1-EXP(-LN(2)/2))/(LN(2)/2)*AQ107*AT107*VLOOKUP('Données projet'!$B$10,Paramètres!$A$1:$I$89,3,0)*0.475*44/12</f>
        <v>5.0468502105806781E-11</v>
      </c>
      <c r="AX107" s="21">
        <f t="shared" si="60"/>
        <v>0.44733139809340805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-1.1368683772161603E-13</v>
      </c>
      <c r="BE107" s="13">
        <f>BD107*VLOOKUP('Données projet'!$B$11,Paramètres!$A$1:$I$89,3,0)*VLOOKUP('Données projet'!$B$11,Paramètres!$A$1:$I$89,5,0)</f>
        <v>-5.3205440053716299E-14</v>
      </c>
      <c r="BF107" s="13" t="e">
        <f t="shared" si="91"/>
        <v>#NUM!</v>
      </c>
      <c r="BG107" s="20" t="e">
        <f t="shared" si="61"/>
        <v>#NUM!</v>
      </c>
      <c r="BH107" s="59" t="e">
        <f t="shared" si="62"/>
        <v>#NUM!</v>
      </c>
      <c r="BI107" s="59">
        <f ca="1">AVERAGE(OFFSET($BH$3,0,0,'Données projet'!$E$11+1,1))-AVERAGE(OFFSET($H$3,0,0,'Données projet'!$E$11+1,1))</f>
        <v>215.23235148064941</v>
      </c>
      <c r="BJ107" s="59">
        <f t="shared" si="92"/>
        <v>184.07239726900434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0.72396264956822598</v>
      </c>
      <c r="BQ107" s="21">
        <f>EXP(-LN(2)/25)*BQ106+(1-EXP(-LN(2)/25))/(LN(2)/25)*Calculateur!BL107*Calculateur!BN107*VLOOKUP('Données projet'!$B$11,Paramètres!$A$1:$I$89,3,0)*0.475*44/12</f>
        <v>1.0095389396430379</v>
      </c>
      <c r="BR107" s="21">
        <f>EXP(-LN(2)/2)*BR106+(1-EXP(-LN(2)/2))/(LN(2)/2)*BL107*BO107*VLOOKUP('Données projet'!$B$11,Paramètres!$A$1:$I$89,3,0)*0.475*44/12</f>
        <v>7.1538499325804819E-11</v>
      </c>
      <c r="BS107" s="22">
        <f t="shared" si="63"/>
        <v>1.7335015892828023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 t="e">
        <f>BY107*VLOOKUP('Données projet'!$B$12,Paramètres!$A$1:$I$89,3,0)*VLOOKUP('Données projet'!$B$12,Paramètres!$A$1:$I$89,5,0)</f>
        <v>#N/A</v>
      </c>
      <c r="CA107" s="13" t="e">
        <f t="shared" si="93"/>
        <v>#N/A</v>
      </c>
      <c r="CB107" s="20" t="e">
        <f t="shared" si="64"/>
        <v>#N/A</v>
      </c>
      <c r="CC107" s="59" t="e">
        <f t="shared" si="65"/>
        <v>#N/A</v>
      </c>
      <c r="CD107" s="59" t="e">
        <f ca="1">AVERAGE(OFFSET($CC$3,0,0,'Données projet'!$E$12+1,1))-AVERAGE(OFFSET($H$3,0,0,'Données projet'!$E$12+1,1))</f>
        <v>#N/A</v>
      </c>
      <c r="CE107" s="59" t="e">
        <f t="shared" si="94"/>
        <v>#N/A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 t="e">
        <f>EXP(-LN(2)/35)*CK106+(1-EXP(-LN(2)/35))/(LN(2)/35)*CG107*CH107*VLOOKUP('Données projet'!$B$12,Paramètres!$A$1:$I$89,3,0)*0.475*44/12</f>
        <v>#N/A</v>
      </c>
      <c r="CL107" s="21" t="e">
        <f>EXP(-LN(2)/25)*CL106+(1-EXP(-LN(2)/25))/(LN(2)/25)*Calculateur!CG107*Calculateur!CI107*VLOOKUP('Données projet'!$B$12,Paramètres!$A$1:$I$89,3,0)*0.475*44/12</f>
        <v>#N/A</v>
      </c>
      <c r="CM107" s="21" t="e">
        <f>EXP(-LN(2)/2)*CM106+(1-EXP(-LN(2)/2))/(LN(2)/2)*CG107*CJ107*VLOOKUP('Données projet'!$B$12,Paramètres!$A$1:$I$89,3,0)*0.475*44/12</f>
        <v>#N/A</v>
      </c>
      <c r="CN107" s="22" t="e">
        <f t="shared" si="66"/>
        <v>#N/A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25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93.366000000000156</v>
      </c>
      <c r="D108" s="11">
        <f t="shared" si="86"/>
        <v>25.375280233490724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10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916.59935618835073</v>
      </c>
      <c r="H108" s="67">
        <f t="shared" si="56"/>
        <v>500.14106307332992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-3.4106051316484809E-13</v>
      </c>
      <c r="O108" s="13">
        <f>N108*VLOOKUP('Données projet'!$B$9,Paramètres!$A$1:$I$89,3,0)*VLOOKUP('Données projet'!$B$9,Paramètres!$A$1:$I$89,5,0)</f>
        <v>-1.9065282685915009E-13</v>
      </c>
      <c r="P108" s="13" t="e">
        <f t="shared" si="87"/>
        <v>#NUM!</v>
      </c>
      <c r="Q108" s="20" t="e">
        <f t="shared" si="107"/>
        <v>#NUM!</v>
      </c>
      <c r="R108" s="59" t="e">
        <f t="shared" si="55"/>
        <v>#NUM!</v>
      </c>
      <c r="S108" s="59">
        <f ca="1">AVERAGE(OFFSET($R$3,0,0,'Données projet'!$E$9+1,1))-AVERAGE(OFFSET($H$3,0,0,'Données projet'!$E$9+1,1))</f>
        <v>279.98352834501759</v>
      </c>
      <c r="T108" s="59">
        <f t="shared" si="88"/>
        <v>281.30062655265488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0.9050334960125167</v>
      </c>
      <c r="AA108" s="21">
        <f>EXP(-LN(2)/25)*AA107+(1-EXP(-LN(2)/25))/(LN(2)/25)*Calculateur!V108*Calculateur!X108*VLOOKUP('Données projet'!$B$9,Paramètres!$A$1:$I$89,3,0)*0.475*44/12</f>
        <v>3.0283683955157619</v>
      </c>
      <c r="AB108" s="21">
        <f>EXP(-LN(2)/2)*AB107+(1-EXP(-LN(2)/2))/(LN(2)/2)*V108*Y108*VLOOKUP('Données projet'!$B$9,Paramètres!$A$1:$I$89,3,0)*0.475*44/12</f>
        <v>1.4568825997084764E-10</v>
      </c>
      <c r="AC108" s="22">
        <f t="shared" si="57"/>
        <v>3.933401891673967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4.4000000000000004</v>
      </c>
      <c r="AI108" s="13">
        <f>IF('Données projet'!$A$62&gt;35,AI107+AH108-AQ107,IF(A108&lt;'Données projet'!$A$62,$AF$205^A108,IF(A108='Données projet'!$A$62,'Données projet'!$B$62,AI107+AH108-AQ107)))</f>
        <v>283.00000000000011</v>
      </c>
      <c r="AJ108" s="13">
        <f>AI108*VLOOKUP('Données projet'!$B$10,Paramètres!$A$1:$I$89,3,0)*VLOOKUP('Données projet'!$B$10,Paramètres!$A$1:$I$89,5,0)</f>
        <v>286.9620000000001</v>
      </c>
      <c r="AK108" s="13">
        <f t="shared" si="89"/>
        <v>68.436169981717924</v>
      </c>
      <c r="AL108" s="20">
        <f t="shared" si="58"/>
        <v>618.98514605149205</v>
      </c>
      <c r="AM108" s="59">
        <f t="shared" si="59"/>
        <v>912.31847938482542</v>
      </c>
      <c r="AN108" s="59">
        <f ca="1">AVERAGE(OFFSET($AM$3,0,0,'Données projet'!$E$10+1,1))-AVERAGE(OFFSET($H$3,0,0,'Données projet'!$E$10+1,1))</f>
        <v>279.20364724206644</v>
      </c>
      <c r="AO108" s="59">
        <f t="shared" si="90"/>
        <v>173.99850582760712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0</v>
      </c>
      <c r="AV108" s="21">
        <f>EXP(-LN(2)/25)*AV107+(1-EXP(-LN(2)/25))/(LN(2)/25)*Calculateur!AQ108*Calculateur!AS108*VLOOKUP('Données projet'!$B$10,Paramètres!$A$1:$I$89,3,0)*0.475*44/12</f>
        <v>0.43509909743931952</v>
      </c>
      <c r="AW108" s="21">
        <f>EXP(-LN(2)/2)*AW107+(1-EXP(-LN(2)/2))/(LN(2)/2)*AQ108*AT108*VLOOKUP('Données projet'!$B$10,Paramètres!$A$1:$I$89,3,0)*0.475*44/12</f>
        <v>3.5686620075343528E-11</v>
      </c>
      <c r="AX108" s="21">
        <f t="shared" si="60"/>
        <v>0.43509909747500614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-1.1368683772161603E-13</v>
      </c>
      <c r="BE108" s="13">
        <f>BD108*VLOOKUP('Données projet'!$B$11,Paramètres!$A$1:$I$89,3,0)*VLOOKUP('Données projet'!$B$11,Paramètres!$A$1:$I$89,5,0)</f>
        <v>-5.3205440053716299E-14</v>
      </c>
      <c r="BF108" s="13" t="e">
        <f t="shared" si="91"/>
        <v>#NUM!</v>
      </c>
      <c r="BG108" s="20" t="e">
        <f t="shared" si="61"/>
        <v>#NUM!</v>
      </c>
      <c r="BH108" s="59" t="e">
        <f t="shared" si="62"/>
        <v>#NUM!</v>
      </c>
      <c r="BI108" s="59">
        <f ca="1">AVERAGE(OFFSET($BH$3,0,0,'Données projet'!$E$11+1,1))-AVERAGE(OFFSET($H$3,0,0,'Données projet'!$E$11+1,1))</f>
        <v>215.23235148064941</v>
      </c>
      <c r="BJ108" s="59">
        <f t="shared" si="92"/>
        <v>184.07239726900434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0.7097661835838075</v>
      </c>
      <c r="BQ108" s="21">
        <f>EXP(-LN(2)/25)*BQ107+(1-EXP(-LN(2)/25))/(LN(2)/25)*Calculateur!BL108*Calculateur!BN108*VLOOKUP('Données projet'!$B$11,Paramètres!$A$1:$I$89,3,0)*0.475*44/12</f>
        <v>0.98193304424915351</v>
      </c>
      <c r="BR108" s="21">
        <f>EXP(-LN(2)/2)*BR107+(1-EXP(-LN(2)/2))/(LN(2)/2)*BL108*BO108*VLOOKUP('Données projet'!$B$11,Paramètres!$A$1:$I$89,3,0)*0.475*44/12</f>
        <v>5.0585357989185847E-11</v>
      </c>
      <c r="BS108" s="22">
        <f t="shared" si="63"/>
        <v>1.6916992278835463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 t="e">
        <f>BY108*VLOOKUP('Données projet'!$B$12,Paramètres!$A$1:$I$89,3,0)*VLOOKUP('Données projet'!$B$12,Paramètres!$A$1:$I$89,5,0)</f>
        <v>#N/A</v>
      </c>
      <c r="CA108" s="13" t="e">
        <f t="shared" si="93"/>
        <v>#N/A</v>
      </c>
      <c r="CB108" s="20" t="e">
        <f t="shared" si="64"/>
        <v>#N/A</v>
      </c>
      <c r="CC108" s="59" t="e">
        <f t="shared" si="65"/>
        <v>#N/A</v>
      </c>
      <c r="CD108" s="59" t="e">
        <f ca="1">AVERAGE(OFFSET($CC$3,0,0,'Données projet'!$E$12+1,1))-AVERAGE(OFFSET($H$3,0,0,'Données projet'!$E$12+1,1))</f>
        <v>#N/A</v>
      </c>
      <c r="CE108" s="59" t="e">
        <f t="shared" si="94"/>
        <v>#N/A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 t="e">
        <f>EXP(-LN(2)/35)*CK107+(1-EXP(-LN(2)/35))/(LN(2)/35)*CG108*CH108*VLOOKUP('Données projet'!$B$12,Paramètres!$A$1:$I$89,3,0)*0.475*44/12</f>
        <v>#N/A</v>
      </c>
      <c r="CL108" s="21" t="e">
        <f>EXP(-LN(2)/25)*CL107+(1-EXP(-LN(2)/25))/(LN(2)/25)*Calculateur!CG108*Calculateur!CI108*VLOOKUP('Données projet'!$B$12,Paramètres!$A$1:$I$89,3,0)*0.475*44/12</f>
        <v>#N/A</v>
      </c>
      <c r="CM108" s="21" t="e">
        <f>EXP(-LN(2)/2)*CM107+(1-EXP(-LN(2)/2))/(LN(2)/2)*CG108*CJ108*VLOOKUP('Données projet'!$B$12,Paramètres!$A$1:$I$89,3,0)*0.475*44/12</f>
        <v>#N/A</v>
      </c>
      <c r="CN108" s="22" t="e">
        <f t="shared" si="66"/>
        <v>#N/A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25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94.255200000000158</v>
      </c>
      <c r="D109" s="11">
        <f t="shared" si="86"/>
        <v>25.588701314145272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10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925.11081716182434</v>
      </c>
      <c r="H109" s="67">
        <f t="shared" si="56"/>
        <v>502.06146145546995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-3.4106051316484809E-13</v>
      </c>
      <c r="O109" s="13">
        <f>N109*VLOOKUP('Données projet'!$B$9,Paramètres!$A$1:$I$89,3,0)*VLOOKUP('Données projet'!$B$9,Paramètres!$A$1:$I$89,5,0)</f>
        <v>-1.9065282685915009E-13</v>
      </c>
      <c r="P109" s="13" t="e">
        <f t="shared" si="87"/>
        <v>#NUM!</v>
      </c>
      <c r="Q109" s="20" t="e">
        <f t="shared" si="107"/>
        <v>#NUM!</v>
      </c>
      <c r="R109" s="59" t="e">
        <f t="shared" si="55"/>
        <v>#NUM!</v>
      </c>
      <c r="S109" s="59">
        <f ca="1">AVERAGE(OFFSET($R$3,0,0,'Données projet'!$E$9+1,1))-AVERAGE(OFFSET($H$3,0,0,'Données projet'!$E$9+1,1))</f>
        <v>279.98352834501759</v>
      </c>
      <c r="T109" s="59">
        <f t="shared" si="88"/>
        <v>281.30062655265488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0.88728634117163674</v>
      </c>
      <c r="AA109" s="21">
        <f>EXP(-LN(2)/25)*AA108+(1-EXP(-LN(2)/25))/(LN(2)/25)*Calculateur!V109*Calculateur!X109*VLOOKUP('Données projet'!$B$9,Paramètres!$A$1:$I$89,3,0)*0.475*44/12</f>
        <v>2.945557502485411</v>
      </c>
      <c r="AB109" s="21">
        <f>EXP(-LN(2)/2)*AB108+(1-EXP(-LN(2)/2))/(LN(2)/2)*V109*Y109*VLOOKUP('Données projet'!$B$9,Paramètres!$A$1:$I$89,3,0)*0.475*44/12</f>
        <v>1.0301715656465502E-10</v>
      </c>
      <c r="AC109" s="22">
        <f t="shared" si="57"/>
        <v>3.8328438437600649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4.4000000000000004</v>
      </c>
      <c r="AI109" s="13">
        <f>IF('Données projet'!$A$62&gt;35,AI108+AH109-AQ108,IF(A109&lt;'Données projet'!$A$62,$AF$205^A109,IF(A109='Données projet'!$A$62,'Données projet'!$B$62,AI108+AH109-AQ108)))</f>
        <v>287.40000000000009</v>
      </c>
      <c r="AJ109" s="13">
        <f>AI109*VLOOKUP('Données projet'!$B$10,Paramètres!$A$1:$I$89,3,0)*VLOOKUP('Données projet'!$B$10,Paramètres!$A$1:$I$89,5,0)</f>
        <v>291.42360000000008</v>
      </c>
      <c r="AK109" s="13">
        <f t="shared" si="89"/>
        <v>69.375496841482232</v>
      </c>
      <c r="AL109" s="20">
        <f t="shared" si="58"/>
        <v>628.3917603322484</v>
      </c>
      <c r="AM109" s="59">
        <f t="shared" si="59"/>
        <v>921.72509366558165</v>
      </c>
      <c r="AN109" s="59">
        <f ca="1">AVERAGE(OFFSET($AM$3,0,0,'Données projet'!$E$10+1,1))-AVERAGE(OFFSET($H$3,0,0,'Données projet'!$E$10+1,1))</f>
        <v>279.20364724206644</v>
      </c>
      <c r="AO109" s="59">
        <f t="shared" si="90"/>
        <v>173.99850582760712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0</v>
      </c>
      <c r="AV109" s="21">
        <f>EXP(-LN(2)/25)*AV108+(1-EXP(-LN(2)/25))/(LN(2)/25)*Calculateur!AQ109*Calculateur!AS109*VLOOKUP('Données projet'!$B$10,Paramètres!$A$1:$I$89,3,0)*0.475*44/12</f>
        <v>0.4232012897389742</v>
      </c>
      <c r="AW109" s="21">
        <f>EXP(-LN(2)/2)*AW108+(1-EXP(-LN(2)/2))/(LN(2)/2)*AQ109*AT109*VLOOKUP('Données projet'!$B$10,Paramètres!$A$1:$I$89,3,0)*0.475*44/12</f>
        <v>2.5234251052903391E-11</v>
      </c>
      <c r="AX109" s="21">
        <f t="shared" si="60"/>
        <v>0.42320128976420845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-1.1368683772161603E-13</v>
      </c>
      <c r="BE109" s="13">
        <f>BD109*VLOOKUP('Données projet'!$B$11,Paramètres!$A$1:$I$89,3,0)*VLOOKUP('Données projet'!$B$11,Paramètres!$A$1:$I$89,5,0)</f>
        <v>-5.3205440053716299E-14</v>
      </c>
      <c r="BF109" s="13" t="e">
        <f t="shared" si="91"/>
        <v>#NUM!</v>
      </c>
      <c r="BG109" s="20" t="e">
        <f t="shared" si="61"/>
        <v>#NUM!</v>
      </c>
      <c r="BH109" s="59" t="e">
        <f t="shared" si="62"/>
        <v>#NUM!</v>
      </c>
      <c r="BI109" s="59">
        <f ca="1">AVERAGE(OFFSET($BH$3,0,0,'Données projet'!$E$11+1,1))-AVERAGE(OFFSET($H$3,0,0,'Données projet'!$E$11+1,1))</f>
        <v>215.23235148064941</v>
      </c>
      <c r="BJ109" s="59">
        <f t="shared" si="92"/>
        <v>184.07239726900434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0.6958481016383542</v>
      </c>
      <c r="BQ109" s="21">
        <f>EXP(-LN(2)/25)*BQ108+(1-EXP(-LN(2)/25))/(LN(2)/25)*Calculateur!BL109*Calculateur!BN109*VLOOKUP('Données projet'!$B$11,Paramètres!$A$1:$I$89,3,0)*0.475*44/12</f>
        <v>0.95508203351654586</v>
      </c>
      <c r="BR109" s="21">
        <f>EXP(-LN(2)/2)*BR108+(1-EXP(-LN(2)/2))/(LN(2)/2)*BL109*BO109*VLOOKUP('Données projet'!$B$11,Paramètres!$A$1:$I$89,3,0)*0.475*44/12</f>
        <v>3.576924966290241E-11</v>
      </c>
      <c r="BS109" s="22">
        <f t="shared" si="63"/>
        <v>1.6509301351906691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 t="e">
        <f>BY109*VLOOKUP('Données projet'!$B$12,Paramètres!$A$1:$I$89,3,0)*VLOOKUP('Données projet'!$B$12,Paramètres!$A$1:$I$89,5,0)</f>
        <v>#N/A</v>
      </c>
      <c r="CA109" s="13" t="e">
        <f t="shared" si="93"/>
        <v>#N/A</v>
      </c>
      <c r="CB109" s="20" t="e">
        <f t="shared" si="64"/>
        <v>#N/A</v>
      </c>
      <c r="CC109" s="59" t="e">
        <f t="shared" si="65"/>
        <v>#N/A</v>
      </c>
      <c r="CD109" s="59" t="e">
        <f ca="1">AVERAGE(OFFSET($CC$3,0,0,'Données projet'!$E$12+1,1))-AVERAGE(OFFSET($H$3,0,0,'Données projet'!$E$12+1,1))</f>
        <v>#N/A</v>
      </c>
      <c r="CE109" s="59" t="e">
        <f t="shared" si="94"/>
        <v>#N/A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 t="e">
        <f>EXP(-LN(2)/35)*CK108+(1-EXP(-LN(2)/35))/(LN(2)/35)*CG109*CH109*VLOOKUP('Données projet'!$B$12,Paramètres!$A$1:$I$89,3,0)*0.475*44/12</f>
        <v>#N/A</v>
      </c>
      <c r="CL109" s="21" t="e">
        <f>EXP(-LN(2)/25)*CL108+(1-EXP(-LN(2)/25))/(LN(2)/25)*Calculateur!CG109*Calculateur!CI109*VLOOKUP('Données projet'!$B$12,Paramètres!$A$1:$I$89,3,0)*0.475*44/12</f>
        <v>#N/A</v>
      </c>
      <c r="CM109" s="21" t="e">
        <f>EXP(-LN(2)/2)*CM108+(1-EXP(-LN(2)/2))/(LN(2)/2)*CG109*CJ109*VLOOKUP('Données projet'!$B$12,Paramètres!$A$1:$I$89,3,0)*0.475*44/12</f>
        <v>#N/A</v>
      </c>
      <c r="CN109" s="22" t="e">
        <f t="shared" si="66"/>
        <v>#N/A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25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95.144400000000161</v>
      </c>
      <c r="D110" s="11">
        <f t="shared" si="86"/>
        <v>25.801888159247749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10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933.62047000121208</v>
      </c>
      <c r="H110" s="67">
        <f t="shared" si="56"/>
        <v>503.98145187735673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-3.4106051316484809E-13</v>
      </c>
      <c r="O110" s="13">
        <f>N110*VLOOKUP('Données projet'!$B$9,Paramètres!$A$1:$I$89,3,0)*VLOOKUP('Données projet'!$B$9,Paramètres!$A$1:$I$89,5,0)</f>
        <v>-1.9065282685915009E-13</v>
      </c>
      <c r="P110" s="13" t="e">
        <f t="shared" si="87"/>
        <v>#NUM!</v>
      </c>
      <c r="Q110" s="20" t="e">
        <f t="shared" si="107"/>
        <v>#NUM!</v>
      </c>
      <c r="R110" s="59" t="e">
        <f t="shared" si="55"/>
        <v>#NUM!</v>
      </c>
      <c r="S110" s="59">
        <f ca="1">AVERAGE(OFFSET($R$3,0,0,'Données projet'!$E$9+1,1))-AVERAGE(OFFSET($H$3,0,0,'Données projet'!$E$9+1,1))</f>
        <v>279.98352834501759</v>
      </c>
      <c r="T110" s="59">
        <f t="shared" si="88"/>
        <v>281.30062655265488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0.86988719721249086</v>
      </c>
      <c r="AA110" s="21">
        <f>EXP(-LN(2)/25)*AA109+(1-EXP(-LN(2)/25))/(LN(2)/25)*Calculateur!V110*Calculateur!X110*VLOOKUP('Données projet'!$B$9,Paramètres!$A$1:$I$89,3,0)*0.475*44/12</f>
        <v>2.8650110776798106</v>
      </c>
      <c r="AB110" s="21">
        <f>EXP(-LN(2)/2)*AB109+(1-EXP(-LN(2)/2))/(LN(2)/2)*V110*Y110*VLOOKUP('Données projet'!$B$9,Paramètres!$A$1:$I$89,3,0)*0.475*44/12</f>
        <v>7.2844129985423821E-11</v>
      </c>
      <c r="AC110" s="22">
        <f t="shared" si="57"/>
        <v>3.7348982749651451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4.4000000000000004</v>
      </c>
      <c r="AI110" s="13">
        <f>IF('Données projet'!$A$62&gt;35,AI109+AH110-AQ109,IF(A110&lt;'Données projet'!$A$62,$AF$205^A110,IF(A110='Données projet'!$A$62,'Données projet'!$B$62,AI109+AH110-AQ109)))</f>
        <v>291.80000000000007</v>
      </c>
      <c r="AJ110" s="13">
        <f>AI110*VLOOKUP('Données projet'!$B$10,Paramètres!$A$1:$I$89,3,0)*VLOOKUP('Données projet'!$B$10,Paramètres!$A$1:$I$89,5,0)</f>
        <v>295.88520000000005</v>
      </c>
      <c r="AK110" s="13">
        <f t="shared" si="89"/>
        <v>70.313151199178748</v>
      </c>
      <c r="AL110" s="20">
        <f t="shared" si="58"/>
        <v>637.79546167190301</v>
      </c>
      <c r="AM110" s="59">
        <f t="shared" si="59"/>
        <v>931.12879500523627</v>
      </c>
      <c r="AN110" s="59">
        <f ca="1">AVERAGE(OFFSET($AM$3,0,0,'Données projet'!$E$10+1,1))-AVERAGE(OFFSET($H$3,0,0,'Données projet'!$E$10+1,1))</f>
        <v>279.20364724206644</v>
      </c>
      <c r="AO110" s="59">
        <f t="shared" si="90"/>
        <v>173.99850582760712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0</v>
      </c>
      <c r="AV110" s="21">
        <f>EXP(-LN(2)/25)*AV109+(1-EXP(-LN(2)/25))/(LN(2)/25)*Calculateur!AQ110*Calculateur!AS110*VLOOKUP('Données projet'!$B$10,Paramètres!$A$1:$I$89,3,0)*0.475*44/12</f>
        <v>0.41162882821587338</v>
      </c>
      <c r="AW110" s="21">
        <f>EXP(-LN(2)/2)*AW109+(1-EXP(-LN(2)/2))/(LN(2)/2)*AQ110*AT110*VLOOKUP('Données projet'!$B$10,Paramètres!$A$1:$I$89,3,0)*0.475*44/12</f>
        <v>1.7843310037671764E-11</v>
      </c>
      <c r="AX110" s="21">
        <f t="shared" si="60"/>
        <v>0.41162882823371666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-1.1368683772161603E-13</v>
      </c>
      <c r="BE110" s="13">
        <f>BD110*VLOOKUP('Données projet'!$B$11,Paramètres!$A$1:$I$89,3,0)*VLOOKUP('Données projet'!$B$11,Paramètres!$A$1:$I$89,5,0)</f>
        <v>-5.3205440053716299E-14</v>
      </c>
      <c r="BF110" s="13" t="e">
        <f t="shared" si="91"/>
        <v>#NUM!</v>
      </c>
      <c r="BG110" s="20" t="e">
        <f t="shared" si="61"/>
        <v>#NUM!</v>
      </c>
      <c r="BH110" s="59" t="e">
        <f t="shared" si="62"/>
        <v>#NUM!</v>
      </c>
      <c r="BI110" s="59">
        <f ca="1">AVERAGE(OFFSET($BH$3,0,0,'Données projet'!$E$11+1,1))-AVERAGE(OFFSET($H$3,0,0,'Données projet'!$E$11+1,1))</f>
        <v>215.23235148064941</v>
      </c>
      <c r="BJ110" s="59">
        <f t="shared" si="92"/>
        <v>184.07239726900434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0.68220294479065957</v>
      </c>
      <c r="BQ110" s="21">
        <f>EXP(-LN(2)/25)*BQ109+(1-EXP(-LN(2)/25))/(LN(2)/25)*Calculateur!BL110*Calculateur!BN110*VLOOKUP('Données projet'!$B$11,Paramètres!$A$1:$I$89,3,0)*0.475*44/12</f>
        <v>0.92896526508445465</v>
      </c>
      <c r="BR110" s="21">
        <f>EXP(-LN(2)/2)*BR109+(1-EXP(-LN(2)/2))/(LN(2)/2)*BL110*BO110*VLOOKUP('Données projet'!$B$11,Paramètres!$A$1:$I$89,3,0)*0.475*44/12</f>
        <v>2.5292678994592923E-11</v>
      </c>
      <c r="BS110" s="22">
        <f t="shared" si="63"/>
        <v>1.611168209900407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 t="e">
        <f>BY110*VLOOKUP('Données projet'!$B$12,Paramètres!$A$1:$I$89,3,0)*VLOOKUP('Données projet'!$B$12,Paramètres!$A$1:$I$89,5,0)</f>
        <v>#N/A</v>
      </c>
      <c r="CA110" s="13" t="e">
        <f t="shared" si="93"/>
        <v>#N/A</v>
      </c>
      <c r="CB110" s="20" t="e">
        <f t="shared" si="64"/>
        <v>#N/A</v>
      </c>
      <c r="CC110" s="59" t="e">
        <f t="shared" si="65"/>
        <v>#N/A</v>
      </c>
      <c r="CD110" s="59" t="e">
        <f ca="1">AVERAGE(OFFSET($CC$3,0,0,'Données projet'!$E$12+1,1))-AVERAGE(OFFSET($H$3,0,0,'Données projet'!$E$12+1,1))</f>
        <v>#N/A</v>
      </c>
      <c r="CE110" s="59" t="e">
        <f t="shared" si="94"/>
        <v>#N/A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 t="e">
        <f>EXP(-LN(2)/35)*CK109+(1-EXP(-LN(2)/35))/(LN(2)/35)*CG110*CH110*VLOOKUP('Données projet'!$B$12,Paramètres!$A$1:$I$89,3,0)*0.475*44/12</f>
        <v>#N/A</v>
      </c>
      <c r="CL110" s="21" t="e">
        <f>EXP(-LN(2)/25)*CL109+(1-EXP(-LN(2)/25))/(LN(2)/25)*Calculateur!CG110*Calculateur!CI110*VLOOKUP('Données projet'!$B$12,Paramètres!$A$1:$I$89,3,0)*0.475*44/12</f>
        <v>#N/A</v>
      </c>
      <c r="CM110" s="21" t="e">
        <f>EXP(-LN(2)/2)*CM109+(1-EXP(-LN(2)/2))/(LN(2)/2)*CG110*CJ110*VLOOKUP('Données projet'!$B$12,Paramètres!$A$1:$I$89,3,0)*0.475*44/12</f>
        <v>#N/A</v>
      </c>
      <c r="CN110" s="22" t="e">
        <f t="shared" si="66"/>
        <v>#N/A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25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96.033600000000163</v>
      </c>
      <c r="D111" s="11">
        <f t="shared" si="86"/>
        <v>26.014843211471252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10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942.12833356223564</v>
      </c>
      <c r="H111" s="67">
        <f t="shared" si="56"/>
        <v>505.90103859331265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-3.4106051316484809E-13</v>
      </c>
      <c r="O111" s="13">
        <f>N111*VLOOKUP('Données projet'!$B$9,Paramètres!$A$1:$I$89,3,0)*VLOOKUP('Données projet'!$B$9,Paramètres!$A$1:$I$89,5,0)</f>
        <v>-1.9065282685915009E-13</v>
      </c>
      <c r="P111" s="13" t="e">
        <f t="shared" si="87"/>
        <v>#NUM!</v>
      </c>
      <c r="Q111" s="20" t="e">
        <f t="shared" si="107"/>
        <v>#NUM!</v>
      </c>
      <c r="R111" s="59" t="e">
        <f t="shared" si="55"/>
        <v>#NUM!</v>
      </c>
      <c r="S111" s="59">
        <f ca="1">AVERAGE(OFFSET($R$3,0,0,'Données projet'!$E$9+1,1))-AVERAGE(OFFSET($H$3,0,0,'Données projet'!$E$9+1,1))</f>
        <v>279.98352834501759</v>
      </c>
      <c r="T111" s="59">
        <f t="shared" si="88"/>
        <v>281.30062655265488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0.85282923985395387</v>
      </c>
      <c r="AA111" s="21">
        <f>EXP(-LN(2)/25)*AA110+(1-EXP(-LN(2)/25))/(LN(2)/25)*Calculateur!V111*Calculateur!X111*VLOOKUP('Données projet'!$B$9,Paramètres!$A$1:$I$89,3,0)*0.475*44/12</f>
        <v>2.7866671990962715</v>
      </c>
      <c r="AB111" s="21">
        <f>EXP(-LN(2)/2)*AB110+(1-EXP(-LN(2)/2))/(LN(2)/2)*V111*Y111*VLOOKUP('Données projet'!$B$9,Paramètres!$A$1:$I$89,3,0)*0.475*44/12</f>
        <v>5.1508578282327508E-11</v>
      </c>
      <c r="AC111" s="22">
        <f t="shared" si="57"/>
        <v>3.6394964390017339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4.4000000000000004</v>
      </c>
      <c r="AI111" s="13">
        <f>IF('Données projet'!$A$62&gt;35,AI110+AH111-AQ110,IF(A111&lt;'Données projet'!$A$62,$AF$205^A111,IF(A111='Données projet'!$A$62,'Données projet'!$B$62,AI110+AH111-AQ110)))</f>
        <v>296.20000000000005</v>
      </c>
      <c r="AJ111" s="13">
        <f>AI111*VLOOKUP('Données projet'!$B$10,Paramètres!$A$1:$I$89,3,0)*VLOOKUP('Données projet'!$B$10,Paramètres!$A$1:$I$89,5,0)</f>
        <v>300.34680000000003</v>
      </c>
      <c r="AK111" s="13">
        <f t="shared" si="89"/>
        <v>71.249161187153362</v>
      </c>
      <c r="AL111" s="20">
        <f t="shared" si="58"/>
        <v>647.19629906762555</v>
      </c>
      <c r="AM111" s="59">
        <f t="shared" si="59"/>
        <v>940.52963240095892</v>
      </c>
      <c r="AN111" s="59">
        <f ca="1">AVERAGE(OFFSET($AM$3,0,0,'Données projet'!$E$10+1,1))-AVERAGE(OFFSET($H$3,0,0,'Données projet'!$E$10+1,1))</f>
        <v>279.20364724206644</v>
      </c>
      <c r="AO111" s="59">
        <f t="shared" si="90"/>
        <v>173.99850582760712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0</v>
      </c>
      <c r="AV111" s="21">
        <f>EXP(-LN(2)/25)*AV110+(1-EXP(-LN(2)/25))/(LN(2)/25)*Calculateur!AQ111*Calculateur!AS111*VLOOKUP('Données projet'!$B$10,Paramètres!$A$1:$I$89,3,0)*0.475*44/12</f>
        <v>0.40037281626169102</v>
      </c>
      <c r="AW111" s="21">
        <f>EXP(-LN(2)/2)*AW110+(1-EXP(-LN(2)/2))/(LN(2)/2)*AQ111*AT111*VLOOKUP('Données projet'!$B$10,Paramètres!$A$1:$I$89,3,0)*0.475*44/12</f>
        <v>1.2617125526451695E-11</v>
      </c>
      <c r="AX111" s="21">
        <f t="shared" si="60"/>
        <v>0.40037281627430815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-1.1368683772161603E-13</v>
      </c>
      <c r="BE111" s="13">
        <f>BD111*VLOOKUP('Données projet'!$B$11,Paramètres!$A$1:$I$89,3,0)*VLOOKUP('Données projet'!$B$11,Paramètres!$A$1:$I$89,5,0)</f>
        <v>-5.3205440053716299E-14</v>
      </c>
      <c r="BF111" s="13" t="e">
        <f t="shared" si="91"/>
        <v>#NUM!</v>
      </c>
      <c r="BG111" s="20" t="e">
        <f t="shared" si="61"/>
        <v>#NUM!</v>
      </c>
      <c r="BH111" s="59" t="e">
        <f t="shared" si="62"/>
        <v>#NUM!</v>
      </c>
      <c r="BI111" s="59">
        <f ca="1">AVERAGE(OFFSET($BH$3,0,0,'Données projet'!$E$11+1,1))-AVERAGE(OFFSET($H$3,0,0,'Données projet'!$E$11+1,1))</f>
        <v>215.23235148064941</v>
      </c>
      <c r="BJ111" s="59">
        <f t="shared" si="92"/>
        <v>184.07239726900434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0.66882536114602431</v>
      </c>
      <c r="BQ111" s="21">
        <f>EXP(-LN(2)/25)*BQ110+(1-EXP(-LN(2)/25))/(LN(2)/25)*Calculateur!BL111*Calculateur!BN111*VLOOKUP('Données projet'!$B$11,Paramètres!$A$1:$I$89,3,0)*0.475*44/12</f>
        <v>0.90356266105856009</v>
      </c>
      <c r="BR111" s="21">
        <f>EXP(-LN(2)/2)*BR110+(1-EXP(-LN(2)/2))/(LN(2)/2)*BL111*BO111*VLOOKUP('Données projet'!$B$11,Paramètres!$A$1:$I$89,3,0)*0.475*44/12</f>
        <v>1.7884624831451205E-11</v>
      </c>
      <c r="BS111" s="22">
        <f t="shared" si="63"/>
        <v>1.5723880222224691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 t="e">
        <f>BY111*VLOOKUP('Données projet'!$B$12,Paramètres!$A$1:$I$89,3,0)*VLOOKUP('Données projet'!$B$12,Paramètres!$A$1:$I$89,5,0)</f>
        <v>#N/A</v>
      </c>
      <c r="CA111" s="13" t="e">
        <f t="shared" si="93"/>
        <v>#N/A</v>
      </c>
      <c r="CB111" s="20" t="e">
        <f t="shared" si="64"/>
        <v>#N/A</v>
      </c>
      <c r="CC111" s="59" t="e">
        <f t="shared" si="65"/>
        <v>#N/A</v>
      </c>
      <c r="CD111" s="59" t="e">
        <f ca="1">AVERAGE(OFFSET($CC$3,0,0,'Données projet'!$E$12+1,1))-AVERAGE(OFFSET($H$3,0,0,'Données projet'!$E$12+1,1))</f>
        <v>#N/A</v>
      </c>
      <c r="CE111" s="59" t="e">
        <f t="shared" si="94"/>
        <v>#N/A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 t="e">
        <f>EXP(-LN(2)/35)*CK110+(1-EXP(-LN(2)/35))/(LN(2)/35)*CG111*CH111*VLOOKUP('Données projet'!$B$12,Paramètres!$A$1:$I$89,3,0)*0.475*44/12</f>
        <v>#N/A</v>
      </c>
      <c r="CL111" s="21" t="e">
        <f>EXP(-LN(2)/25)*CL110+(1-EXP(-LN(2)/25))/(LN(2)/25)*Calculateur!CG111*Calculateur!CI111*VLOOKUP('Données projet'!$B$12,Paramètres!$A$1:$I$89,3,0)*0.475*44/12</f>
        <v>#N/A</v>
      </c>
      <c r="CM111" s="21" t="e">
        <f>EXP(-LN(2)/2)*CM110+(1-EXP(-LN(2)/2))/(LN(2)/2)*CG111*CJ111*VLOOKUP('Données projet'!$B$12,Paramètres!$A$1:$I$89,3,0)*0.475*44/12</f>
        <v>#N/A</v>
      </c>
      <c r="CN111" s="22" t="e">
        <f t="shared" si="66"/>
        <v>#N/A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25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96.922800000000166</v>
      </c>
      <c r="D112" s="11">
        <f t="shared" si="86"/>
        <v>26.227568865645399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10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950.6344263312991</v>
      </c>
      <c r="H112" s="67">
        <f t="shared" si="56"/>
        <v>507.82022577433264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-3.4106051316484809E-13</v>
      </c>
      <c r="O112" s="13">
        <f>N112*VLOOKUP('Données projet'!$B$9,Paramètres!$A$1:$I$89,3,0)*VLOOKUP('Données projet'!$B$9,Paramètres!$A$1:$I$89,5,0)</f>
        <v>-1.9065282685915009E-13</v>
      </c>
      <c r="P112" s="13" t="e">
        <f t="shared" si="87"/>
        <v>#NUM!</v>
      </c>
      <c r="Q112" s="20" t="e">
        <f t="shared" si="107"/>
        <v>#NUM!</v>
      </c>
      <c r="R112" s="59" t="e">
        <f t="shared" si="55"/>
        <v>#NUM!</v>
      </c>
      <c r="S112" s="59">
        <f ca="1">AVERAGE(OFFSET($R$3,0,0,'Données projet'!$E$9+1,1))-AVERAGE(OFFSET($H$3,0,0,'Données projet'!$E$9+1,1))</f>
        <v>279.98352834501759</v>
      </c>
      <c r="T112" s="59">
        <f t="shared" si="88"/>
        <v>281.30062655265488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0.83610577863489122</v>
      </c>
      <c r="AA112" s="21">
        <f>EXP(-LN(2)/25)*AA111+(1-EXP(-LN(2)/25))/(LN(2)/25)*Calculateur!V112*Calculateur!X112*VLOOKUP('Données projet'!$B$9,Paramètres!$A$1:$I$89,3,0)*0.475*44/12</f>
        <v>2.7104656379925252</v>
      </c>
      <c r="AB112" s="21">
        <f>EXP(-LN(2)/2)*AB111+(1-EXP(-LN(2)/2))/(LN(2)/2)*V112*Y112*VLOOKUP('Données projet'!$B$9,Paramètres!$A$1:$I$89,3,0)*0.475*44/12</f>
        <v>3.642206499271191E-11</v>
      </c>
      <c r="AC112" s="22">
        <f t="shared" si="57"/>
        <v>3.5465714166638382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4.4000000000000004</v>
      </c>
      <c r="AI112" s="13">
        <f>IF('Données projet'!$A$62&gt;35,AI111+AH112-AQ111,IF(A112&lt;'Données projet'!$A$62,$AF$205^A112,IF(A112='Données projet'!$A$62,'Données projet'!$B$62,AI111+AH112-AQ111)))</f>
        <v>300.60000000000002</v>
      </c>
      <c r="AJ112" s="13">
        <f>AI112*VLOOKUP('Données projet'!$B$10,Paramètres!$A$1:$I$89,3,0)*VLOOKUP('Données projet'!$B$10,Paramètres!$A$1:$I$89,5,0)</f>
        <v>304.80840000000001</v>
      </c>
      <c r="AK112" s="13">
        <f t="shared" si="89"/>
        <v>72.183554053972784</v>
      </c>
      <c r="AL112" s="20">
        <f t="shared" si="58"/>
        <v>656.59431997733589</v>
      </c>
      <c r="AM112" s="59">
        <f t="shared" si="59"/>
        <v>949.92765331066926</v>
      </c>
      <c r="AN112" s="59">
        <f ca="1">AVERAGE(OFFSET($AM$3,0,0,'Données projet'!$E$10+1,1))-AVERAGE(OFFSET($H$3,0,0,'Données projet'!$E$10+1,1))</f>
        <v>279.20364724206644</v>
      </c>
      <c r="AO112" s="59">
        <f t="shared" si="90"/>
        <v>173.99850582760712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0</v>
      </c>
      <c r="AV112" s="21">
        <f>EXP(-LN(2)/25)*AV111+(1-EXP(-LN(2)/25))/(LN(2)/25)*Calculateur!AQ112*Calculateur!AS112*VLOOKUP('Données projet'!$B$10,Paramètres!$A$1:$I$89,3,0)*0.475*44/12</f>
        <v>0.38942460054632372</v>
      </c>
      <c r="AW112" s="21">
        <f>EXP(-LN(2)/2)*AW111+(1-EXP(-LN(2)/2))/(LN(2)/2)*AQ112*AT112*VLOOKUP('Données projet'!$B$10,Paramètres!$A$1:$I$89,3,0)*0.475*44/12</f>
        <v>8.9216550188358821E-12</v>
      </c>
      <c r="AX112" s="21">
        <f t="shared" si="60"/>
        <v>0.38942460055524536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-1.1368683772161603E-13</v>
      </c>
      <c r="BE112" s="13">
        <f>BD112*VLOOKUP('Données projet'!$B$11,Paramètres!$A$1:$I$89,3,0)*VLOOKUP('Données projet'!$B$11,Paramètres!$A$1:$I$89,5,0)</f>
        <v>-5.3205440053716299E-14</v>
      </c>
      <c r="BF112" s="13" t="e">
        <f t="shared" si="91"/>
        <v>#NUM!</v>
      </c>
      <c r="BG112" s="20" t="e">
        <f t="shared" si="61"/>
        <v>#NUM!</v>
      </c>
      <c r="BH112" s="59" t="e">
        <f t="shared" si="62"/>
        <v>#NUM!</v>
      </c>
      <c r="BI112" s="59">
        <f ca="1">AVERAGE(OFFSET($BH$3,0,0,'Données projet'!$E$11+1,1))-AVERAGE(OFFSET($H$3,0,0,'Données projet'!$E$11+1,1))</f>
        <v>215.23235148064941</v>
      </c>
      <c r="BJ112" s="59">
        <f t="shared" si="92"/>
        <v>184.07239726900434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0.65571010375714001</v>
      </c>
      <c r="BQ112" s="21">
        <f>EXP(-LN(2)/25)*BQ111+(1-EXP(-LN(2)/25))/(LN(2)/25)*Calculateur!BL112*Calculateur!BN112*VLOOKUP('Données projet'!$B$11,Paramètres!$A$1:$I$89,3,0)*0.475*44/12</f>
        <v>0.87885469257561855</v>
      </c>
      <c r="BR112" s="21">
        <f>EXP(-LN(2)/2)*BR111+(1-EXP(-LN(2)/2))/(LN(2)/2)*BL112*BO112*VLOOKUP('Données projet'!$B$11,Paramètres!$A$1:$I$89,3,0)*0.475*44/12</f>
        <v>1.2646339497296462E-11</v>
      </c>
      <c r="BS112" s="22">
        <f t="shared" si="63"/>
        <v>1.5345647963454048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 t="e">
        <f>BY112*VLOOKUP('Données projet'!$B$12,Paramètres!$A$1:$I$89,3,0)*VLOOKUP('Données projet'!$B$12,Paramètres!$A$1:$I$89,5,0)</f>
        <v>#N/A</v>
      </c>
      <c r="CA112" s="13" t="e">
        <f t="shared" si="93"/>
        <v>#N/A</v>
      </c>
      <c r="CB112" s="20" t="e">
        <f t="shared" si="64"/>
        <v>#N/A</v>
      </c>
      <c r="CC112" s="59" t="e">
        <f t="shared" si="65"/>
        <v>#N/A</v>
      </c>
      <c r="CD112" s="59" t="e">
        <f ca="1">AVERAGE(OFFSET($CC$3,0,0,'Données projet'!$E$12+1,1))-AVERAGE(OFFSET($H$3,0,0,'Données projet'!$E$12+1,1))</f>
        <v>#N/A</v>
      </c>
      <c r="CE112" s="59" t="e">
        <f t="shared" si="94"/>
        <v>#N/A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 t="e">
        <f>EXP(-LN(2)/35)*CK111+(1-EXP(-LN(2)/35))/(LN(2)/35)*CG112*CH112*VLOOKUP('Données projet'!$B$12,Paramètres!$A$1:$I$89,3,0)*0.475*44/12</f>
        <v>#N/A</v>
      </c>
      <c r="CL112" s="21" t="e">
        <f>EXP(-LN(2)/25)*CL111+(1-EXP(-LN(2)/25))/(LN(2)/25)*Calculateur!CG112*Calculateur!CI112*VLOOKUP('Données projet'!$B$12,Paramètres!$A$1:$I$89,3,0)*0.475*44/12</f>
        <v>#N/A</v>
      </c>
      <c r="CM112" s="21" t="e">
        <f>EXP(-LN(2)/2)*CM111+(1-EXP(-LN(2)/2))/(LN(2)/2)*CG112*CJ112*VLOOKUP('Données projet'!$B$12,Paramètres!$A$1:$I$89,3,0)*0.475*44/12</f>
        <v>#N/A</v>
      </c>
      <c r="CN112" s="22" t="e">
        <f t="shared" si="66"/>
        <v>#N/A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25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97.812000000000168</v>
      </c>
      <c r="D113" s="11">
        <f t="shared" si="86"/>
        <v>26.440067470123306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10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959.1387664360409</v>
      </c>
      <c r="H113" s="67">
        <f t="shared" si="56"/>
        <v>509.73901751046503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-3.4106051316484809E-13</v>
      </c>
      <c r="O113" s="13">
        <f>N113*VLOOKUP('Données projet'!$B$9,Paramètres!$A$1:$I$89,3,0)*VLOOKUP('Données projet'!$B$9,Paramètres!$A$1:$I$89,5,0)</f>
        <v>-1.9065282685915009E-13</v>
      </c>
      <c r="P113" s="13" t="e">
        <f t="shared" si="87"/>
        <v>#NUM!</v>
      </c>
      <c r="Q113" s="20" t="e">
        <f t="shared" si="107"/>
        <v>#NUM!</v>
      </c>
      <c r="R113" s="59" t="e">
        <f t="shared" si="55"/>
        <v>#NUM!</v>
      </c>
      <c r="S113" s="59">
        <f ca="1">AVERAGE(OFFSET($R$3,0,0,'Données projet'!$E$9+1,1))-AVERAGE(OFFSET($H$3,0,0,'Données projet'!$E$9+1,1))</f>
        <v>279.98352834501759</v>
      </c>
      <c r="T113" s="59">
        <f t="shared" si="88"/>
        <v>281.30062655265488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0.81971025429003019</v>
      </c>
      <c r="AA113" s="21">
        <f>EXP(-LN(2)/25)*AA112+(1-EXP(-LN(2)/25))/(LN(2)/25)*Calculateur!V113*Calculateur!X113*VLOOKUP('Données projet'!$B$9,Paramètres!$A$1:$I$89,3,0)*0.475*44/12</f>
        <v>2.6363478125844266</v>
      </c>
      <c r="AB113" s="21">
        <f>EXP(-LN(2)/2)*AB112+(1-EXP(-LN(2)/2))/(LN(2)/2)*V113*Y113*VLOOKUP('Données projet'!$B$9,Paramètres!$A$1:$I$89,3,0)*0.475*44/12</f>
        <v>2.5754289141163754E-11</v>
      </c>
      <c r="AC113" s="22">
        <f t="shared" si="57"/>
        <v>3.4560580669002112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>
        <f>VLOOKUP(A113,'Données projet'!$A$61:$I$81,2,0)</f>
        <v>305</v>
      </c>
      <c r="AG113" s="12">
        <f>VLOOKUP(A113,'Données projet'!$A$61:$I$81,9,0)</f>
        <v>4.4000000000000004</v>
      </c>
      <c r="AH113" s="12">
        <f t="array" ref="AH113">INDEX(AG:AG,MIN(IF(ISNUMBER(AG113:AG309),ROW(AG113:AG309),"")))</f>
        <v>4.4000000000000004</v>
      </c>
      <c r="AI113" s="13">
        <f>IF('Données projet'!$A$62&gt;35,AI112+AH113-AQ112,IF(A113&lt;'Données projet'!$A$62,$AF$205^A113,IF(A113='Données projet'!$A$62,'Données projet'!$B$62,AI112+AH113-AQ112)))</f>
        <v>305</v>
      </c>
      <c r="AJ113" s="13">
        <f>AI113*VLOOKUP('Données projet'!$B$10,Paramètres!$A$1:$I$89,3,0)*VLOOKUP('Données projet'!$B$10,Paramètres!$A$1:$I$89,5,0)</f>
        <v>309.27000000000004</v>
      </c>
      <c r="AK113" s="13">
        <f t="shared" si="89"/>
        <v>73.116356204711096</v>
      </c>
      <c r="AL113" s="20">
        <f t="shared" si="58"/>
        <v>665.9895703898718</v>
      </c>
      <c r="AM113" s="59">
        <f t="shared" si="59"/>
        <v>959.32290372320517</v>
      </c>
      <c r="AN113" s="59">
        <f ca="1">AVERAGE(OFFSET($AM$3,0,0,'Données projet'!$E$10+1,1))-AVERAGE(OFFSET($H$3,0,0,'Données projet'!$E$10+1,1))</f>
        <v>279.20364724206644</v>
      </c>
      <c r="AO113" s="59">
        <f t="shared" si="90"/>
        <v>173.99850582760712</v>
      </c>
      <c r="AP113" s="15">
        <f>IF(ISNA(VLOOKUP(A113,'Données projet'!$A$61:$I$81,3,0)),0,VLOOKUP(A113,'Données projet'!$A$61:$I$81,3,0))</f>
        <v>9</v>
      </c>
      <c r="AQ113" s="15">
        <f>IF(ISNA(VLOOKUP(A113,'Données projet'!$A$61:$I$81,4,0)),0,VLOOKUP(A113,'Données projet'!$A$61:$I$81,4,0))</f>
        <v>39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0</v>
      </c>
      <c r="AV113" s="21">
        <f>EXP(-LN(2)/25)*AV112+(1-EXP(-LN(2)/25))/(LN(2)/25)*Calculateur!AQ113*Calculateur!AS113*VLOOKUP('Données projet'!$B$10,Paramètres!$A$1:$I$89,3,0)*0.475*44/12</f>
        <v>0.37877576436543481</v>
      </c>
      <c r="AW113" s="21">
        <f>EXP(-LN(2)/2)*AW112+(1-EXP(-LN(2)/2))/(LN(2)/2)*AQ113*AT113*VLOOKUP('Données projet'!$B$10,Paramètres!$A$1:$I$89,3,0)*0.475*44/12</f>
        <v>6.3085627632258477E-12</v>
      </c>
      <c r="AX113" s="21">
        <f t="shared" si="60"/>
        <v>0.37877576437174337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-1.1368683772161603E-13</v>
      </c>
      <c r="BE113" s="13">
        <f>BD113*VLOOKUP('Données projet'!$B$11,Paramètres!$A$1:$I$89,3,0)*VLOOKUP('Données projet'!$B$11,Paramètres!$A$1:$I$89,5,0)</f>
        <v>-5.3205440053716299E-14</v>
      </c>
      <c r="BF113" s="13" t="e">
        <f t="shared" si="91"/>
        <v>#NUM!</v>
      </c>
      <c r="BG113" s="20" t="e">
        <f t="shared" si="61"/>
        <v>#NUM!</v>
      </c>
      <c r="BH113" s="59" t="e">
        <f t="shared" si="62"/>
        <v>#NUM!</v>
      </c>
      <c r="BI113" s="59">
        <f ca="1">AVERAGE(OFFSET($BH$3,0,0,'Données projet'!$E$11+1,1))-AVERAGE(OFFSET($H$3,0,0,'Données projet'!$E$11+1,1))</f>
        <v>215.23235148064941</v>
      </c>
      <c r="BJ113" s="59">
        <f t="shared" si="92"/>
        <v>184.07239726900434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0.64285202856613466</v>
      </c>
      <c r="BQ113" s="21">
        <f>EXP(-LN(2)/25)*BQ112+(1-EXP(-LN(2)/25))/(LN(2)/25)*Calculateur!BL113*Calculateur!BN113*VLOOKUP('Données projet'!$B$11,Paramètres!$A$1:$I$89,3,0)*0.475*44/12</f>
        <v>0.85482236479017859</v>
      </c>
      <c r="BR113" s="21">
        <f>EXP(-LN(2)/2)*BR112+(1-EXP(-LN(2)/2))/(LN(2)/2)*BL113*BO113*VLOOKUP('Données projet'!$B$11,Paramètres!$A$1:$I$89,3,0)*0.475*44/12</f>
        <v>8.9423124157256024E-12</v>
      </c>
      <c r="BS113" s="22">
        <f t="shared" si="63"/>
        <v>1.4976743933652557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 t="e">
        <f>BY113*VLOOKUP('Données projet'!$B$12,Paramètres!$A$1:$I$89,3,0)*VLOOKUP('Données projet'!$B$12,Paramètres!$A$1:$I$89,5,0)</f>
        <v>#N/A</v>
      </c>
      <c r="CA113" s="13" t="e">
        <f t="shared" si="93"/>
        <v>#N/A</v>
      </c>
      <c r="CB113" s="20" t="e">
        <f t="shared" si="64"/>
        <v>#N/A</v>
      </c>
      <c r="CC113" s="59" t="e">
        <f t="shared" si="65"/>
        <v>#N/A</v>
      </c>
      <c r="CD113" s="59" t="e">
        <f ca="1">AVERAGE(OFFSET($CC$3,0,0,'Données projet'!$E$12+1,1))-AVERAGE(OFFSET($H$3,0,0,'Données projet'!$E$12+1,1))</f>
        <v>#N/A</v>
      </c>
      <c r="CE113" s="59" t="e">
        <f t="shared" si="94"/>
        <v>#N/A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 t="e">
        <f>EXP(-LN(2)/35)*CK112+(1-EXP(-LN(2)/35))/(LN(2)/35)*CG113*CH113*VLOOKUP('Données projet'!$B$12,Paramètres!$A$1:$I$89,3,0)*0.475*44/12</f>
        <v>#N/A</v>
      </c>
      <c r="CL113" s="21" t="e">
        <f>EXP(-LN(2)/25)*CL112+(1-EXP(-LN(2)/25))/(LN(2)/25)*Calculateur!CG113*Calculateur!CI113*VLOOKUP('Données projet'!$B$12,Paramètres!$A$1:$I$89,3,0)*0.475*44/12</f>
        <v>#N/A</v>
      </c>
      <c r="CM113" s="21" t="e">
        <f>EXP(-LN(2)/2)*CM112+(1-EXP(-LN(2)/2))/(LN(2)/2)*CG113*CJ113*VLOOKUP('Données projet'!$B$12,Paramètres!$A$1:$I$89,3,0)*0.475*44/12</f>
        <v>#N/A</v>
      </c>
      <c r="CN113" s="22" t="e">
        <f t="shared" si="66"/>
        <v>#N/A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25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98.701200000000171</v>
      </c>
      <c r="D114" s="11">
        <f t="shared" si="86"/>
        <v>26.65234132809799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10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967.64137165549471</v>
      </c>
      <c r="H114" s="67">
        <f t="shared" si="56"/>
        <v>511.6574178131043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-3.4106051316484809E-13</v>
      </c>
      <c r="O114" s="13">
        <f>N114*VLOOKUP('Données projet'!$B$9,Paramètres!$A$1:$I$89,3,0)*VLOOKUP('Données projet'!$B$9,Paramètres!$A$1:$I$89,5,0)</f>
        <v>-1.9065282685915009E-13</v>
      </c>
      <c r="P114" s="13" t="e">
        <f t="shared" si="87"/>
        <v>#NUM!</v>
      </c>
      <c r="Q114" s="20" t="e">
        <f t="shared" si="107"/>
        <v>#NUM!</v>
      </c>
      <c r="R114" s="59" t="e">
        <f t="shared" si="55"/>
        <v>#NUM!</v>
      </c>
      <c r="S114" s="59">
        <f ca="1">AVERAGE(OFFSET($R$3,0,0,'Données projet'!$E$9+1,1))-AVERAGE(OFFSET($H$3,0,0,'Données projet'!$E$9+1,1))</f>
        <v>279.98352834501759</v>
      </c>
      <c r="T114" s="59">
        <f t="shared" si="88"/>
        <v>281.30062655265488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0.80363623617728952</v>
      </c>
      <c r="AA114" s="21">
        <f>EXP(-LN(2)/25)*AA113+(1-EXP(-LN(2)/25))/(LN(2)/25)*Calculateur!V114*Calculateur!X114*VLOOKUP('Données projet'!$B$9,Paramètres!$A$1:$I$89,3,0)*0.475*44/12</f>
        <v>2.5642567430097993</v>
      </c>
      <c r="AB114" s="21">
        <f>EXP(-LN(2)/2)*AB113+(1-EXP(-LN(2)/2))/(LN(2)/2)*V114*Y114*VLOOKUP('Données projet'!$B$9,Paramètres!$A$1:$I$89,3,0)*0.475*44/12</f>
        <v>1.8211032496355955E-11</v>
      </c>
      <c r="AC114" s="22">
        <f t="shared" si="57"/>
        <v>3.3678929792053003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3.7</v>
      </c>
      <c r="AI114" s="13">
        <f>IF('Données projet'!$A$62&gt;35,AI113+AH114-AQ113,IF(A114&lt;'Données projet'!$A$62,$AF$205^A114,IF(A114='Données projet'!$A$62,'Données projet'!$B$62,AI113+AH114-AQ113)))</f>
        <v>269.7</v>
      </c>
      <c r="AJ114" s="13">
        <f>AI114*VLOOKUP('Données projet'!$B$10,Paramètres!$A$1:$I$89,3,0)*VLOOKUP('Données projet'!$B$10,Paramètres!$A$1:$I$89,5,0)</f>
        <v>273.47579999999999</v>
      </c>
      <c r="AK114" s="13">
        <f t="shared" si="89"/>
        <v>65.586371730977589</v>
      </c>
      <c r="AL114" s="20">
        <f t="shared" si="58"/>
        <v>590.53328243145256</v>
      </c>
      <c r="AM114" s="59">
        <f t="shared" si="59"/>
        <v>883.86661576478582</v>
      </c>
      <c r="AN114" s="59">
        <f ca="1">AVERAGE(OFFSET($AM$3,0,0,'Données projet'!$E$10+1,1))-AVERAGE(OFFSET($H$3,0,0,'Données projet'!$E$10+1,1))</f>
        <v>279.20364724206644</v>
      </c>
      <c r="AO114" s="59">
        <f t="shared" si="90"/>
        <v>173.99850582760712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0</v>
      </c>
      <c r="AV114" s="21">
        <f>EXP(-LN(2)/25)*AV113+(1-EXP(-LN(2)/25))/(LN(2)/25)*Calculateur!AQ114*Calculateur!AS114*VLOOKUP('Données projet'!$B$10,Paramètres!$A$1:$I$89,3,0)*0.475*44/12</f>
        <v>0.36841812116991024</v>
      </c>
      <c r="AW114" s="21">
        <f>EXP(-LN(2)/2)*AW113+(1-EXP(-LN(2)/2))/(LN(2)/2)*AQ114*AT114*VLOOKUP('Données projet'!$B$10,Paramètres!$A$1:$I$89,3,0)*0.475*44/12</f>
        <v>4.4608275094179411E-12</v>
      </c>
      <c r="AX114" s="21">
        <f t="shared" si="60"/>
        <v>0.36841812117437106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-1.1368683772161603E-13</v>
      </c>
      <c r="BE114" s="13">
        <f>BD114*VLOOKUP('Données projet'!$B$11,Paramètres!$A$1:$I$89,3,0)*VLOOKUP('Données projet'!$B$11,Paramètres!$A$1:$I$89,5,0)</f>
        <v>-5.3205440053716299E-14</v>
      </c>
      <c r="BF114" s="13" t="e">
        <f t="shared" si="91"/>
        <v>#NUM!</v>
      </c>
      <c r="BG114" s="20" t="e">
        <f t="shared" si="61"/>
        <v>#NUM!</v>
      </c>
      <c r="BH114" s="59" t="e">
        <f t="shared" si="62"/>
        <v>#NUM!</v>
      </c>
      <c r="BI114" s="59">
        <f ca="1">AVERAGE(OFFSET($BH$3,0,0,'Données projet'!$E$11+1,1))-AVERAGE(OFFSET($H$3,0,0,'Données projet'!$E$11+1,1))</f>
        <v>215.23235148064941</v>
      </c>
      <c r="BJ114" s="59">
        <f t="shared" si="92"/>
        <v>184.07239726900434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0.63024609238697338</v>
      </c>
      <c r="BQ114" s="21">
        <f>EXP(-LN(2)/25)*BQ113+(1-EXP(-LN(2)/25))/(LN(2)/25)*Calculateur!BL114*Calculateur!BN114*VLOOKUP('Données projet'!$B$11,Paramètres!$A$1:$I$89,3,0)*0.475*44/12</f>
        <v>0.83144720227183666</v>
      </c>
      <c r="BR114" s="21">
        <f>EXP(-LN(2)/2)*BR113+(1-EXP(-LN(2)/2))/(LN(2)/2)*BL114*BO114*VLOOKUP('Données projet'!$B$11,Paramètres!$A$1:$I$89,3,0)*0.475*44/12</f>
        <v>6.3231697486482308E-12</v>
      </c>
      <c r="BS114" s="22">
        <f t="shared" si="63"/>
        <v>1.4616932946651333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 t="e">
        <f>BY114*VLOOKUP('Données projet'!$B$12,Paramètres!$A$1:$I$89,3,0)*VLOOKUP('Données projet'!$B$12,Paramètres!$A$1:$I$89,5,0)</f>
        <v>#N/A</v>
      </c>
      <c r="CA114" s="13" t="e">
        <f t="shared" si="93"/>
        <v>#N/A</v>
      </c>
      <c r="CB114" s="20" t="e">
        <f t="shared" si="64"/>
        <v>#N/A</v>
      </c>
      <c r="CC114" s="59" t="e">
        <f t="shared" si="65"/>
        <v>#N/A</v>
      </c>
      <c r="CD114" s="59" t="e">
        <f ca="1">AVERAGE(OFFSET($CC$3,0,0,'Données projet'!$E$12+1,1))-AVERAGE(OFFSET($H$3,0,0,'Données projet'!$E$12+1,1))</f>
        <v>#N/A</v>
      </c>
      <c r="CE114" s="59" t="e">
        <f t="shared" si="94"/>
        <v>#N/A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 t="e">
        <f>EXP(-LN(2)/35)*CK113+(1-EXP(-LN(2)/35))/(LN(2)/35)*CG114*CH114*VLOOKUP('Données projet'!$B$12,Paramètres!$A$1:$I$89,3,0)*0.475*44/12</f>
        <v>#N/A</v>
      </c>
      <c r="CL114" s="21" t="e">
        <f>EXP(-LN(2)/25)*CL113+(1-EXP(-LN(2)/25))/(LN(2)/25)*Calculateur!CG114*Calculateur!CI114*VLOOKUP('Données projet'!$B$12,Paramètres!$A$1:$I$89,3,0)*0.475*44/12</f>
        <v>#N/A</v>
      </c>
      <c r="CM114" s="21" t="e">
        <f>EXP(-LN(2)/2)*CM113+(1-EXP(-LN(2)/2))/(LN(2)/2)*CG114*CJ114*VLOOKUP('Données projet'!$B$12,Paramètres!$A$1:$I$89,3,0)*0.475*44/12</f>
        <v>#N/A</v>
      </c>
      <c r="CN114" s="22" t="e">
        <f t="shared" si="66"/>
        <v>#N/A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25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99.590400000000173</v>
      </c>
      <c r="D115" s="11">
        <f t="shared" si="86"/>
        <v>26.864392698869374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10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976.14225942987014</v>
      </c>
      <c r="H115" s="67">
        <f t="shared" si="56"/>
        <v>513.57543061719775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-3.4106051316484809E-13</v>
      </c>
      <c r="O115" s="13">
        <f>N115*VLOOKUP('Données projet'!$B$9,Paramètres!$A$1:$I$89,3,0)*VLOOKUP('Données projet'!$B$9,Paramètres!$A$1:$I$89,5,0)</f>
        <v>-1.9065282685915009E-13</v>
      </c>
      <c r="P115" s="13" t="e">
        <f t="shared" si="87"/>
        <v>#NUM!</v>
      </c>
      <c r="Q115" s="20" t="e">
        <f t="shared" si="107"/>
        <v>#NUM!</v>
      </c>
      <c r="R115" s="59" t="e">
        <f t="shared" si="55"/>
        <v>#NUM!</v>
      </c>
      <c r="S115" s="59">
        <f ca="1">AVERAGE(OFFSET($R$3,0,0,'Données projet'!$E$9+1,1))-AVERAGE(OFFSET($H$3,0,0,'Données projet'!$E$9+1,1))</f>
        <v>279.98352834501759</v>
      </c>
      <c r="T115" s="59">
        <f t="shared" si="88"/>
        <v>281.30062655265488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0.7878774197555567</v>
      </c>
      <c r="AA115" s="21">
        <f>EXP(-LN(2)/25)*AA114+(1-EXP(-LN(2)/25))/(LN(2)/25)*Calculateur!V115*Calculateur!X115*VLOOKUP('Données projet'!$B$9,Paramètres!$A$1:$I$89,3,0)*0.475*44/12</f>
        <v>2.4941370075237947</v>
      </c>
      <c r="AB115" s="21">
        <f>EXP(-LN(2)/2)*AB114+(1-EXP(-LN(2)/2))/(LN(2)/2)*V115*Y115*VLOOKUP('Données projet'!$B$9,Paramètres!$A$1:$I$89,3,0)*0.475*44/12</f>
        <v>1.2877144570581877E-11</v>
      </c>
      <c r="AC115" s="22">
        <f t="shared" si="57"/>
        <v>3.2820144272922289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3.7</v>
      </c>
      <c r="AI115" s="13">
        <f>IF('Données projet'!$A$62&gt;35,AI114+AH115-AQ114,IF(A115&lt;'Données projet'!$A$62,$AF$205^A115,IF(A115='Données projet'!$A$62,'Données projet'!$B$62,AI114+AH115-AQ114)))</f>
        <v>273.39999999999998</v>
      </c>
      <c r="AJ115" s="13">
        <f>AI115*VLOOKUP('Données projet'!$B$10,Paramètres!$A$1:$I$89,3,0)*VLOOKUP('Données projet'!$B$10,Paramètres!$A$1:$I$89,5,0)</f>
        <v>277.2276</v>
      </c>
      <c r="AK115" s="13">
        <f t="shared" si="89"/>
        <v>66.380782187895448</v>
      </c>
      <c r="AL115" s="20">
        <f t="shared" si="58"/>
        <v>598.45126564391796</v>
      </c>
      <c r="AM115" s="59">
        <f t="shared" si="59"/>
        <v>891.78459897725133</v>
      </c>
      <c r="AN115" s="59">
        <f ca="1">AVERAGE(OFFSET($AM$3,0,0,'Données projet'!$E$10+1,1))-AVERAGE(OFFSET($H$3,0,0,'Données projet'!$E$10+1,1))</f>
        <v>279.20364724206644</v>
      </c>
      <c r="AO115" s="59">
        <f t="shared" si="90"/>
        <v>173.99850582760712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0</v>
      </c>
      <c r="AV115" s="21">
        <f>EXP(-LN(2)/25)*AV114+(1-EXP(-LN(2)/25))/(LN(2)/25)*Calculateur!AQ115*Calculateur!AS115*VLOOKUP('Données projet'!$B$10,Paramètres!$A$1:$I$89,3,0)*0.475*44/12</f>
        <v>0.35834370827225209</v>
      </c>
      <c r="AW115" s="21">
        <f>EXP(-LN(2)/2)*AW114+(1-EXP(-LN(2)/2))/(LN(2)/2)*AQ115*AT115*VLOOKUP('Données projet'!$B$10,Paramètres!$A$1:$I$89,3,0)*0.475*44/12</f>
        <v>3.1542813816129238E-12</v>
      </c>
      <c r="AX115" s="21">
        <f t="shared" si="60"/>
        <v>0.35834370827540635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-1.1368683772161603E-13</v>
      </c>
      <c r="BE115" s="13">
        <f>BD115*VLOOKUP('Données projet'!$B$11,Paramètres!$A$1:$I$89,3,0)*VLOOKUP('Données projet'!$B$11,Paramètres!$A$1:$I$89,5,0)</f>
        <v>-5.3205440053716299E-14</v>
      </c>
      <c r="BF115" s="13" t="e">
        <f t="shared" si="91"/>
        <v>#NUM!</v>
      </c>
      <c r="BG115" s="20" t="e">
        <f t="shared" si="61"/>
        <v>#NUM!</v>
      </c>
      <c r="BH115" s="59" t="e">
        <f t="shared" si="62"/>
        <v>#NUM!</v>
      </c>
      <c r="BI115" s="59">
        <f ca="1">AVERAGE(OFFSET($BH$3,0,0,'Données projet'!$E$11+1,1))-AVERAGE(OFFSET($H$3,0,0,'Données projet'!$E$11+1,1))</f>
        <v>215.23235148064941</v>
      </c>
      <c r="BJ115" s="59">
        <f t="shared" si="92"/>
        <v>184.07239726900434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0.61788735092742364</v>
      </c>
      <c r="BQ115" s="21">
        <f>EXP(-LN(2)/25)*BQ114+(1-EXP(-LN(2)/25))/(LN(2)/25)*Calculateur!BL115*Calculateur!BN115*VLOOKUP('Données projet'!$B$11,Paramètres!$A$1:$I$89,3,0)*0.475*44/12</f>
        <v>0.80871123480180518</v>
      </c>
      <c r="BR115" s="21">
        <f>EXP(-LN(2)/2)*BR114+(1-EXP(-LN(2)/2))/(LN(2)/2)*BL115*BO115*VLOOKUP('Données projet'!$B$11,Paramètres!$A$1:$I$89,3,0)*0.475*44/12</f>
        <v>4.4711562078628012E-12</v>
      </c>
      <c r="BS115" s="22">
        <f t="shared" si="63"/>
        <v>1.4265985857337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 t="e">
        <f>BY115*VLOOKUP('Données projet'!$B$12,Paramètres!$A$1:$I$89,3,0)*VLOOKUP('Données projet'!$B$12,Paramètres!$A$1:$I$89,5,0)</f>
        <v>#N/A</v>
      </c>
      <c r="CA115" s="13" t="e">
        <f t="shared" si="93"/>
        <v>#N/A</v>
      </c>
      <c r="CB115" s="20" t="e">
        <f t="shared" si="64"/>
        <v>#N/A</v>
      </c>
      <c r="CC115" s="59" t="e">
        <f t="shared" si="65"/>
        <v>#N/A</v>
      </c>
      <c r="CD115" s="59" t="e">
        <f ca="1">AVERAGE(OFFSET($CC$3,0,0,'Données projet'!$E$12+1,1))-AVERAGE(OFFSET($H$3,0,0,'Données projet'!$E$12+1,1))</f>
        <v>#N/A</v>
      </c>
      <c r="CE115" s="59" t="e">
        <f t="shared" si="94"/>
        <v>#N/A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 t="e">
        <f>EXP(-LN(2)/35)*CK114+(1-EXP(-LN(2)/35))/(LN(2)/35)*CG115*CH115*VLOOKUP('Données projet'!$B$12,Paramètres!$A$1:$I$89,3,0)*0.475*44/12</f>
        <v>#N/A</v>
      </c>
      <c r="CL115" s="21" t="e">
        <f>EXP(-LN(2)/25)*CL114+(1-EXP(-LN(2)/25))/(LN(2)/25)*Calculateur!CG115*Calculateur!CI115*VLOOKUP('Données projet'!$B$12,Paramètres!$A$1:$I$89,3,0)*0.475*44/12</f>
        <v>#N/A</v>
      </c>
      <c r="CM115" s="21" t="e">
        <f>EXP(-LN(2)/2)*CM114+(1-EXP(-LN(2)/2))/(LN(2)/2)*CG115*CJ115*VLOOKUP('Données projet'!$B$12,Paramètres!$A$1:$I$89,3,0)*0.475*44/12</f>
        <v>#N/A</v>
      </c>
      <c r="CN115" s="22" t="e">
        <f t="shared" si="66"/>
        <v>#N/A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25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100.47960000000018</v>
      </c>
      <c r="D116" s="11">
        <f t="shared" si="86"/>
        <v>27.076223799065254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10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984.64144686997872</v>
      </c>
      <c r="H116" s="67">
        <f t="shared" si="56"/>
        <v>515.49305978337225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-3.4106051316484809E-13</v>
      </c>
      <c r="O116" s="13">
        <f>N116*VLOOKUP('Données projet'!$B$9,Paramètres!$A$1:$I$89,3,0)*VLOOKUP('Données projet'!$B$9,Paramètres!$A$1:$I$89,5,0)</f>
        <v>-1.9065282685915009E-13</v>
      </c>
      <c r="P116" s="13" t="e">
        <f t="shared" si="87"/>
        <v>#NUM!</v>
      </c>
      <c r="Q116" s="20" t="e">
        <f t="shared" si="107"/>
        <v>#NUM!</v>
      </c>
      <c r="R116" s="59" t="e">
        <f t="shared" si="55"/>
        <v>#NUM!</v>
      </c>
      <c r="S116" s="59">
        <f ca="1">AVERAGE(OFFSET($R$3,0,0,'Données projet'!$E$9+1,1))-AVERAGE(OFFSET($H$3,0,0,'Données projet'!$E$9+1,1))</f>
        <v>279.98352834501759</v>
      </c>
      <c r="T116" s="59">
        <f t="shared" si="88"/>
        <v>281.30062655265488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0.77242762411192512</v>
      </c>
      <c r="AA116" s="21">
        <f>EXP(-LN(2)/25)*AA115+(1-EXP(-LN(2)/25))/(LN(2)/25)*Calculateur!V116*Calculateur!X116*VLOOKUP('Données projet'!$B$9,Paramètres!$A$1:$I$89,3,0)*0.475*44/12</f>
        <v>2.4259346998920917</v>
      </c>
      <c r="AB116" s="21">
        <f>EXP(-LN(2)/2)*AB115+(1-EXP(-LN(2)/2))/(LN(2)/2)*V116*Y116*VLOOKUP('Données projet'!$B$9,Paramètres!$A$1:$I$89,3,0)*0.475*44/12</f>
        <v>9.1055162481779776E-12</v>
      </c>
      <c r="AC116" s="22">
        <f t="shared" si="57"/>
        <v>3.1983623240131225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3.7</v>
      </c>
      <c r="AI116" s="13">
        <f>IF('Données projet'!$A$62&gt;35,AI115+AH116-AQ115,IF(A116&lt;'Données projet'!$A$62,$AF$205^A116,IF(A116='Données projet'!$A$62,'Données projet'!$B$62,AI115+AH116-AQ115)))</f>
        <v>277.09999999999997</v>
      </c>
      <c r="AJ116" s="13">
        <f>AI116*VLOOKUP('Données projet'!$B$10,Paramètres!$A$1:$I$89,3,0)*VLOOKUP('Données projet'!$B$10,Paramètres!$A$1:$I$89,5,0)</f>
        <v>280.9794</v>
      </c>
      <c r="AK116" s="13">
        <f t="shared" si="89"/>
        <v>67.173942175199358</v>
      </c>
      <c r="AL116" s="20">
        <f t="shared" si="58"/>
        <v>606.36707095513873</v>
      </c>
      <c r="AM116" s="59">
        <f t="shared" si="59"/>
        <v>899.7004042884721</v>
      </c>
      <c r="AN116" s="59">
        <f ca="1">AVERAGE(OFFSET($AM$3,0,0,'Données projet'!$E$10+1,1))-AVERAGE(OFFSET($H$3,0,0,'Données projet'!$E$10+1,1))</f>
        <v>279.20364724206644</v>
      </c>
      <c r="AO116" s="59">
        <f t="shared" si="90"/>
        <v>173.99850582760712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0</v>
      </c>
      <c r="AV116" s="21">
        <f>EXP(-LN(2)/25)*AV115+(1-EXP(-LN(2)/25))/(LN(2)/25)*Calculateur!AQ116*Calculateur!AS116*VLOOKUP('Données projet'!$B$10,Paramètres!$A$1:$I$89,3,0)*0.475*44/12</f>
        <v>0.34854478072507072</v>
      </c>
      <c r="AW116" s="21">
        <f>EXP(-LN(2)/2)*AW115+(1-EXP(-LN(2)/2))/(LN(2)/2)*AQ116*AT116*VLOOKUP('Données projet'!$B$10,Paramètres!$A$1:$I$89,3,0)*0.475*44/12</f>
        <v>2.2304137547089705E-12</v>
      </c>
      <c r="AX116" s="21">
        <f t="shared" si="60"/>
        <v>0.34854478072730116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-1.1368683772161603E-13</v>
      </c>
      <c r="BE116" s="13">
        <f>BD116*VLOOKUP('Données projet'!$B$11,Paramètres!$A$1:$I$89,3,0)*VLOOKUP('Données projet'!$B$11,Paramètres!$A$1:$I$89,5,0)</f>
        <v>-5.3205440053716299E-14</v>
      </c>
      <c r="BF116" s="13" t="e">
        <f t="shared" si="91"/>
        <v>#NUM!</v>
      </c>
      <c r="BG116" s="20" t="e">
        <f t="shared" si="61"/>
        <v>#NUM!</v>
      </c>
      <c r="BH116" s="59" t="e">
        <f t="shared" si="62"/>
        <v>#NUM!</v>
      </c>
      <c r="BI116" s="59">
        <f ca="1">AVERAGE(OFFSET($BH$3,0,0,'Données projet'!$E$11+1,1))-AVERAGE(OFFSET($H$3,0,0,'Données projet'!$E$11+1,1))</f>
        <v>215.23235148064941</v>
      </c>
      <c r="BJ116" s="59">
        <f t="shared" si="92"/>
        <v>184.07239726900434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0.60577095684980775</v>
      </c>
      <c r="BQ116" s="21">
        <f>EXP(-LN(2)/25)*BQ115+(1-EXP(-LN(2)/25))/(LN(2)/25)*Calculateur!BL116*Calculateur!BN116*VLOOKUP('Données projet'!$B$11,Paramètres!$A$1:$I$89,3,0)*0.475*44/12</f>
        <v>0.78659698355787433</v>
      </c>
      <c r="BR116" s="21">
        <f>EXP(-LN(2)/2)*BR115+(1-EXP(-LN(2)/2))/(LN(2)/2)*BL116*BO116*VLOOKUP('Données projet'!$B$11,Paramètres!$A$1:$I$89,3,0)*0.475*44/12</f>
        <v>3.1615848743241154E-12</v>
      </c>
      <c r="BS116" s="22">
        <f t="shared" si="63"/>
        <v>1.3923679404108438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 t="e">
        <f>BY116*VLOOKUP('Données projet'!$B$12,Paramètres!$A$1:$I$89,3,0)*VLOOKUP('Données projet'!$B$12,Paramètres!$A$1:$I$89,5,0)</f>
        <v>#N/A</v>
      </c>
      <c r="CA116" s="13" t="e">
        <f t="shared" si="93"/>
        <v>#N/A</v>
      </c>
      <c r="CB116" s="20" t="e">
        <f t="shared" si="64"/>
        <v>#N/A</v>
      </c>
      <c r="CC116" s="59" t="e">
        <f t="shared" si="65"/>
        <v>#N/A</v>
      </c>
      <c r="CD116" s="59" t="e">
        <f ca="1">AVERAGE(OFFSET($CC$3,0,0,'Données projet'!$E$12+1,1))-AVERAGE(OFFSET($H$3,0,0,'Données projet'!$E$12+1,1))</f>
        <v>#N/A</v>
      </c>
      <c r="CE116" s="59" t="e">
        <f t="shared" si="94"/>
        <v>#N/A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 t="e">
        <f>EXP(-LN(2)/35)*CK115+(1-EXP(-LN(2)/35))/(LN(2)/35)*CG116*CH116*VLOOKUP('Données projet'!$B$12,Paramètres!$A$1:$I$89,3,0)*0.475*44/12</f>
        <v>#N/A</v>
      </c>
      <c r="CL116" s="21" t="e">
        <f>EXP(-LN(2)/25)*CL115+(1-EXP(-LN(2)/25))/(LN(2)/25)*Calculateur!CG116*Calculateur!CI116*VLOOKUP('Données projet'!$B$12,Paramètres!$A$1:$I$89,3,0)*0.475*44/12</f>
        <v>#N/A</v>
      </c>
      <c r="CM116" s="21" t="e">
        <f>EXP(-LN(2)/2)*CM115+(1-EXP(-LN(2)/2))/(LN(2)/2)*CG116*CJ116*VLOOKUP('Données projet'!$B$12,Paramètres!$A$1:$I$89,3,0)*0.475*44/12</f>
        <v>#N/A</v>
      </c>
      <c r="CN116" s="22" t="e">
        <f t="shared" si="66"/>
        <v>#N/A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25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101.36880000000018</v>
      </c>
      <c r="D117" s="11">
        <f t="shared" si="86"/>
        <v>27.287836803817498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10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993.13895076631172</v>
      </c>
      <c r="H117" s="67">
        <f t="shared" si="56"/>
        <v>517.41030909998244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-3.4106051316484809E-13</v>
      </c>
      <c r="O117" s="13">
        <f>N117*VLOOKUP('Données projet'!$B$9,Paramètres!$A$1:$I$89,3,0)*VLOOKUP('Données projet'!$B$9,Paramètres!$A$1:$I$89,5,0)</f>
        <v>-1.9065282685915009E-13</v>
      </c>
      <c r="P117" s="13" t="e">
        <f t="shared" si="87"/>
        <v>#NUM!</v>
      </c>
      <c r="Q117" s="20" t="e">
        <f t="shared" si="107"/>
        <v>#NUM!</v>
      </c>
      <c r="R117" s="59" t="e">
        <f t="shared" si="55"/>
        <v>#NUM!</v>
      </c>
      <c r="S117" s="59">
        <f ca="1">AVERAGE(OFFSET($R$3,0,0,'Données projet'!$E$9+1,1))-AVERAGE(OFFSET($H$3,0,0,'Données projet'!$E$9+1,1))</f>
        <v>279.98352834501759</v>
      </c>
      <c r="T117" s="59">
        <f t="shared" si="88"/>
        <v>281.30062655265488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0.75728078953742028</v>
      </c>
      <c r="AA117" s="21">
        <f>EXP(-LN(2)/25)*AA116+(1-EXP(-LN(2)/25))/(LN(2)/25)*Calculateur!V117*Calculateur!X117*VLOOKUP('Données projet'!$B$9,Paramètres!$A$1:$I$89,3,0)*0.475*44/12</f>
        <v>2.3595973879491812</v>
      </c>
      <c r="AB117" s="21">
        <f>EXP(-LN(2)/2)*AB116+(1-EXP(-LN(2)/2))/(LN(2)/2)*V117*Y117*VLOOKUP('Données projet'!$B$9,Paramètres!$A$1:$I$89,3,0)*0.475*44/12</f>
        <v>6.4385722852909385E-12</v>
      </c>
      <c r="AC117" s="22">
        <f t="shared" si="57"/>
        <v>3.1168781774930396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3.7</v>
      </c>
      <c r="AI117" s="13">
        <f>IF('Données projet'!$A$62&gt;35,AI116+AH117-AQ116,IF(A117&lt;'Données projet'!$A$62,$AF$205^A117,IF(A117='Données projet'!$A$62,'Données projet'!$B$62,AI116+AH117-AQ116)))</f>
        <v>280.79999999999995</v>
      </c>
      <c r="AJ117" s="13">
        <f>AI117*VLOOKUP('Données projet'!$B$10,Paramètres!$A$1:$I$89,3,0)*VLOOKUP('Données projet'!$B$10,Paramètres!$A$1:$I$89,5,0)</f>
        <v>284.7312</v>
      </c>
      <c r="AK117" s="13">
        <f t="shared" si="89"/>
        <v>67.96587032005101</v>
      </c>
      <c r="AL117" s="20">
        <f t="shared" si="58"/>
        <v>614.28073080742217</v>
      </c>
      <c r="AM117" s="59">
        <f t="shared" si="59"/>
        <v>907.61406414075554</v>
      </c>
      <c r="AN117" s="59">
        <f ca="1">AVERAGE(OFFSET($AM$3,0,0,'Données projet'!$E$10+1,1))-AVERAGE(OFFSET($H$3,0,0,'Données projet'!$E$10+1,1))</f>
        <v>279.20364724206644</v>
      </c>
      <c r="AO117" s="59">
        <f t="shared" si="90"/>
        <v>173.99850582760712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0</v>
      </c>
      <c r="AV117" s="21">
        <f>EXP(-LN(2)/25)*AV116+(1-EXP(-LN(2)/25))/(LN(2)/25)*Calculateur!AQ117*Calculateur!AS117*VLOOKUP('Données projet'!$B$10,Paramètres!$A$1:$I$89,3,0)*0.475*44/12</f>
        <v>0.33901380536697023</v>
      </c>
      <c r="AW117" s="21">
        <f>EXP(-LN(2)/2)*AW116+(1-EXP(-LN(2)/2))/(LN(2)/2)*AQ117*AT117*VLOOKUP('Données projet'!$B$10,Paramètres!$A$1:$I$89,3,0)*0.475*44/12</f>
        <v>1.5771406908064619E-12</v>
      </c>
      <c r="AX117" s="21">
        <f t="shared" si="60"/>
        <v>0.33901380536854736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-1.1368683772161603E-13</v>
      </c>
      <c r="BE117" s="13">
        <f>BD117*VLOOKUP('Données projet'!$B$11,Paramètres!$A$1:$I$89,3,0)*VLOOKUP('Données projet'!$B$11,Paramètres!$A$1:$I$89,5,0)</f>
        <v>-5.3205440053716299E-14</v>
      </c>
      <c r="BF117" s="13" t="e">
        <f t="shared" si="91"/>
        <v>#NUM!</v>
      </c>
      <c r="BG117" s="20" t="e">
        <f t="shared" si="61"/>
        <v>#NUM!</v>
      </c>
      <c r="BH117" s="59" t="e">
        <f t="shared" si="62"/>
        <v>#NUM!</v>
      </c>
      <c r="BI117" s="59">
        <f ca="1">AVERAGE(OFFSET($BH$3,0,0,'Données projet'!$E$11+1,1))-AVERAGE(OFFSET($H$3,0,0,'Données projet'!$E$11+1,1))</f>
        <v>215.23235148064941</v>
      </c>
      <c r="BJ117" s="59">
        <f t="shared" si="92"/>
        <v>184.07239726900434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0.59389215786978322</v>
      </c>
      <c r="BQ117" s="21">
        <f>EXP(-LN(2)/25)*BQ116+(1-EXP(-LN(2)/25))/(LN(2)/25)*Calculateur!BL117*Calculateur!BN117*VLOOKUP('Données projet'!$B$11,Paramètres!$A$1:$I$89,3,0)*0.475*44/12</f>
        <v>0.76508744767714665</v>
      </c>
      <c r="BR117" s="21">
        <f>EXP(-LN(2)/2)*BR116+(1-EXP(-LN(2)/2))/(LN(2)/2)*BL117*BO117*VLOOKUP('Données projet'!$B$11,Paramètres!$A$1:$I$89,3,0)*0.475*44/12</f>
        <v>2.2355781039314006E-12</v>
      </c>
      <c r="BS117" s="22">
        <f t="shared" si="63"/>
        <v>1.3589796055491654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 t="e">
        <f>BY117*VLOOKUP('Données projet'!$B$12,Paramètres!$A$1:$I$89,3,0)*VLOOKUP('Données projet'!$B$12,Paramètres!$A$1:$I$89,5,0)</f>
        <v>#N/A</v>
      </c>
      <c r="CA117" s="13" t="e">
        <f t="shared" si="93"/>
        <v>#N/A</v>
      </c>
      <c r="CB117" s="20" t="e">
        <f t="shared" si="64"/>
        <v>#N/A</v>
      </c>
      <c r="CC117" s="59" t="e">
        <f t="shared" si="65"/>
        <v>#N/A</v>
      </c>
      <c r="CD117" s="59" t="e">
        <f ca="1">AVERAGE(OFFSET($CC$3,0,0,'Données projet'!$E$12+1,1))-AVERAGE(OFFSET($H$3,0,0,'Données projet'!$E$12+1,1))</f>
        <v>#N/A</v>
      </c>
      <c r="CE117" s="59" t="e">
        <f t="shared" si="94"/>
        <v>#N/A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 t="e">
        <f>EXP(-LN(2)/35)*CK116+(1-EXP(-LN(2)/35))/(LN(2)/35)*CG117*CH117*VLOOKUP('Données projet'!$B$12,Paramètres!$A$1:$I$89,3,0)*0.475*44/12</f>
        <v>#N/A</v>
      </c>
      <c r="CL117" s="21" t="e">
        <f>EXP(-LN(2)/25)*CL116+(1-EXP(-LN(2)/25))/(LN(2)/25)*Calculateur!CG117*Calculateur!CI117*VLOOKUP('Données projet'!$B$12,Paramètres!$A$1:$I$89,3,0)*0.475*44/12</f>
        <v>#N/A</v>
      </c>
      <c r="CM117" s="21" t="e">
        <f>EXP(-LN(2)/2)*CM116+(1-EXP(-LN(2)/2))/(LN(2)/2)*CG117*CJ117*VLOOKUP('Données projet'!$B$12,Paramètres!$A$1:$I$89,3,0)*0.475*44/12</f>
        <v>#N/A</v>
      </c>
      <c r="CN117" s="22" t="e">
        <f t="shared" si="66"/>
        <v>#N/A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25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102.25800000000018</v>
      </c>
      <c r="D118" s="11">
        <f t="shared" si="86"/>
        <v>27.499233847895908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10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1001.6347875977945</v>
      </c>
      <c r="H118" s="67">
        <f t="shared" si="56"/>
        <v>519.32718228508566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-3.4106051316484809E-13</v>
      </c>
      <c r="O118" s="13">
        <f>N118*VLOOKUP('Données projet'!$B$9,Paramètres!$A$1:$I$89,3,0)*VLOOKUP('Données projet'!$B$9,Paramètres!$A$1:$I$89,5,0)</f>
        <v>-1.9065282685915009E-13</v>
      </c>
      <c r="P118" s="13" t="e">
        <f t="shared" si="87"/>
        <v>#NUM!</v>
      </c>
      <c r="Q118" s="20" t="e">
        <f t="shared" si="107"/>
        <v>#NUM!</v>
      </c>
      <c r="R118" s="59" t="e">
        <f t="shared" si="55"/>
        <v>#NUM!</v>
      </c>
      <c r="S118" s="59">
        <f ca="1">AVERAGE(OFFSET($R$3,0,0,'Données projet'!$E$9+1,1))-AVERAGE(OFFSET($H$3,0,0,'Données projet'!$E$9+1,1))</f>
        <v>279.98352834501759</v>
      </c>
      <c r="T118" s="59">
        <f t="shared" si="88"/>
        <v>281.30062655265488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0.74243097515026468</v>
      </c>
      <c r="AA118" s="21">
        <f>EXP(-LN(2)/25)*AA117+(1-EXP(-LN(2)/25))/(LN(2)/25)*Calculateur!V118*Calculateur!X118*VLOOKUP('Données projet'!$B$9,Paramètres!$A$1:$I$89,3,0)*0.475*44/12</f>
        <v>2.2950740732898769</v>
      </c>
      <c r="AB118" s="21">
        <f>EXP(-LN(2)/2)*AB117+(1-EXP(-LN(2)/2))/(LN(2)/2)*V118*Y118*VLOOKUP('Données projet'!$B$9,Paramètres!$A$1:$I$89,3,0)*0.475*44/12</f>
        <v>4.5527581240889888E-12</v>
      </c>
      <c r="AC118" s="22">
        <f t="shared" si="57"/>
        <v>3.0375050484446944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3.7</v>
      </c>
      <c r="AI118" s="13">
        <f>IF('Données projet'!$A$62&gt;35,AI117+AH118-AQ117,IF(A118&lt;'Données projet'!$A$62,$AF$205^A118,IF(A118='Données projet'!$A$62,'Données projet'!$B$62,AI117+AH118-AQ117)))</f>
        <v>284.49999999999994</v>
      </c>
      <c r="AJ118" s="13">
        <f>AI118*VLOOKUP('Données projet'!$B$10,Paramètres!$A$1:$I$89,3,0)*VLOOKUP('Données projet'!$B$10,Paramètres!$A$1:$I$89,5,0)</f>
        <v>288.483</v>
      </c>
      <c r="AK118" s="13">
        <f t="shared" si="89"/>
        <v>68.756584730508692</v>
      </c>
      <c r="AL118" s="20">
        <f t="shared" si="58"/>
        <v>622.19227673896933</v>
      </c>
      <c r="AM118" s="59">
        <f t="shared" si="59"/>
        <v>915.5256100723027</v>
      </c>
      <c r="AN118" s="59">
        <f ca="1">AVERAGE(OFFSET($AM$3,0,0,'Données projet'!$E$10+1,1))-AVERAGE(OFFSET($H$3,0,0,'Données projet'!$E$10+1,1))</f>
        <v>279.20364724206644</v>
      </c>
      <c r="AO118" s="59">
        <f t="shared" si="90"/>
        <v>173.99850582760712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0</v>
      </c>
      <c r="AV118" s="21">
        <f>EXP(-LN(2)/25)*AV117+(1-EXP(-LN(2)/25))/(LN(2)/25)*Calculateur!AQ118*Calculateur!AS118*VLOOKUP('Données projet'!$B$10,Paramètres!$A$1:$I$89,3,0)*0.475*44/12</f>
        <v>0.32974345503124924</v>
      </c>
      <c r="AW118" s="21">
        <f>EXP(-LN(2)/2)*AW117+(1-EXP(-LN(2)/2))/(LN(2)/2)*AQ118*AT118*VLOOKUP('Données projet'!$B$10,Paramètres!$A$1:$I$89,3,0)*0.475*44/12</f>
        <v>1.1152068773544853E-12</v>
      </c>
      <c r="AX118" s="21">
        <f t="shared" si="60"/>
        <v>0.32974345503236446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-1.1368683772161603E-13</v>
      </c>
      <c r="BE118" s="13">
        <f>BD118*VLOOKUP('Données projet'!$B$11,Paramètres!$A$1:$I$89,3,0)*VLOOKUP('Données projet'!$B$11,Paramètres!$A$1:$I$89,5,0)</f>
        <v>-5.3205440053716299E-14</v>
      </c>
      <c r="BF118" s="13" t="e">
        <f t="shared" si="91"/>
        <v>#NUM!</v>
      </c>
      <c r="BG118" s="20" t="e">
        <f t="shared" si="61"/>
        <v>#NUM!</v>
      </c>
      <c r="BH118" s="59" t="e">
        <f t="shared" si="62"/>
        <v>#NUM!</v>
      </c>
      <c r="BI118" s="59">
        <f ca="1">AVERAGE(OFFSET($BH$3,0,0,'Données projet'!$E$11+1,1))-AVERAGE(OFFSET($H$3,0,0,'Données projet'!$E$11+1,1))</f>
        <v>215.23235148064941</v>
      </c>
      <c r="BJ118" s="59">
        <f t="shared" si="92"/>
        <v>184.07239726900434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0.58224629489240498</v>
      </c>
      <c r="BQ118" s="21">
        <f>EXP(-LN(2)/25)*BQ117+(1-EXP(-LN(2)/25))/(LN(2)/25)*Calculateur!BL118*Calculateur!BN118*VLOOKUP('Données projet'!$B$11,Paramètres!$A$1:$I$89,3,0)*0.475*44/12</f>
        <v>0.7441660911862148</v>
      </c>
      <c r="BR118" s="21">
        <f>EXP(-LN(2)/2)*BR117+(1-EXP(-LN(2)/2))/(LN(2)/2)*BL118*BO118*VLOOKUP('Données projet'!$B$11,Paramètres!$A$1:$I$89,3,0)*0.475*44/12</f>
        <v>1.5807924371620577E-12</v>
      </c>
      <c r="BS118" s="22">
        <f t="shared" si="63"/>
        <v>1.3264123860802004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 t="e">
        <f>BY118*VLOOKUP('Données projet'!$B$12,Paramètres!$A$1:$I$89,3,0)*VLOOKUP('Données projet'!$B$12,Paramètres!$A$1:$I$89,5,0)</f>
        <v>#N/A</v>
      </c>
      <c r="CA118" s="13" t="e">
        <f t="shared" si="93"/>
        <v>#N/A</v>
      </c>
      <c r="CB118" s="20" t="e">
        <f t="shared" si="64"/>
        <v>#N/A</v>
      </c>
      <c r="CC118" s="59" t="e">
        <f t="shared" si="65"/>
        <v>#N/A</v>
      </c>
      <c r="CD118" s="59" t="e">
        <f ca="1">AVERAGE(OFFSET($CC$3,0,0,'Données projet'!$E$12+1,1))-AVERAGE(OFFSET($H$3,0,0,'Données projet'!$E$12+1,1))</f>
        <v>#N/A</v>
      </c>
      <c r="CE118" s="59" t="e">
        <f t="shared" si="94"/>
        <v>#N/A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 t="e">
        <f>EXP(-LN(2)/35)*CK117+(1-EXP(-LN(2)/35))/(LN(2)/35)*CG118*CH118*VLOOKUP('Données projet'!$B$12,Paramètres!$A$1:$I$89,3,0)*0.475*44/12</f>
        <v>#N/A</v>
      </c>
      <c r="CL118" s="21" t="e">
        <f>EXP(-LN(2)/25)*CL117+(1-EXP(-LN(2)/25))/(LN(2)/25)*Calculateur!CG118*Calculateur!CI118*VLOOKUP('Données projet'!$B$12,Paramètres!$A$1:$I$89,3,0)*0.475*44/12</f>
        <v>#N/A</v>
      </c>
      <c r="CM118" s="21" t="e">
        <f>EXP(-LN(2)/2)*CM117+(1-EXP(-LN(2)/2))/(LN(2)/2)*CG118*CJ118*VLOOKUP('Données projet'!$B$12,Paramètres!$A$1:$I$89,3,0)*0.475*44/12</f>
        <v>#N/A</v>
      </c>
      <c r="CN118" s="22" t="e">
        <f t="shared" si="66"/>
        <v>#N/A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25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103.14720000000018</v>
      </c>
      <c r="D119" s="11">
        <f t="shared" si="86"/>
        <v>27.710417026801501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10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1010.1289735402235</v>
      </c>
      <c r="H119" s="67">
        <f t="shared" si="56"/>
        <v>521.24368298834622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-3.4106051316484809E-13</v>
      </c>
      <c r="O119" s="13">
        <f>N119*VLOOKUP('Données projet'!$B$9,Paramètres!$A$1:$I$89,3,0)*VLOOKUP('Données projet'!$B$9,Paramètres!$A$1:$I$89,5,0)</f>
        <v>-1.9065282685915009E-13</v>
      </c>
      <c r="P119" s="13" t="e">
        <f t="shared" si="87"/>
        <v>#NUM!</v>
      </c>
      <c r="Q119" s="20" t="e">
        <f t="shared" si="107"/>
        <v>#NUM!</v>
      </c>
      <c r="R119" s="59" t="e">
        <f t="shared" si="55"/>
        <v>#NUM!</v>
      </c>
      <c r="S119" s="59">
        <f ca="1">AVERAGE(OFFSET($R$3,0,0,'Données projet'!$E$9+1,1))-AVERAGE(OFFSET($H$3,0,0,'Données projet'!$E$9+1,1))</f>
        <v>279.98352834501759</v>
      </c>
      <c r="T119" s="59">
        <f t="shared" si="88"/>
        <v>281.30062655265488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0.72787235656574878</v>
      </c>
      <c r="AA119" s="21">
        <f>EXP(-LN(2)/25)*AA118+(1-EXP(-LN(2)/25))/(LN(2)/25)*Calculateur!V119*Calculateur!X119*VLOOKUP('Données projet'!$B$9,Paramètres!$A$1:$I$89,3,0)*0.475*44/12</f>
        <v>2.2323151520630651</v>
      </c>
      <c r="AB119" s="21">
        <f>EXP(-LN(2)/2)*AB118+(1-EXP(-LN(2)/2))/(LN(2)/2)*V119*Y119*VLOOKUP('Données projet'!$B$9,Paramètres!$A$1:$I$89,3,0)*0.475*44/12</f>
        <v>3.2192861426454692E-12</v>
      </c>
      <c r="AC119" s="22">
        <f t="shared" si="57"/>
        <v>2.9601875086320333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3.7</v>
      </c>
      <c r="AI119" s="13">
        <f>IF('Données projet'!$A$62&gt;35,AI118+AH119-AQ118,IF(A119&lt;'Données projet'!$A$62,$AF$205^A119,IF(A119='Données projet'!$A$62,'Données projet'!$B$62,AI118+AH119-AQ118)))</f>
        <v>288.19999999999993</v>
      </c>
      <c r="AJ119" s="13">
        <f>AI119*VLOOKUP('Données projet'!$B$10,Paramètres!$A$1:$I$89,3,0)*VLOOKUP('Données projet'!$B$10,Paramètres!$A$1:$I$89,5,0)</f>
        <v>292.23479999999995</v>
      </c>
      <c r="AK119" s="13">
        <f t="shared" si="89"/>
        <v>69.546103016553758</v>
      </c>
      <c r="AL119" s="20">
        <f t="shared" si="58"/>
        <v>630.10173942049767</v>
      </c>
      <c r="AM119" s="59">
        <f t="shared" si="59"/>
        <v>923.43507275383104</v>
      </c>
      <c r="AN119" s="59">
        <f ca="1">AVERAGE(OFFSET($AM$3,0,0,'Données projet'!$E$10+1,1))-AVERAGE(OFFSET($H$3,0,0,'Données projet'!$E$10+1,1))</f>
        <v>279.20364724206644</v>
      </c>
      <c r="AO119" s="59">
        <f t="shared" si="90"/>
        <v>173.99850582760712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0</v>
      </c>
      <c r="AV119" s="21">
        <f>EXP(-LN(2)/25)*AV118+(1-EXP(-LN(2)/25))/(LN(2)/25)*Calculateur!AQ119*Calculateur!AS119*VLOOKUP('Données projet'!$B$10,Paramètres!$A$1:$I$89,3,0)*0.475*44/12</f>
        <v>0.32072660291296506</v>
      </c>
      <c r="AW119" s="21">
        <f>EXP(-LN(2)/2)*AW118+(1-EXP(-LN(2)/2))/(LN(2)/2)*AQ119*AT119*VLOOKUP('Données projet'!$B$10,Paramètres!$A$1:$I$89,3,0)*0.475*44/12</f>
        <v>7.8857034540323096E-13</v>
      </c>
      <c r="AX119" s="21">
        <f t="shared" si="60"/>
        <v>0.32072660291375366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-1.1368683772161603E-13</v>
      </c>
      <c r="BE119" s="13">
        <f>BD119*VLOOKUP('Données projet'!$B$11,Paramètres!$A$1:$I$89,3,0)*VLOOKUP('Données projet'!$B$11,Paramètres!$A$1:$I$89,5,0)</f>
        <v>-5.3205440053716299E-14</v>
      </c>
      <c r="BF119" s="13" t="e">
        <f t="shared" si="91"/>
        <v>#NUM!</v>
      </c>
      <c r="BG119" s="20" t="e">
        <f t="shared" si="61"/>
        <v>#NUM!</v>
      </c>
      <c r="BH119" s="59" t="e">
        <f t="shared" si="62"/>
        <v>#NUM!</v>
      </c>
      <c r="BI119" s="59">
        <f ca="1">AVERAGE(OFFSET($BH$3,0,0,'Données projet'!$E$11+1,1))-AVERAGE(OFFSET($H$3,0,0,'Données projet'!$E$11+1,1))</f>
        <v>215.23235148064941</v>
      </c>
      <c r="BJ119" s="59">
        <f t="shared" si="92"/>
        <v>184.07239726900434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0.57082880018473814</v>
      </c>
      <c r="BQ119" s="21">
        <f>EXP(-LN(2)/25)*BQ118+(1-EXP(-LN(2)/25))/(LN(2)/25)*Calculateur!BL119*Calculateur!BN119*VLOOKUP('Données projet'!$B$11,Paramètres!$A$1:$I$89,3,0)*0.475*44/12</f>
        <v>0.72381683028873378</v>
      </c>
      <c r="BR119" s="21">
        <f>EXP(-LN(2)/2)*BR118+(1-EXP(-LN(2)/2))/(LN(2)/2)*BL119*BO119*VLOOKUP('Données projet'!$B$11,Paramètres!$A$1:$I$89,3,0)*0.475*44/12</f>
        <v>1.1177890519657003E-12</v>
      </c>
      <c r="BS119" s="22">
        <f t="shared" si="63"/>
        <v>1.2946456304745897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 t="e">
        <f>BY119*VLOOKUP('Données projet'!$B$12,Paramètres!$A$1:$I$89,3,0)*VLOOKUP('Données projet'!$B$12,Paramètres!$A$1:$I$89,5,0)</f>
        <v>#N/A</v>
      </c>
      <c r="CA119" s="13" t="e">
        <f t="shared" si="93"/>
        <v>#N/A</v>
      </c>
      <c r="CB119" s="20" t="e">
        <f t="shared" si="64"/>
        <v>#N/A</v>
      </c>
      <c r="CC119" s="59" t="e">
        <f t="shared" si="65"/>
        <v>#N/A</v>
      </c>
      <c r="CD119" s="59" t="e">
        <f ca="1">AVERAGE(OFFSET($CC$3,0,0,'Données projet'!$E$12+1,1))-AVERAGE(OFFSET($H$3,0,0,'Données projet'!$E$12+1,1))</f>
        <v>#N/A</v>
      </c>
      <c r="CE119" s="59" t="e">
        <f t="shared" si="94"/>
        <v>#N/A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 t="e">
        <f>EXP(-LN(2)/35)*CK118+(1-EXP(-LN(2)/35))/(LN(2)/35)*CG119*CH119*VLOOKUP('Données projet'!$B$12,Paramètres!$A$1:$I$89,3,0)*0.475*44/12</f>
        <v>#N/A</v>
      </c>
      <c r="CL119" s="21" t="e">
        <f>EXP(-LN(2)/25)*CL118+(1-EXP(-LN(2)/25))/(LN(2)/25)*Calculateur!CG119*Calculateur!CI119*VLOOKUP('Données projet'!$B$12,Paramètres!$A$1:$I$89,3,0)*0.475*44/12</f>
        <v>#N/A</v>
      </c>
      <c r="CM119" s="21" t="e">
        <f>EXP(-LN(2)/2)*CM118+(1-EXP(-LN(2)/2))/(LN(2)/2)*CG119*CJ119*VLOOKUP('Données projet'!$B$12,Paramètres!$A$1:$I$89,3,0)*0.475*44/12</f>
        <v>#N/A</v>
      </c>
      <c r="CN119" s="22" t="e">
        <f t="shared" si="66"/>
        <v>#N/A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25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104.03640000000019</v>
      </c>
      <c r="D120" s="11">
        <f t="shared" si="86"/>
        <v>27.921388397821048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10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1018.6215244744094</v>
      </c>
      <c r="H120" s="67">
        <f t="shared" si="56"/>
        <v>523.15981479287188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-3.4106051316484809E-13</v>
      </c>
      <c r="O120" s="13">
        <f>N120*VLOOKUP('Données projet'!$B$9,Paramètres!$A$1:$I$89,3,0)*VLOOKUP('Données projet'!$B$9,Paramètres!$A$1:$I$89,5,0)</f>
        <v>-1.9065282685915009E-13</v>
      </c>
      <c r="P120" s="13" t="e">
        <f t="shared" si="87"/>
        <v>#NUM!</v>
      </c>
      <c r="Q120" s="20" t="e">
        <f t="shared" si="107"/>
        <v>#NUM!</v>
      </c>
      <c r="R120" s="59" t="e">
        <f t="shared" si="55"/>
        <v>#NUM!</v>
      </c>
      <c r="S120" s="59">
        <f ca="1">AVERAGE(OFFSET($R$3,0,0,'Données projet'!$E$9+1,1))-AVERAGE(OFFSET($H$3,0,0,'Données projet'!$E$9+1,1))</f>
        <v>279.98352834501759</v>
      </c>
      <c r="T120" s="59">
        <f t="shared" si="88"/>
        <v>281.30062655265488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0.71359922361179473</v>
      </c>
      <c r="AA120" s="21">
        <f>EXP(-LN(2)/25)*AA119+(1-EXP(-LN(2)/25))/(LN(2)/25)*Calculateur!V120*Calculateur!X120*VLOOKUP('Données projet'!$B$9,Paramètres!$A$1:$I$89,3,0)*0.475*44/12</f>
        <v>2.1712723768375488</v>
      </c>
      <c r="AB120" s="21">
        <f>EXP(-LN(2)/2)*AB119+(1-EXP(-LN(2)/2))/(LN(2)/2)*V120*Y120*VLOOKUP('Données projet'!$B$9,Paramètres!$A$1:$I$89,3,0)*0.475*44/12</f>
        <v>2.2763790620444944E-12</v>
      </c>
      <c r="AC120" s="22">
        <f t="shared" si="57"/>
        <v>2.8848716004516199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3.7</v>
      </c>
      <c r="AI120" s="13">
        <f>IF('Données projet'!$A$62&gt;35,AI119+AH120-AQ119,IF(A120&lt;'Données projet'!$A$62,$AF$205^A120,IF(A120='Données projet'!$A$62,'Données projet'!$B$62,AI119+AH120-AQ119)))</f>
        <v>291.89999999999992</v>
      </c>
      <c r="AJ120" s="13">
        <f>AI120*VLOOKUP('Données projet'!$B$10,Paramètres!$A$1:$I$89,3,0)*VLOOKUP('Données projet'!$B$10,Paramètres!$A$1:$I$89,5,0)</f>
        <v>295.98659999999995</v>
      </c>
      <c r="AK120" s="13">
        <f t="shared" si="89"/>
        <v>70.334442310004732</v>
      </c>
      <c r="AL120" s="20">
        <f t="shared" si="58"/>
        <v>638.00914868992481</v>
      </c>
      <c r="AM120" s="59">
        <f t="shared" si="59"/>
        <v>931.34248202325807</v>
      </c>
      <c r="AN120" s="59">
        <f ca="1">AVERAGE(OFFSET($AM$3,0,0,'Données projet'!$E$10+1,1))-AVERAGE(OFFSET($H$3,0,0,'Données projet'!$E$10+1,1))</f>
        <v>279.20364724206644</v>
      </c>
      <c r="AO120" s="59">
        <f t="shared" si="90"/>
        <v>173.99850582760712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0</v>
      </c>
      <c r="AV120" s="21">
        <f>EXP(-LN(2)/25)*AV119+(1-EXP(-LN(2)/25))/(LN(2)/25)*Calculateur!AQ120*Calculateur!AS120*VLOOKUP('Données projet'!$B$10,Paramètres!$A$1:$I$89,3,0)*0.475*44/12</f>
        <v>0.31195631709003102</v>
      </c>
      <c r="AW120" s="21">
        <f>EXP(-LN(2)/2)*AW119+(1-EXP(-LN(2)/2))/(LN(2)/2)*AQ120*AT120*VLOOKUP('Données projet'!$B$10,Paramètres!$A$1:$I$89,3,0)*0.475*44/12</f>
        <v>5.5760343867724263E-13</v>
      </c>
      <c r="AX120" s="21">
        <f t="shared" si="60"/>
        <v>0.31195631709058863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-1.1368683772161603E-13</v>
      </c>
      <c r="BE120" s="13">
        <f>BD120*VLOOKUP('Données projet'!$B$11,Paramètres!$A$1:$I$89,3,0)*VLOOKUP('Données projet'!$B$11,Paramètres!$A$1:$I$89,5,0)</f>
        <v>-5.3205440053716299E-14</v>
      </c>
      <c r="BF120" s="13" t="e">
        <f t="shared" si="91"/>
        <v>#NUM!</v>
      </c>
      <c r="BG120" s="20" t="e">
        <f t="shared" si="61"/>
        <v>#NUM!</v>
      </c>
      <c r="BH120" s="59" t="e">
        <f t="shared" si="62"/>
        <v>#NUM!</v>
      </c>
      <c r="BI120" s="59">
        <f ca="1">AVERAGE(OFFSET($BH$3,0,0,'Données projet'!$E$11+1,1))-AVERAGE(OFFSET($H$3,0,0,'Données projet'!$E$11+1,1))</f>
        <v>215.23235148064941</v>
      </c>
      <c r="BJ120" s="59">
        <f t="shared" si="92"/>
        <v>184.07239726900434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0.55963519558430452</v>
      </c>
      <c r="BQ120" s="21">
        <f>EXP(-LN(2)/25)*BQ119+(1-EXP(-LN(2)/25))/(LN(2)/25)*Calculateur!BL120*Calculateur!BN120*VLOOKUP('Données projet'!$B$11,Paramètres!$A$1:$I$89,3,0)*0.475*44/12</f>
        <v>0.70402402100061556</v>
      </c>
      <c r="BR120" s="21">
        <f>EXP(-LN(2)/2)*BR119+(1-EXP(-LN(2)/2))/(LN(2)/2)*BL120*BO120*VLOOKUP('Données projet'!$B$11,Paramètres!$A$1:$I$89,3,0)*0.475*44/12</f>
        <v>7.9039621858102885E-13</v>
      </c>
      <c r="BS120" s="22">
        <f t="shared" si="63"/>
        <v>1.2636592165857106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 t="e">
        <f>BY120*VLOOKUP('Données projet'!$B$12,Paramètres!$A$1:$I$89,3,0)*VLOOKUP('Données projet'!$B$12,Paramètres!$A$1:$I$89,5,0)</f>
        <v>#N/A</v>
      </c>
      <c r="CA120" s="13" t="e">
        <f t="shared" si="93"/>
        <v>#N/A</v>
      </c>
      <c r="CB120" s="20" t="e">
        <f t="shared" si="64"/>
        <v>#N/A</v>
      </c>
      <c r="CC120" s="59" t="e">
        <f t="shared" si="65"/>
        <v>#N/A</v>
      </c>
      <c r="CD120" s="59" t="e">
        <f ca="1">AVERAGE(OFFSET($CC$3,0,0,'Données projet'!$E$12+1,1))-AVERAGE(OFFSET($H$3,0,0,'Données projet'!$E$12+1,1))</f>
        <v>#N/A</v>
      </c>
      <c r="CE120" s="59" t="e">
        <f t="shared" si="94"/>
        <v>#N/A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 t="e">
        <f>EXP(-LN(2)/35)*CK119+(1-EXP(-LN(2)/35))/(LN(2)/35)*CG120*CH120*VLOOKUP('Données projet'!$B$12,Paramètres!$A$1:$I$89,3,0)*0.475*44/12</f>
        <v>#N/A</v>
      </c>
      <c r="CL120" s="21" t="e">
        <f>EXP(-LN(2)/25)*CL119+(1-EXP(-LN(2)/25))/(LN(2)/25)*Calculateur!CG120*Calculateur!CI120*VLOOKUP('Données projet'!$B$12,Paramètres!$A$1:$I$89,3,0)*0.475*44/12</f>
        <v>#N/A</v>
      </c>
      <c r="CM120" s="21" t="e">
        <f>EXP(-LN(2)/2)*CM119+(1-EXP(-LN(2)/2))/(LN(2)/2)*CG120*CJ120*VLOOKUP('Données projet'!$B$12,Paramètres!$A$1:$I$89,3,0)*0.475*44/12</f>
        <v>#N/A</v>
      </c>
      <c r="CN120" s="22" t="e">
        <f t="shared" si="66"/>
        <v>#N/A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25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104.92560000000019</v>
      </c>
      <c r="D121" s="11">
        <f t="shared" si="86"/>
        <v>28.132149981044396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10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1027.1124559940286</v>
      </c>
      <c r="H121" s="67">
        <f t="shared" si="56"/>
        <v>525.07558121698594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-3.4106051316484809E-13</v>
      </c>
      <c r="O121" s="13">
        <f>N121*VLOOKUP('Données projet'!$B$9,Paramètres!$A$1:$I$89,3,0)*VLOOKUP('Données projet'!$B$9,Paramètres!$A$1:$I$89,5,0)</f>
        <v>-1.9065282685915009E-13</v>
      </c>
      <c r="P121" s="13" t="e">
        <f t="shared" si="87"/>
        <v>#NUM!</v>
      </c>
      <c r="Q121" s="20" t="e">
        <f t="shared" si="107"/>
        <v>#NUM!</v>
      </c>
      <c r="R121" s="59" t="e">
        <f t="shared" si="55"/>
        <v>#NUM!</v>
      </c>
      <c r="S121" s="59">
        <f ca="1">AVERAGE(OFFSET($R$3,0,0,'Données projet'!$E$9+1,1))-AVERAGE(OFFSET($H$3,0,0,'Données projet'!$E$9+1,1))</f>
        <v>279.98352834501759</v>
      </c>
      <c r="T121" s="59">
        <f t="shared" si="88"/>
        <v>281.30062655265488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0.69960597808931624</v>
      </c>
      <c r="AA121" s="21">
        <f>EXP(-LN(2)/25)*AA120+(1-EXP(-LN(2)/25))/(LN(2)/25)*Calculateur!V121*Calculateur!X121*VLOOKUP('Données projet'!$B$9,Paramètres!$A$1:$I$89,3,0)*0.475*44/12</f>
        <v>2.111898819510674</v>
      </c>
      <c r="AB121" s="21">
        <f>EXP(-LN(2)/2)*AB120+(1-EXP(-LN(2)/2))/(LN(2)/2)*V121*Y121*VLOOKUP('Données projet'!$B$9,Paramètres!$A$1:$I$89,3,0)*0.475*44/12</f>
        <v>1.6096430713227346E-12</v>
      </c>
      <c r="AC121" s="22">
        <f t="shared" si="57"/>
        <v>2.8115047976016001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3.7</v>
      </c>
      <c r="AI121" s="13">
        <f>IF('Données projet'!$A$62&gt;35,AI120+AH121-AQ120,IF(A121&lt;'Données projet'!$A$62,$AF$205^A121,IF(A121='Données projet'!$A$62,'Données projet'!$B$62,AI120+AH121-AQ120)))</f>
        <v>295.59999999999991</v>
      </c>
      <c r="AJ121" s="13">
        <f>AI121*VLOOKUP('Données projet'!$B$10,Paramètres!$A$1:$I$89,3,0)*VLOOKUP('Données projet'!$B$10,Paramètres!$A$1:$I$89,5,0)</f>
        <v>299.73839999999996</v>
      </c>
      <c r="AK121" s="13">
        <f t="shared" si="89"/>
        <v>71.12161928339448</v>
      </c>
      <c r="AL121" s="20">
        <f t="shared" si="58"/>
        <v>645.91453358524529</v>
      </c>
      <c r="AM121" s="59">
        <f t="shared" si="59"/>
        <v>939.24786691857867</v>
      </c>
      <c r="AN121" s="59">
        <f ca="1">AVERAGE(OFFSET($AM$3,0,0,'Données projet'!$E$10+1,1))-AVERAGE(OFFSET($H$3,0,0,'Données projet'!$E$10+1,1))</f>
        <v>279.20364724206644</v>
      </c>
      <c r="AO121" s="59">
        <f t="shared" si="90"/>
        <v>173.99850582760712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0</v>
      </c>
      <c r="AV121" s="21">
        <f>EXP(-LN(2)/25)*AV120+(1-EXP(-LN(2)/25))/(LN(2)/25)*Calculateur!AQ121*Calculateur!AS121*VLOOKUP('Données projet'!$B$10,Paramètres!$A$1:$I$89,3,0)*0.475*44/12</f>
        <v>0.3034258551941344</v>
      </c>
      <c r="AW121" s="21">
        <f>EXP(-LN(2)/2)*AW120+(1-EXP(-LN(2)/2))/(LN(2)/2)*AQ121*AT121*VLOOKUP('Données projet'!$B$10,Paramètres!$A$1:$I$89,3,0)*0.475*44/12</f>
        <v>3.9428517270161548E-13</v>
      </c>
      <c r="AX121" s="21">
        <f t="shared" si="60"/>
        <v>0.30342585519452869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-1.1368683772161603E-13</v>
      </c>
      <c r="BE121" s="13">
        <f>BD121*VLOOKUP('Données projet'!$B$11,Paramètres!$A$1:$I$89,3,0)*VLOOKUP('Données projet'!$B$11,Paramètres!$A$1:$I$89,5,0)</f>
        <v>-5.3205440053716299E-14</v>
      </c>
      <c r="BF121" s="13" t="e">
        <f t="shared" si="91"/>
        <v>#NUM!</v>
      </c>
      <c r="BG121" s="20" t="e">
        <f t="shared" si="61"/>
        <v>#NUM!</v>
      </c>
      <c r="BH121" s="59" t="e">
        <f t="shared" si="62"/>
        <v>#NUM!</v>
      </c>
      <c r="BI121" s="59">
        <f ca="1">AVERAGE(OFFSET($BH$3,0,0,'Données projet'!$E$11+1,1))-AVERAGE(OFFSET($H$3,0,0,'Données projet'!$E$11+1,1))</f>
        <v>215.23235148064941</v>
      </c>
      <c r="BJ121" s="59">
        <f t="shared" si="92"/>
        <v>184.07239726900434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0.54866109074266067</v>
      </c>
      <c r="BQ121" s="21">
        <f>EXP(-LN(2)/25)*BQ120+(1-EXP(-LN(2)/25))/(LN(2)/25)*Calculateur!BL121*Calculateur!BN121*VLOOKUP('Données projet'!$B$11,Paramètres!$A$1:$I$89,3,0)*0.475*44/12</f>
        <v>0.68477244712333951</v>
      </c>
      <c r="BR121" s="21">
        <f>EXP(-LN(2)/2)*BR120+(1-EXP(-LN(2)/2))/(LN(2)/2)*BL121*BO121*VLOOKUP('Données projet'!$B$11,Paramètres!$A$1:$I$89,3,0)*0.475*44/12</f>
        <v>5.5889452598285015E-13</v>
      </c>
      <c r="BS121" s="22">
        <f t="shared" si="63"/>
        <v>1.2334335378665591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 t="e">
        <f>BY121*VLOOKUP('Données projet'!$B$12,Paramètres!$A$1:$I$89,3,0)*VLOOKUP('Données projet'!$B$12,Paramètres!$A$1:$I$89,5,0)</f>
        <v>#N/A</v>
      </c>
      <c r="CA121" s="13" t="e">
        <f t="shared" si="93"/>
        <v>#N/A</v>
      </c>
      <c r="CB121" s="20" t="e">
        <f t="shared" si="64"/>
        <v>#N/A</v>
      </c>
      <c r="CC121" s="59" t="e">
        <f t="shared" si="65"/>
        <v>#N/A</v>
      </c>
      <c r="CD121" s="59" t="e">
        <f ca="1">AVERAGE(OFFSET($CC$3,0,0,'Données projet'!$E$12+1,1))-AVERAGE(OFFSET($H$3,0,0,'Données projet'!$E$12+1,1))</f>
        <v>#N/A</v>
      </c>
      <c r="CE121" s="59" t="e">
        <f t="shared" si="94"/>
        <v>#N/A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 t="e">
        <f>EXP(-LN(2)/35)*CK120+(1-EXP(-LN(2)/35))/(LN(2)/35)*CG121*CH121*VLOOKUP('Données projet'!$B$12,Paramètres!$A$1:$I$89,3,0)*0.475*44/12</f>
        <v>#N/A</v>
      </c>
      <c r="CL121" s="21" t="e">
        <f>EXP(-LN(2)/25)*CL120+(1-EXP(-LN(2)/25))/(LN(2)/25)*Calculateur!CG121*Calculateur!CI121*VLOOKUP('Données projet'!$B$12,Paramètres!$A$1:$I$89,3,0)*0.475*44/12</f>
        <v>#N/A</v>
      </c>
      <c r="CM121" s="21" t="e">
        <f>EXP(-LN(2)/2)*CM120+(1-EXP(-LN(2)/2))/(LN(2)/2)*CG121*CJ121*VLOOKUP('Données projet'!$B$12,Paramètres!$A$1:$I$89,3,0)*0.475*44/12</f>
        <v>#N/A</v>
      </c>
      <c r="CN121" s="22" t="e">
        <f t="shared" si="66"/>
        <v>#N/A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25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105.81480000000019</v>
      </c>
      <c r="D122" s="11">
        <f t="shared" si="86"/>
        <v>28.342703760346538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10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1035.6017834132028</v>
      </c>
      <c r="H122" s="67">
        <f t="shared" si="56"/>
        <v>526.9909857159372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-3.4106051316484809E-13</v>
      </c>
      <c r="O122" s="13">
        <f>N122*VLOOKUP('Données projet'!$B$9,Paramètres!$A$1:$I$89,3,0)*VLOOKUP('Données projet'!$B$9,Paramètres!$A$1:$I$89,5,0)</f>
        <v>-1.9065282685915009E-13</v>
      </c>
      <c r="P122" s="13" t="e">
        <f t="shared" si="87"/>
        <v>#NUM!</v>
      </c>
      <c r="Q122" s="20" t="e">
        <f t="shared" si="107"/>
        <v>#NUM!</v>
      </c>
      <c r="R122" s="59" t="e">
        <f t="shared" si="55"/>
        <v>#NUM!</v>
      </c>
      <c r="S122" s="59">
        <f ca="1">AVERAGE(OFFSET($R$3,0,0,'Données projet'!$E$9+1,1))-AVERAGE(OFFSET($H$3,0,0,'Données projet'!$E$9+1,1))</f>
        <v>279.98352834501759</v>
      </c>
      <c r="T122" s="59">
        <f t="shared" si="88"/>
        <v>281.30062655265488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0.6858871315764965</v>
      </c>
      <c r="AA122" s="21">
        <f>EXP(-LN(2)/25)*AA121+(1-EXP(-LN(2)/25))/(LN(2)/25)*Calculateur!V122*Calculateur!X122*VLOOKUP('Données projet'!$B$9,Paramètres!$A$1:$I$89,3,0)*0.475*44/12</f>
        <v>2.0541488352312225</v>
      </c>
      <c r="AB122" s="21">
        <f>EXP(-LN(2)/2)*AB121+(1-EXP(-LN(2)/2))/(LN(2)/2)*V122*Y122*VLOOKUP('Données projet'!$B$9,Paramètres!$A$1:$I$89,3,0)*0.475*44/12</f>
        <v>1.1381895310222472E-12</v>
      </c>
      <c r="AC122" s="22">
        <f t="shared" si="57"/>
        <v>2.7400359668088572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3.7</v>
      </c>
      <c r="AI122" s="13">
        <f>IF('Données projet'!$A$62&gt;35,AI121+AH122-AQ121,IF(A122&lt;'Données projet'!$A$62,$AF$205^A122,IF(A122='Données projet'!$A$62,'Données projet'!$B$62,AI121+AH122-AQ121)))</f>
        <v>299.2999999999999</v>
      </c>
      <c r="AJ122" s="13">
        <f>AI122*VLOOKUP('Données projet'!$B$10,Paramètres!$A$1:$I$89,3,0)*VLOOKUP('Données projet'!$B$10,Paramètres!$A$1:$I$89,5,0)</f>
        <v>303.4901999999999</v>
      </c>
      <c r="AK122" s="13">
        <f t="shared" si="89"/>
        <v>71.907650167874195</v>
      </c>
      <c r="AL122" s="20">
        <f t="shared" si="58"/>
        <v>653.81792237571403</v>
      </c>
      <c r="AM122" s="59">
        <f t="shared" si="59"/>
        <v>947.15125570904729</v>
      </c>
      <c r="AN122" s="59">
        <f ca="1">AVERAGE(OFFSET($AM$3,0,0,'Données projet'!$E$10+1,1))-AVERAGE(OFFSET($H$3,0,0,'Données projet'!$E$10+1,1))</f>
        <v>279.20364724206644</v>
      </c>
      <c r="AO122" s="59">
        <f t="shared" si="90"/>
        <v>173.99850582760712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0</v>
      </c>
      <c r="AV122" s="21">
        <f>EXP(-LN(2)/25)*AV121+(1-EXP(-LN(2)/25))/(LN(2)/25)*Calculateur!AQ122*Calculateur!AS122*VLOOKUP('Données projet'!$B$10,Paramètres!$A$1:$I$89,3,0)*0.475*44/12</f>
        <v>0.29512865922737858</v>
      </c>
      <c r="AW122" s="21">
        <f>EXP(-LN(2)/2)*AW121+(1-EXP(-LN(2)/2))/(LN(2)/2)*AQ122*AT122*VLOOKUP('Données projet'!$B$10,Paramètres!$A$1:$I$89,3,0)*0.475*44/12</f>
        <v>2.7880171933862132E-13</v>
      </c>
      <c r="AX122" s="21">
        <f t="shared" si="60"/>
        <v>0.29512865922765735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-1.1368683772161603E-13</v>
      </c>
      <c r="BE122" s="13">
        <f>BD122*VLOOKUP('Données projet'!$B$11,Paramètres!$A$1:$I$89,3,0)*VLOOKUP('Données projet'!$B$11,Paramètres!$A$1:$I$89,5,0)</f>
        <v>-5.3205440053716299E-14</v>
      </c>
      <c r="BF122" s="13" t="e">
        <f t="shared" si="91"/>
        <v>#NUM!</v>
      </c>
      <c r="BG122" s="20" t="e">
        <f t="shared" si="61"/>
        <v>#NUM!</v>
      </c>
      <c r="BH122" s="59" t="e">
        <f t="shared" si="62"/>
        <v>#NUM!</v>
      </c>
      <c r="BI122" s="59">
        <f ca="1">AVERAGE(OFFSET($BH$3,0,0,'Données projet'!$E$11+1,1))-AVERAGE(OFFSET($H$3,0,0,'Données projet'!$E$11+1,1))</f>
        <v>215.23235148064941</v>
      </c>
      <c r="BJ122" s="59">
        <f t="shared" si="92"/>
        <v>184.07239726900434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0.5379021814034185</v>
      </c>
      <c r="BQ122" s="21">
        <f>EXP(-LN(2)/25)*BQ121+(1-EXP(-LN(2)/25))/(LN(2)/25)*Calculateur!BL122*Calculateur!BN122*VLOOKUP('Données projet'!$B$11,Paramètres!$A$1:$I$89,3,0)*0.475*44/12</f>
        <v>0.66604730854613392</v>
      </c>
      <c r="BR122" s="21">
        <f>EXP(-LN(2)/2)*BR121+(1-EXP(-LN(2)/2))/(LN(2)/2)*BL122*BO122*VLOOKUP('Données projet'!$B$11,Paramètres!$A$1:$I$89,3,0)*0.475*44/12</f>
        <v>3.9519810929051443E-13</v>
      </c>
      <c r="BS122" s="22">
        <f t="shared" si="63"/>
        <v>1.2039494899499477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 t="e">
        <f>BY122*VLOOKUP('Données projet'!$B$12,Paramètres!$A$1:$I$89,3,0)*VLOOKUP('Données projet'!$B$12,Paramètres!$A$1:$I$89,5,0)</f>
        <v>#N/A</v>
      </c>
      <c r="CA122" s="13" t="e">
        <f t="shared" si="93"/>
        <v>#N/A</v>
      </c>
      <c r="CB122" s="20" t="e">
        <f t="shared" si="64"/>
        <v>#N/A</v>
      </c>
      <c r="CC122" s="59" t="e">
        <f t="shared" si="65"/>
        <v>#N/A</v>
      </c>
      <c r="CD122" s="59" t="e">
        <f ca="1">AVERAGE(OFFSET($CC$3,0,0,'Données projet'!$E$12+1,1))-AVERAGE(OFFSET($H$3,0,0,'Données projet'!$E$12+1,1))</f>
        <v>#N/A</v>
      </c>
      <c r="CE122" s="59" t="e">
        <f t="shared" si="94"/>
        <v>#N/A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 t="e">
        <f>EXP(-LN(2)/35)*CK121+(1-EXP(-LN(2)/35))/(LN(2)/35)*CG122*CH122*VLOOKUP('Données projet'!$B$12,Paramètres!$A$1:$I$89,3,0)*0.475*44/12</f>
        <v>#N/A</v>
      </c>
      <c r="CL122" s="21" t="e">
        <f>EXP(-LN(2)/25)*CL121+(1-EXP(-LN(2)/25))/(LN(2)/25)*Calculateur!CG122*Calculateur!CI122*VLOOKUP('Données projet'!$B$12,Paramètres!$A$1:$I$89,3,0)*0.475*44/12</f>
        <v>#N/A</v>
      </c>
      <c r="CM122" s="21" t="e">
        <f>EXP(-LN(2)/2)*CM121+(1-EXP(-LN(2)/2))/(LN(2)/2)*CG122*CJ122*VLOOKUP('Données projet'!$B$12,Paramètres!$A$1:$I$89,3,0)*0.475*44/12</f>
        <v>#N/A</v>
      </c>
      <c r="CN122" s="22" t="e">
        <f t="shared" si="66"/>
        <v>#N/A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25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106.70400000000019</v>
      </c>
      <c r="D123" s="11">
        <f t="shared" si="86"/>
        <v>28.553051684335379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10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1044.0895217738187</v>
      </c>
      <c r="H123" s="67">
        <f t="shared" si="56"/>
        <v>528.90603168355119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-3.4106051316484809E-13</v>
      </c>
      <c r="O123" s="13">
        <f>N123*VLOOKUP('Données projet'!$B$9,Paramètres!$A$1:$I$89,3,0)*VLOOKUP('Données projet'!$B$9,Paramètres!$A$1:$I$89,5,0)</f>
        <v>-1.9065282685915009E-13</v>
      </c>
      <c r="P123" s="13" t="e">
        <f t="shared" si="87"/>
        <v>#NUM!</v>
      </c>
      <c r="Q123" s="20" t="e">
        <f t="shared" si="107"/>
        <v>#NUM!</v>
      </c>
      <c r="R123" s="59" t="e">
        <f t="shared" si="55"/>
        <v>#NUM!</v>
      </c>
      <c r="S123" s="59">
        <f ca="1">AVERAGE(OFFSET($R$3,0,0,'Données projet'!$E$9+1,1))-AVERAGE(OFFSET($H$3,0,0,'Données projet'!$E$9+1,1))</f>
        <v>279.98352834501759</v>
      </c>
      <c r="T123" s="59">
        <f t="shared" si="88"/>
        <v>281.30062655265488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0.67243730327612306</v>
      </c>
      <c r="AA123" s="21">
        <f>EXP(-LN(2)/25)*AA122+(1-EXP(-LN(2)/25))/(LN(2)/25)*Calculateur!V123*Calculateur!X123*VLOOKUP('Données projet'!$B$9,Paramètres!$A$1:$I$89,3,0)*0.475*44/12</f>
        <v>1.9979780273088323</v>
      </c>
      <c r="AB123" s="21">
        <f>EXP(-LN(2)/2)*AB122+(1-EXP(-LN(2)/2))/(LN(2)/2)*V123*Y123*VLOOKUP('Données projet'!$B$9,Paramètres!$A$1:$I$89,3,0)*0.475*44/12</f>
        <v>8.0482153566136731E-13</v>
      </c>
      <c r="AC123" s="22">
        <f t="shared" si="57"/>
        <v>2.6704153305857599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>
        <f>VLOOKUP(A123,'Données projet'!$A$61:$I$81,2,0)</f>
        <v>303</v>
      </c>
      <c r="AG123" s="12">
        <f>VLOOKUP(A123,'Données projet'!$A$61:$I$81,9,0)</f>
        <v>3.7</v>
      </c>
      <c r="AH123" s="12">
        <f t="array" ref="AH123">INDEX(AG:AG,MIN(IF(ISNUMBER(AG123:AG319),ROW(AG123:AG319),"")))</f>
        <v>3.7</v>
      </c>
      <c r="AI123" s="13">
        <f>IF('Données projet'!$A$62&gt;35,AI122+AH123-AQ122,IF(A123&lt;'Données projet'!$A$62,$AF$205^A123,IF(A123='Données projet'!$A$62,'Données projet'!$B$62,AI122+AH123-AQ122)))</f>
        <v>302.99999999999989</v>
      </c>
      <c r="AJ123" s="13">
        <f>AI123*VLOOKUP('Données projet'!$B$10,Paramètres!$A$1:$I$89,3,0)*VLOOKUP('Données projet'!$B$10,Paramètres!$A$1:$I$89,5,0)</f>
        <v>307.2419999999999</v>
      </c>
      <c r="AK123" s="13">
        <f t="shared" si="89"/>
        <v>72.692550770207774</v>
      </c>
      <c r="AL123" s="20">
        <f t="shared" si="58"/>
        <v>661.71934259144507</v>
      </c>
      <c r="AM123" s="59">
        <f t="shared" si="59"/>
        <v>955.05267592477844</v>
      </c>
      <c r="AN123" s="59">
        <f ca="1">AVERAGE(OFFSET($AM$3,0,0,'Données projet'!$E$10+1,1))-AVERAGE(OFFSET($H$3,0,0,'Données projet'!$E$10+1,1))</f>
        <v>279.20364724206644</v>
      </c>
      <c r="AO123" s="59">
        <f t="shared" si="90"/>
        <v>173.99850582760712</v>
      </c>
      <c r="AP123" s="15">
        <f>IF(ISNA(VLOOKUP(A123,'Données projet'!$A$61:$I$81,3,0)),0,VLOOKUP(A123,'Données projet'!$A$61:$I$81,3,0))</f>
        <v>10</v>
      </c>
      <c r="AQ123" s="15">
        <f>IF(ISNA(VLOOKUP(A123,'Données projet'!$A$61:$I$81,4,0)),0,VLOOKUP(A123,'Données projet'!$A$61:$I$81,4,0))</f>
        <v>303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0</v>
      </c>
      <c r="AV123" s="21">
        <f>EXP(-LN(2)/25)*AV122+(1-EXP(-LN(2)/25))/(LN(2)/25)*Calculateur!AQ123*Calculateur!AS123*VLOOKUP('Données projet'!$B$10,Paramètres!$A$1:$I$89,3,0)*0.475*44/12</f>
        <v>0.28705835052066425</v>
      </c>
      <c r="AW123" s="21">
        <f>EXP(-LN(2)/2)*AW122+(1-EXP(-LN(2)/2))/(LN(2)/2)*AQ123*AT123*VLOOKUP('Données projet'!$B$10,Paramètres!$A$1:$I$89,3,0)*0.475*44/12</f>
        <v>1.9714258635080774E-13</v>
      </c>
      <c r="AX123" s="21">
        <f t="shared" si="60"/>
        <v>0.28705835052086137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-1.1368683772161603E-13</v>
      </c>
      <c r="BE123" s="13">
        <f>BD123*VLOOKUP('Données projet'!$B$11,Paramètres!$A$1:$I$89,3,0)*VLOOKUP('Données projet'!$B$11,Paramètres!$A$1:$I$89,5,0)</f>
        <v>-5.3205440053716299E-14</v>
      </c>
      <c r="BF123" s="13" t="e">
        <f t="shared" si="91"/>
        <v>#NUM!</v>
      </c>
      <c r="BG123" s="20" t="e">
        <f t="shared" si="61"/>
        <v>#NUM!</v>
      </c>
      <c r="BH123" s="59" t="e">
        <f t="shared" si="62"/>
        <v>#NUM!</v>
      </c>
      <c r="BI123" s="59">
        <f ca="1">AVERAGE(OFFSET($BH$3,0,0,'Données projet'!$E$11+1,1))-AVERAGE(OFFSET($H$3,0,0,'Données projet'!$E$11+1,1))</f>
        <v>215.23235148064941</v>
      </c>
      <c r="BJ123" s="59">
        <f t="shared" si="92"/>
        <v>184.07239726900434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0.52735424771403216</v>
      </c>
      <c r="BQ123" s="21">
        <f>EXP(-LN(2)/25)*BQ122+(1-EXP(-LN(2)/25))/(LN(2)/25)*Calculateur!BL123*Calculateur!BN123*VLOOKUP('Données projet'!$B$11,Paramètres!$A$1:$I$89,3,0)*0.475*44/12</f>
        <v>0.64783420986803419</v>
      </c>
      <c r="BR123" s="21">
        <f>EXP(-LN(2)/2)*BR122+(1-EXP(-LN(2)/2))/(LN(2)/2)*BL123*BO123*VLOOKUP('Données projet'!$B$11,Paramètres!$A$1:$I$89,3,0)*0.475*44/12</f>
        <v>2.7944726299142507E-13</v>
      </c>
      <c r="BS123" s="22">
        <f t="shared" si="63"/>
        <v>1.1751884575823459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 t="e">
        <f>BY123*VLOOKUP('Données projet'!$B$12,Paramètres!$A$1:$I$89,3,0)*VLOOKUP('Données projet'!$B$12,Paramètres!$A$1:$I$89,5,0)</f>
        <v>#N/A</v>
      </c>
      <c r="CA123" s="13" t="e">
        <f t="shared" si="93"/>
        <v>#N/A</v>
      </c>
      <c r="CB123" s="20" t="e">
        <f t="shared" si="64"/>
        <v>#N/A</v>
      </c>
      <c r="CC123" s="59" t="e">
        <f t="shared" si="65"/>
        <v>#N/A</v>
      </c>
      <c r="CD123" s="59" t="e">
        <f ca="1">AVERAGE(OFFSET($CC$3,0,0,'Données projet'!$E$12+1,1))-AVERAGE(OFFSET($H$3,0,0,'Données projet'!$E$12+1,1))</f>
        <v>#N/A</v>
      </c>
      <c r="CE123" s="59" t="e">
        <f t="shared" si="94"/>
        <v>#N/A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 t="e">
        <f>EXP(-LN(2)/35)*CK122+(1-EXP(-LN(2)/35))/(LN(2)/35)*CG123*CH123*VLOOKUP('Données projet'!$B$12,Paramètres!$A$1:$I$89,3,0)*0.475*44/12</f>
        <v>#N/A</v>
      </c>
      <c r="CL123" s="21" t="e">
        <f>EXP(-LN(2)/25)*CL122+(1-EXP(-LN(2)/25))/(LN(2)/25)*Calculateur!CG123*Calculateur!CI123*VLOOKUP('Données projet'!$B$12,Paramètres!$A$1:$I$89,3,0)*0.475*44/12</f>
        <v>#N/A</v>
      </c>
      <c r="CM123" s="21" t="e">
        <f>EXP(-LN(2)/2)*CM122+(1-EXP(-LN(2)/2))/(LN(2)/2)*CG123*CJ123*VLOOKUP('Données projet'!$B$12,Paramètres!$A$1:$I$89,3,0)*0.475*44/12</f>
        <v>#N/A</v>
      </c>
      <c r="CN123" s="22" t="e">
        <f t="shared" si="66"/>
        <v>#N/A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25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107.59320000000019</v>
      </c>
      <c r="D124" s="11">
        <f t="shared" si="86"/>
        <v>28.763195667267546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10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1052.5756858525931</v>
      </c>
      <c r="H124" s="67">
        <f t="shared" si="56"/>
        <v>530.8207224538246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-3.4106051316484809E-13</v>
      </c>
      <c r="O124" s="13">
        <f>N124*VLOOKUP('Données projet'!$B$9,Paramètres!$A$1:$I$89,3,0)*VLOOKUP('Données projet'!$B$9,Paramètres!$A$1:$I$89,5,0)</f>
        <v>-1.9065282685915009E-13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279.98352834501759</v>
      </c>
      <c r="T124" s="59">
        <f t="shared" si="88"/>
        <v>281.30062655265488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0.65925121790513475</v>
      </c>
      <c r="AA124" s="21">
        <f>EXP(-LN(2)/25)*AA123+(1-EXP(-LN(2)/25))/(LN(2)/25)*Calculateur!V124*Calculateur!X124*VLOOKUP('Données projet'!$B$9,Paramètres!$A$1:$I$89,3,0)*0.475*44/12</f>
        <v>1.9433432130829742</v>
      </c>
      <c r="AB124" s="21">
        <f>EXP(-LN(2)/2)*AB123+(1-EXP(-LN(2)/2))/(LN(2)/2)*V124*Y124*VLOOKUP('Données projet'!$B$9,Paramètres!$A$1:$I$89,3,0)*0.475*44/12</f>
        <v>5.690947655111236E-13</v>
      </c>
      <c r="AC124" s="22">
        <f t="shared" si="57"/>
        <v>2.6025944309886779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-1.1368683772161603E-13</v>
      </c>
      <c r="AJ124" s="13">
        <f>AI124*VLOOKUP('Données projet'!$B$10,Paramètres!$A$1:$I$89,3,0)*VLOOKUP('Données projet'!$B$10,Paramètres!$A$1:$I$89,5,0)</f>
        <v>-1.1527845344971866E-13</v>
      </c>
      <c r="AK124" s="13" t="e">
        <f t="shared" si="89"/>
        <v>#NUM!</v>
      </c>
      <c r="AL124" s="20" t="e">
        <f t="shared" si="58"/>
        <v>#NUM!</v>
      </c>
      <c r="AM124" s="59" t="e">
        <f t="shared" si="59"/>
        <v>#NUM!</v>
      </c>
      <c r="AN124" s="59">
        <f ca="1">AVERAGE(OFFSET($AM$3,0,0,'Données projet'!$E$10+1,1))-AVERAGE(OFFSET($H$3,0,0,'Données projet'!$E$10+1,1))</f>
        <v>279.20364724206644</v>
      </c>
      <c r="AO124" s="59">
        <f t="shared" si="90"/>
        <v>173.99850582760712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0</v>
      </c>
      <c r="AV124" s="21">
        <f>EXP(-LN(2)/25)*AV123+(1-EXP(-LN(2)/25))/(LN(2)/25)*Calculateur!AQ124*Calculateur!AS124*VLOOKUP('Données projet'!$B$10,Paramètres!$A$1:$I$89,3,0)*0.475*44/12</f>
        <v>0.27920872482993414</v>
      </c>
      <c r="AW124" s="21">
        <f>EXP(-LN(2)/2)*AW123+(1-EXP(-LN(2)/2))/(LN(2)/2)*AQ124*AT124*VLOOKUP('Données projet'!$B$10,Paramètres!$A$1:$I$89,3,0)*0.475*44/12</f>
        <v>1.3940085966931066E-13</v>
      </c>
      <c r="AX124" s="21">
        <f t="shared" si="60"/>
        <v>0.27920872483007353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-1.1368683772161603E-13</v>
      </c>
      <c r="BE124" s="13">
        <f>BD124*VLOOKUP('Données projet'!$B$11,Paramètres!$A$1:$I$89,3,0)*VLOOKUP('Données projet'!$B$11,Paramètres!$A$1:$I$89,5,0)</f>
        <v>-5.3205440053716299E-14</v>
      </c>
      <c r="BF124" s="13" t="e">
        <f t="shared" si="91"/>
        <v>#NUM!</v>
      </c>
      <c r="BG124" s="20" t="e">
        <f t="shared" si="61"/>
        <v>#NUM!</v>
      </c>
      <c r="BH124" s="59" t="e">
        <f t="shared" si="62"/>
        <v>#NUM!</v>
      </c>
      <c r="BI124" s="59">
        <f ca="1">AVERAGE(OFFSET($BH$3,0,0,'Données projet'!$E$11+1,1))-AVERAGE(OFFSET($H$3,0,0,'Données projet'!$E$11+1,1))</f>
        <v>215.23235148064941</v>
      </c>
      <c r="BJ124" s="59">
        <f t="shared" si="92"/>
        <v>184.07239726900434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0.51701315257069036</v>
      </c>
      <c r="BQ124" s="21">
        <f>EXP(-LN(2)/25)*BQ123+(1-EXP(-LN(2)/25))/(LN(2)/25)*Calculateur!BL124*Calculateur!BN124*VLOOKUP('Données projet'!$B$11,Paramètres!$A$1:$I$89,3,0)*0.475*44/12</f>
        <v>0.63011914933107238</v>
      </c>
      <c r="BR124" s="21">
        <f>EXP(-LN(2)/2)*BR123+(1-EXP(-LN(2)/2))/(LN(2)/2)*BL124*BO124*VLOOKUP('Données projet'!$B$11,Paramètres!$A$1:$I$89,3,0)*0.475*44/12</f>
        <v>1.9759905464525721E-13</v>
      </c>
      <c r="BS124" s="22">
        <f t="shared" si="63"/>
        <v>1.1471323019019604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 t="e">
        <f>BY124*VLOOKUP('Données projet'!$B$12,Paramètres!$A$1:$I$89,3,0)*VLOOKUP('Données projet'!$B$12,Paramètres!$A$1:$I$89,5,0)</f>
        <v>#N/A</v>
      </c>
      <c r="CA124" s="13" t="e">
        <f t="shared" si="93"/>
        <v>#N/A</v>
      </c>
      <c r="CB124" s="20" t="e">
        <f t="shared" si="64"/>
        <v>#N/A</v>
      </c>
      <c r="CC124" s="59" t="e">
        <f t="shared" si="65"/>
        <v>#N/A</v>
      </c>
      <c r="CD124" s="59" t="e">
        <f ca="1">AVERAGE(OFFSET($CC$3,0,0,'Données projet'!$E$12+1,1))-AVERAGE(OFFSET($H$3,0,0,'Données projet'!$E$12+1,1))</f>
        <v>#N/A</v>
      </c>
      <c r="CE124" s="59" t="e">
        <f t="shared" si="94"/>
        <v>#N/A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 t="e">
        <f>EXP(-LN(2)/35)*CK123+(1-EXP(-LN(2)/35))/(LN(2)/35)*CG124*CH124*VLOOKUP('Données projet'!$B$12,Paramètres!$A$1:$I$89,3,0)*0.475*44/12</f>
        <v>#N/A</v>
      </c>
      <c r="CL124" s="21" t="e">
        <f>EXP(-LN(2)/25)*CL123+(1-EXP(-LN(2)/25))/(LN(2)/25)*Calculateur!CG124*Calculateur!CI124*VLOOKUP('Données projet'!$B$12,Paramètres!$A$1:$I$89,3,0)*0.475*44/12</f>
        <v>#N/A</v>
      </c>
      <c r="CM124" s="21" t="e">
        <f>EXP(-LN(2)/2)*CM123+(1-EXP(-LN(2)/2))/(LN(2)/2)*CG124*CJ124*VLOOKUP('Données projet'!$B$12,Paramètres!$A$1:$I$89,3,0)*0.475*44/12</f>
        <v>#N/A</v>
      </c>
      <c r="CN124" s="22" t="e">
        <f t="shared" si="66"/>
        <v>#N/A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25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108.4824000000002</v>
      </c>
      <c r="D125" s="11">
        <f t="shared" si="86"/>
        <v>28.973137589932421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10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1061.060290167901</v>
      </c>
      <c r="H125" s="67">
        <f t="shared" si="56"/>
        <v>532.73506130246597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-3.4106051316484809E-13</v>
      </c>
      <c r="O125" s="13">
        <f>N125*VLOOKUP('Données projet'!$B$9,Paramètres!$A$1:$I$89,3,0)*VLOOKUP('Données projet'!$B$9,Paramètres!$A$1:$I$89,5,0)</f>
        <v>-1.9065282685915009E-13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279.98352834501759</v>
      </c>
      <c r="T125" s="59">
        <f t="shared" si="88"/>
        <v>281.30062655265488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0.64632370362555358</v>
      </c>
      <c r="AA125" s="21">
        <f>EXP(-LN(2)/25)*AA124+(1-EXP(-LN(2)/25))/(LN(2)/25)*Calculateur!V125*Calculateur!X125*VLOOKUP('Données projet'!$B$9,Paramètres!$A$1:$I$89,3,0)*0.475*44/12</f>
        <v>1.8902023907252423</v>
      </c>
      <c r="AB125" s="21">
        <f>EXP(-LN(2)/2)*AB124+(1-EXP(-LN(2)/2))/(LN(2)/2)*V125*Y125*VLOOKUP('Données projet'!$B$9,Paramètres!$A$1:$I$89,3,0)*0.475*44/12</f>
        <v>4.0241076783068365E-13</v>
      </c>
      <c r="AC125" s="22">
        <f t="shared" si="57"/>
        <v>2.5365260943511982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-1.1368683772161603E-13</v>
      </c>
      <c r="AJ125" s="13">
        <f>AI125*VLOOKUP('Données projet'!$B$10,Paramètres!$A$1:$I$89,3,0)*VLOOKUP('Données projet'!$B$10,Paramètres!$A$1:$I$89,5,0)</f>
        <v>-1.1527845344971866E-13</v>
      </c>
      <c r="AK125" s="13" t="e">
        <f t="shared" si="89"/>
        <v>#NUM!</v>
      </c>
      <c r="AL125" s="20" t="e">
        <f t="shared" si="58"/>
        <v>#NUM!</v>
      </c>
      <c r="AM125" s="59" t="e">
        <f t="shared" si="59"/>
        <v>#NUM!</v>
      </c>
      <c r="AN125" s="59">
        <f ca="1">AVERAGE(OFFSET($AM$3,0,0,'Données projet'!$E$10+1,1))-AVERAGE(OFFSET($H$3,0,0,'Données projet'!$E$10+1,1))</f>
        <v>279.20364724206644</v>
      </c>
      <c r="AO125" s="59">
        <f t="shared" si="90"/>
        <v>173.99850582760712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0</v>
      </c>
      <c r="AV125" s="21">
        <f>EXP(-LN(2)/25)*AV124+(1-EXP(-LN(2)/25))/(LN(2)/25)*Calculateur!AQ125*Calculateur!AS125*VLOOKUP('Données projet'!$B$10,Paramètres!$A$1:$I$89,3,0)*0.475*44/12</f>
        <v>0.27157374756651087</v>
      </c>
      <c r="AW125" s="21">
        <f>EXP(-LN(2)/2)*AW124+(1-EXP(-LN(2)/2))/(LN(2)/2)*AQ125*AT125*VLOOKUP('Données projet'!$B$10,Paramètres!$A$1:$I$89,3,0)*0.475*44/12</f>
        <v>9.857129317540387E-14</v>
      </c>
      <c r="AX125" s="21">
        <f t="shared" si="60"/>
        <v>0.27157374756660946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-1.1368683772161603E-13</v>
      </c>
      <c r="BE125" s="13">
        <f>BD125*VLOOKUP('Données projet'!$B$11,Paramètres!$A$1:$I$89,3,0)*VLOOKUP('Données projet'!$B$11,Paramètres!$A$1:$I$89,5,0)</f>
        <v>-5.3205440053716299E-14</v>
      </c>
      <c r="BF125" s="13" t="e">
        <f t="shared" si="91"/>
        <v>#NUM!</v>
      </c>
      <c r="BG125" s="20" t="e">
        <f t="shared" si="61"/>
        <v>#NUM!</v>
      </c>
      <c r="BH125" s="59" t="e">
        <f t="shared" si="62"/>
        <v>#NUM!</v>
      </c>
      <c r="BI125" s="59">
        <f ca="1">AVERAGE(OFFSET($BH$3,0,0,'Données projet'!$E$11+1,1))-AVERAGE(OFFSET($H$3,0,0,'Données projet'!$E$11+1,1))</f>
        <v>215.23235148064941</v>
      </c>
      <c r="BJ125" s="59">
        <f t="shared" si="92"/>
        <v>184.07239726900434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0.50687483999566429</v>
      </c>
      <c r="BQ125" s="21">
        <f>EXP(-LN(2)/25)*BQ124+(1-EXP(-LN(2)/25))/(LN(2)/25)*Calculateur!BL125*Calculateur!BN125*VLOOKUP('Données projet'!$B$11,Paramètres!$A$1:$I$89,3,0)*0.475*44/12</f>
        <v>0.6128885080560883</v>
      </c>
      <c r="BR125" s="21">
        <f>EXP(-LN(2)/2)*BR124+(1-EXP(-LN(2)/2))/(LN(2)/2)*BL125*BO125*VLOOKUP('Données projet'!$B$11,Paramètres!$A$1:$I$89,3,0)*0.475*44/12</f>
        <v>1.3972363149571254E-13</v>
      </c>
      <c r="BS125" s="22">
        <f t="shared" si="63"/>
        <v>1.1197633480518923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 t="e">
        <f>BY125*VLOOKUP('Données projet'!$B$12,Paramètres!$A$1:$I$89,3,0)*VLOOKUP('Données projet'!$B$12,Paramètres!$A$1:$I$89,5,0)</f>
        <v>#N/A</v>
      </c>
      <c r="CA125" s="13" t="e">
        <f t="shared" si="93"/>
        <v>#N/A</v>
      </c>
      <c r="CB125" s="20" t="e">
        <f t="shared" si="64"/>
        <v>#N/A</v>
      </c>
      <c r="CC125" s="59" t="e">
        <f t="shared" si="65"/>
        <v>#N/A</v>
      </c>
      <c r="CD125" s="59" t="e">
        <f ca="1">AVERAGE(OFFSET($CC$3,0,0,'Données projet'!$E$12+1,1))-AVERAGE(OFFSET($H$3,0,0,'Données projet'!$E$12+1,1))</f>
        <v>#N/A</v>
      </c>
      <c r="CE125" s="59" t="e">
        <f t="shared" si="94"/>
        <v>#N/A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 t="e">
        <f>EXP(-LN(2)/35)*CK124+(1-EXP(-LN(2)/35))/(LN(2)/35)*CG125*CH125*VLOOKUP('Données projet'!$B$12,Paramètres!$A$1:$I$89,3,0)*0.475*44/12</f>
        <v>#N/A</v>
      </c>
      <c r="CL125" s="21" t="e">
        <f>EXP(-LN(2)/25)*CL124+(1-EXP(-LN(2)/25))/(LN(2)/25)*Calculateur!CG125*Calculateur!CI125*VLOOKUP('Données projet'!$B$12,Paramètres!$A$1:$I$89,3,0)*0.475*44/12</f>
        <v>#N/A</v>
      </c>
      <c r="CM125" s="21" t="e">
        <f>EXP(-LN(2)/2)*CM124+(1-EXP(-LN(2)/2))/(LN(2)/2)*CG125*CJ125*VLOOKUP('Données projet'!$B$12,Paramètres!$A$1:$I$89,3,0)*0.475*44/12</f>
        <v>#N/A</v>
      </c>
      <c r="CN125" s="22" t="e">
        <f t="shared" si="66"/>
        <v>#N/A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25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109.3716000000002</v>
      </c>
      <c r="D126" s="11">
        <f t="shared" si="86"/>
        <v>29.182879300506769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10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1069.5433489863697</v>
      </c>
      <c r="H126" s="67">
        <f t="shared" si="56"/>
        <v>534.64905144838292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-3.4106051316484809E-13</v>
      </c>
      <c r="O126" s="13">
        <f>N126*VLOOKUP('Données projet'!$B$9,Paramètres!$A$1:$I$89,3,0)*VLOOKUP('Données projet'!$B$9,Paramètres!$A$1:$I$89,5,0)</f>
        <v>-1.9065282685915009E-13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279.98352834501759</v>
      </c>
      <c r="T126" s="59">
        <f t="shared" si="88"/>
        <v>281.30062655265488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0.63364969001598981</v>
      </c>
      <c r="AA126" s="21">
        <f>EXP(-LN(2)/25)*AA125+(1-EXP(-LN(2)/25))/(LN(2)/25)*Calculateur!V126*Calculateur!X126*VLOOKUP('Données projet'!$B$9,Paramètres!$A$1:$I$89,3,0)*0.475*44/12</f>
        <v>1.838514706949437</v>
      </c>
      <c r="AB126" s="21">
        <f>EXP(-LN(2)/2)*AB125+(1-EXP(-LN(2)/2))/(LN(2)/2)*V126*Y126*VLOOKUP('Données projet'!$B$9,Paramètres!$A$1:$I$89,3,0)*0.475*44/12</f>
        <v>2.845473827555618E-13</v>
      </c>
      <c r="AC126" s="22">
        <f t="shared" si="57"/>
        <v>2.4721643969657117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-1.1368683772161603E-13</v>
      </c>
      <c r="AJ126" s="13">
        <f>AI126*VLOOKUP('Données projet'!$B$10,Paramètres!$A$1:$I$89,3,0)*VLOOKUP('Données projet'!$B$10,Paramètres!$A$1:$I$89,5,0)</f>
        <v>-1.1527845344971866E-13</v>
      </c>
      <c r="AK126" s="13" t="e">
        <f t="shared" si="89"/>
        <v>#NUM!</v>
      </c>
      <c r="AL126" s="20" t="e">
        <f t="shared" si="58"/>
        <v>#NUM!</v>
      </c>
      <c r="AM126" s="59" t="e">
        <f t="shared" si="59"/>
        <v>#NUM!</v>
      </c>
      <c r="AN126" s="59">
        <f ca="1">AVERAGE(OFFSET($AM$3,0,0,'Données projet'!$E$10+1,1))-AVERAGE(OFFSET($H$3,0,0,'Données projet'!$E$10+1,1))</f>
        <v>279.20364724206644</v>
      </c>
      <c r="AO126" s="59">
        <f t="shared" si="90"/>
        <v>173.99850582760712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0</v>
      </c>
      <c r="AV126" s="21">
        <f>EXP(-LN(2)/25)*AV125+(1-EXP(-LN(2)/25))/(LN(2)/25)*Calculateur!AQ126*Calculateur!AS126*VLOOKUP('Données projet'!$B$10,Paramètres!$A$1:$I$89,3,0)*0.475*44/12</f>
        <v>0.26414754915786193</v>
      </c>
      <c r="AW126" s="21">
        <f>EXP(-LN(2)/2)*AW125+(1-EXP(-LN(2)/2))/(LN(2)/2)*AQ126*AT126*VLOOKUP('Données projet'!$B$10,Paramètres!$A$1:$I$89,3,0)*0.475*44/12</f>
        <v>6.9700429834655329E-14</v>
      </c>
      <c r="AX126" s="21">
        <f t="shared" si="60"/>
        <v>0.26414754915793165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-1.1368683772161603E-13</v>
      </c>
      <c r="BE126" s="13">
        <f>BD126*VLOOKUP('Données projet'!$B$11,Paramètres!$A$1:$I$89,3,0)*VLOOKUP('Données projet'!$B$11,Paramètres!$A$1:$I$89,5,0)</f>
        <v>-5.3205440053716299E-14</v>
      </c>
      <c r="BF126" s="13" t="e">
        <f t="shared" si="91"/>
        <v>#NUM!</v>
      </c>
      <c r="BG126" s="20" t="e">
        <f t="shared" si="61"/>
        <v>#NUM!</v>
      </c>
      <c r="BH126" s="59" t="e">
        <f t="shared" si="62"/>
        <v>#NUM!</v>
      </c>
      <c r="BI126" s="59">
        <f ca="1">AVERAGE(OFFSET($BH$3,0,0,'Données projet'!$E$11+1,1))-AVERAGE(OFFSET($H$3,0,0,'Données projet'!$E$11+1,1))</f>
        <v>215.23235148064941</v>
      </c>
      <c r="BJ126" s="59">
        <f t="shared" si="92"/>
        <v>184.07239726900434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0.4969353335464744</v>
      </c>
      <c r="BQ126" s="21">
        <f>EXP(-LN(2)/25)*BQ125+(1-EXP(-LN(2)/25))/(LN(2)/25)*Calculateur!BL126*Calculateur!BN126*VLOOKUP('Données projet'!$B$11,Paramètres!$A$1:$I$89,3,0)*0.475*44/12</f>
        <v>0.59612903957288865</v>
      </c>
      <c r="BR126" s="21">
        <f>EXP(-LN(2)/2)*BR125+(1-EXP(-LN(2)/2))/(LN(2)/2)*BL126*BO126*VLOOKUP('Données projet'!$B$11,Paramètres!$A$1:$I$89,3,0)*0.475*44/12</f>
        <v>9.8799527322628607E-14</v>
      </c>
      <c r="BS126" s="22">
        <f t="shared" si="63"/>
        <v>1.0930643731194618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 t="e">
        <f>BY126*VLOOKUP('Données projet'!$B$12,Paramètres!$A$1:$I$89,3,0)*VLOOKUP('Données projet'!$B$12,Paramètres!$A$1:$I$89,5,0)</f>
        <v>#N/A</v>
      </c>
      <c r="CA126" s="13" t="e">
        <f t="shared" si="93"/>
        <v>#N/A</v>
      </c>
      <c r="CB126" s="20" t="e">
        <f t="shared" si="64"/>
        <v>#N/A</v>
      </c>
      <c r="CC126" s="59" t="e">
        <f t="shared" si="65"/>
        <v>#N/A</v>
      </c>
      <c r="CD126" s="59" t="e">
        <f ca="1">AVERAGE(OFFSET($CC$3,0,0,'Données projet'!$E$12+1,1))-AVERAGE(OFFSET($H$3,0,0,'Données projet'!$E$12+1,1))</f>
        <v>#N/A</v>
      </c>
      <c r="CE126" s="59" t="e">
        <f t="shared" si="94"/>
        <v>#N/A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 t="e">
        <f>EXP(-LN(2)/35)*CK125+(1-EXP(-LN(2)/35))/(LN(2)/35)*CG126*CH126*VLOOKUP('Données projet'!$B$12,Paramètres!$A$1:$I$89,3,0)*0.475*44/12</f>
        <v>#N/A</v>
      </c>
      <c r="CL126" s="21" t="e">
        <f>EXP(-LN(2)/25)*CL125+(1-EXP(-LN(2)/25))/(LN(2)/25)*Calculateur!CG126*Calculateur!CI126*VLOOKUP('Données projet'!$B$12,Paramètres!$A$1:$I$89,3,0)*0.475*44/12</f>
        <v>#N/A</v>
      </c>
      <c r="CM126" s="21" t="e">
        <f>EXP(-LN(2)/2)*CM125+(1-EXP(-LN(2)/2))/(LN(2)/2)*CG126*CJ126*VLOOKUP('Données projet'!$B$12,Paramètres!$A$1:$I$89,3,0)*0.475*44/12</f>
        <v>#N/A</v>
      </c>
      <c r="CN126" s="22" t="e">
        <f t="shared" si="66"/>
        <v>#N/A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25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110.2608000000002</v>
      </c>
      <c r="D127" s="11">
        <f t="shared" si="86"/>
        <v>29.392422615380852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10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1078.0248763292573</v>
      </c>
      <c r="H127" s="67">
        <f t="shared" si="56"/>
        <v>536.56269605512193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-3.4106051316484809E-13</v>
      </c>
      <c r="O127" s="13">
        <f>N127*VLOOKUP('Données projet'!$B$9,Paramètres!$A$1:$I$89,3,0)*VLOOKUP('Données projet'!$B$9,Paramètres!$A$1:$I$89,5,0)</f>
        <v>-1.9065282685915009E-13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279.98352834501759</v>
      </c>
      <c r="T127" s="59">
        <f t="shared" si="88"/>
        <v>281.30062655265488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0.62122420608292461</v>
      </c>
      <c r="AA127" s="21">
        <f>EXP(-LN(2)/25)*AA126+(1-EXP(-LN(2)/25))/(LN(2)/25)*Calculateur!V127*Calculateur!X127*VLOOKUP('Données projet'!$B$9,Paramètres!$A$1:$I$89,3,0)*0.475*44/12</f>
        <v>1.7882404256046183</v>
      </c>
      <c r="AB127" s="21">
        <f>EXP(-LN(2)/2)*AB126+(1-EXP(-LN(2)/2))/(LN(2)/2)*V127*Y127*VLOOKUP('Données projet'!$B$9,Paramètres!$A$1:$I$89,3,0)*0.475*44/12</f>
        <v>2.0120538391534183E-13</v>
      </c>
      <c r="AC127" s="22">
        <f t="shared" si="57"/>
        <v>2.4094646316877442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-1.1368683772161603E-13</v>
      </c>
      <c r="AJ127" s="13">
        <f>AI127*VLOOKUP('Données projet'!$B$10,Paramètres!$A$1:$I$89,3,0)*VLOOKUP('Données projet'!$B$10,Paramètres!$A$1:$I$89,5,0)</f>
        <v>-1.1527845344971866E-13</v>
      </c>
      <c r="AK127" s="13" t="e">
        <f t="shared" si="89"/>
        <v>#NUM!</v>
      </c>
      <c r="AL127" s="20" t="e">
        <f t="shared" si="58"/>
        <v>#NUM!</v>
      </c>
      <c r="AM127" s="59" t="e">
        <f t="shared" si="59"/>
        <v>#NUM!</v>
      </c>
      <c r="AN127" s="59">
        <f ca="1">AVERAGE(OFFSET($AM$3,0,0,'Données projet'!$E$10+1,1))-AVERAGE(OFFSET($H$3,0,0,'Données projet'!$E$10+1,1))</f>
        <v>279.20364724206644</v>
      </c>
      <c r="AO127" s="59">
        <f t="shared" si="90"/>
        <v>173.99850582760712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0</v>
      </c>
      <c r="AV127" s="21">
        <f>EXP(-LN(2)/25)*AV126+(1-EXP(-LN(2)/25))/(LN(2)/25)*Calculateur!AQ127*Calculateur!AS127*VLOOKUP('Données projet'!$B$10,Paramètres!$A$1:$I$89,3,0)*0.475*44/12</f>
        <v>0.2569244205352243</v>
      </c>
      <c r="AW127" s="21">
        <f>EXP(-LN(2)/2)*AW126+(1-EXP(-LN(2)/2))/(LN(2)/2)*AQ127*AT127*VLOOKUP('Données projet'!$B$10,Paramètres!$A$1:$I$89,3,0)*0.475*44/12</f>
        <v>4.9285646587701935E-14</v>
      </c>
      <c r="AX127" s="21">
        <f t="shared" si="60"/>
        <v>0.25692442053527359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-1.1368683772161603E-13</v>
      </c>
      <c r="BE127" s="13">
        <f>BD127*VLOOKUP('Données projet'!$B$11,Paramètres!$A$1:$I$89,3,0)*VLOOKUP('Données projet'!$B$11,Paramètres!$A$1:$I$89,5,0)</f>
        <v>-5.3205440053716299E-14</v>
      </c>
      <c r="BF127" s="13" t="e">
        <f t="shared" si="91"/>
        <v>#NUM!</v>
      </c>
      <c r="BG127" s="20" t="e">
        <f t="shared" si="61"/>
        <v>#NUM!</v>
      </c>
      <c r="BH127" s="59" t="e">
        <f t="shared" si="62"/>
        <v>#NUM!</v>
      </c>
      <c r="BI127" s="59">
        <f ca="1">AVERAGE(OFFSET($BH$3,0,0,'Données projet'!$E$11+1,1))-AVERAGE(OFFSET($H$3,0,0,'Données projet'!$E$11+1,1))</f>
        <v>215.23235148064941</v>
      </c>
      <c r="BJ127" s="59">
        <f t="shared" si="92"/>
        <v>184.07239726900434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0.4871907347562528</v>
      </c>
      <c r="BQ127" s="21">
        <f>EXP(-LN(2)/25)*BQ126+(1-EXP(-LN(2)/25))/(LN(2)/25)*Calculateur!BL127*Calculateur!BN127*VLOOKUP('Données projet'!$B$11,Paramètres!$A$1:$I$89,3,0)*0.475*44/12</f>
        <v>0.57982785963670425</v>
      </c>
      <c r="BR127" s="21">
        <f>EXP(-LN(2)/2)*BR126+(1-EXP(-LN(2)/2))/(LN(2)/2)*BL127*BO127*VLOOKUP('Données projet'!$B$11,Paramètres!$A$1:$I$89,3,0)*0.475*44/12</f>
        <v>6.9861815747856269E-14</v>
      </c>
      <c r="BS127" s="22">
        <f t="shared" si="63"/>
        <v>1.067018594393027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 t="e">
        <f>BY127*VLOOKUP('Données projet'!$B$12,Paramètres!$A$1:$I$89,3,0)*VLOOKUP('Données projet'!$B$12,Paramètres!$A$1:$I$89,5,0)</f>
        <v>#N/A</v>
      </c>
      <c r="CA127" s="13" t="e">
        <f t="shared" si="93"/>
        <v>#N/A</v>
      </c>
      <c r="CB127" s="20" t="e">
        <f t="shared" si="64"/>
        <v>#N/A</v>
      </c>
      <c r="CC127" s="59" t="e">
        <f t="shared" si="65"/>
        <v>#N/A</v>
      </c>
      <c r="CD127" s="59" t="e">
        <f ca="1">AVERAGE(OFFSET($CC$3,0,0,'Données projet'!$E$12+1,1))-AVERAGE(OFFSET($H$3,0,0,'Données projet'!$E$12+1,1))</f>
        <v>#N/A</v>
      </c>
      <c r="CE127" s="59" t="e">
        <f t="shared" si="94"/>
        <v>#N/A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 t="e">
        <f>EXP(-LN(2)/35)*CK126+(1-EXP(-LN(2)/35))/(LN(2)/35)*CG127*CH127*VLOOKUP('Données projet'!$B$12,Paramètres!$A$1:$I$89,3,0)*0.475*44/12</f>
        <v>#N/A</v>
      </c>
      <c r="CL127" s="21" t="e">
        <f>EXP(-LN(2)/25)*CL126+(1-EXP(-LN(2)/25))/(LN(2)/25)*Calculateur!CG127*Calculateur!CI127*VLOOKUP('Données projet'!$B$12,Paramètres!$A$1:$I$89,3,0)*0.475*44/12</f>
        <v>#N/A</v>
      </c>
      <c r="CM127" s="21" t="e">
        <f>EXP(-LN(2)/2)*CM126+(1-EXP(-LN(2)/2))/(LN(2)/2)*CG127*CJ127*VLOOKUP('Données projet'!$B$12,Paramètres!$A$1:$I$89,3,0)*0.475*44/12</f>
        <v>#N/A</v>
      </c>
      <c r="CN127" s="22" t="e">
        <f t="shared" si="66"/>
        <v>#N/A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25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111.1500000000002</v>
      </c>
      <c r="D128" s="11">
        <f t="shared" si="86"/>
        <v>29.601769319956595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10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1086.5048859786139</v>
      </c>
      <c r="H128" s="67">
        <f t="shared" si="56"/>
        <v>538.47599823225801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-3.4106051316484809E-13</v>
      </c>
      <c r="O128" s="13">
        <f>N128*VLOOKUP('Données projet'!$B$9,Paramètres!$A$1:$I$89,3,0)*VLOOKUP('Données projet'!$B$9,Paramètres!$A$1:$I$89,5,0)</f>
        <v>-1.9065282685915009E-13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279.98352834501759</v>
      </c>
      <c r="T128" s="59">
        <f t="shared" si="88"/>
        <v>281.30062655265488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0.60904237831098995</v>
      </c>
      <c r="AA128" s="21">
        <f>EXP(-LN(2)/25)*AA127+(1-EXP(-LN(2)/25))/(LN(2)/25)*Calculateur!V128*Calculateur!X128*VLOOKUP('Données projet'!$B$9,Paramètres!$A$1:$I$89,3,0)*0.475*44/12</f>
        <v>1.739340897126983</v>
      </c>
      <c r="AB128" s="21">
        <f>EXP(-LN(2)/2)*AB127+(1-EXP(-LN(2)/2))/(LN(2)/2)*V128*Y128*VLOOKUP('Données projet'!$B$9,Paramètres!$A$1:$I$89,3,0)*0.475*44/12</f>
        <v>1.422736913777809E-13</v>
      </c>
      <c r="AC128" s="22">
        <f t="shared" si="57"/>
        <v>2.3483832754381151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-1.1368683772161603E-13</v>
      </c>
      <c r="AJ128" s="13">
        <f>AI128*VLOOKUP('Données projet'!$B$10,Paramètres!$A$1:$I$89,3,0)*VLOOKUP('Données projet'!$B$10,Paramètres!$A$1:$I$89,5,0)</f>
        <v>-1.1527845344971866E-13</v>
      </c>
      <c r="AK128" s="13" t="e">
        <f t="shared" si="89"/>
        <v>#NUM!</v>
      </c>
      <c r="AL128" s="20" t="e">
        <f t="shared" si="58"/>
        <v>#NUM!</v>
      </c>
      <c r="AM128" s="59" t="e">
        <f t="shared" si="59"/>
        <v>#NUM!</v>
      </c>
      <c r="AN128" s="59">
        <f ca="1">AVERAGE(OFFSET($AM$3,0,0,'Données projet'!$E$10+1,1))-AVERAGE(OFFSET($H$3,0,0,'Données projet'!$E$10+1,1))</f>
        <v>279.20364724206644</v>
      </c>
      <c r="AO128" s="59">
        <f t="shared" si="90"/>
        <v>173.99850582760712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0</v>
      </c>
      <c r="AV128" s="21">
        <f>EXP(-LN(2)/25)*AV127+(1-EXP(-LN(2)/25))/(LN(2)/25)*Calculateur!AQ128*Calculateur!AS128*VLOOKUP('Données projet'!$B$10,Paramètres!$A$1:$I$89,3,0)*0.475*44/12</f>
        <v>0.24989880874462053</v>
      </c>
      <c r="AW128" s="21">
        <f>EXP(-LN(2)/2)*AW127+(1-EXP(-LN(2)/2))/(LN(2)/2)*AQ128*AT128*VLOOKUP('Données projet'!$B$10,Paramètres!$A$1:$I$89,3,0)*0.475*44/12</f>
        <v>3.4850214917327665E-14</v>
      </c>
      <c r="AX128" s="21">
        <f t="shared" si="60"/>
        <v>0.24989880874465539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-1.1368683772161603E-13</v>
      </c>
      <c r="BE128" s="13">
        <f>BD128*VLOOKUP('Données projet'!$B$11,Paramètres!$A$1:$I$89,3,0)*VLOOKUP('Données projet'!$B$11,Paramètres!$A$1:$I$89,5,0)</f>
        <v>-5.3205440053716299E-14</v>
      </c>
      <c r="BF128" s="13" t="e">
        <f t="shared" si="91"/>
        <v>#NUM!</v>
      </c>
      <c r="BG128" s="20" t="e">
        <f t="shared" si="61"/>
        <v>#NUM!</v>
      </c>
      <c r="BH128" s="59" t="e">
        <f t="shared" si="62"/>
        <v>#NUM!</v>
      </c>
      <c r="BI128" s="59">
        <f ca="1">AVERAGE(OFFSET($BH$3,0,0,'Données projet'!$E$11+1,1))-AVERAGE(OFFSET($H$3,0,0,'Données projet'!$E$11+1,1))</f>
        <v>215.23235148064941</v>
      </c>
      <c r="BJ128" s="59">
        <f t="shared" si="92"/>
        <v>184.07239726900434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0.47763722160468908</v>
      </c>
      <c r="BQ128" s="21">
        <f>EXP(-LN(2)/25)*BQ127+(1-EXP(-LN(2)/25))/(LN(2)/25)*Calculateur!BL128*Calculateur!BN128*VLOOKUP('Données projet'!$B$11,Paramètres!$A$1:$I$89,3,0)*0.475*44/12</f>
        <v>0.56397243632311667</v>
      </c>
      <c r="BR128" s="21">
        <f>EXP(-LN(2)/2)*BR127+(1-EXP(-LN(2)/2))/(LN(2)/2)*BL128*BO128*VLOOKUP('Données projet'!$B$11,Paramètres!$A$1:$I$89,3,0)*0.475*44/12</f>
        <v>4.9399763661314303E-14</v>
      </c>
      <c r="BS128" s="22">
        <f t="shared" si="63"/>
        <v>1.0416096579278551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 t="e">
        <f>BY128*VLOOKUP('Données projet'!$B$12,Paramètres!$A$1:$I$89,3,0)*VLOOKUP('Données projet'!$B$12,Paramètres!$A$1:$I$89,5,0)</f>
        <v>#N/A</v>
      </c>
      <c r="CA128" s="13" t="e">
        <f t="shared" si="93"/>
        <v>#N/A</v>
      </c>
      <c r="CB128" s="20" t="e">
        <f t="shared" si="64"/>
        <v>#N/A</v>
      </c>
      <c r="CC128" s="59" t="e">
        <f t="shared" si="65"/>
        <v>#N/A</v>
      </c>
      <c r="CD128" s="59" t="e">
        <f ca="1">AVERAGE(OFFSET($CC$3,0,0,'Données projet'!$E$12+1,1))-AVERAGE(OFFSET($H$3,0,0,'Données projet'!$E$12+1,1))</f>
        <v>#N/A</v>
      </c>
      <c r="CE128" s="59" t="e">
        <f t="shared" si="94"/>
        <v>#N/A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 t="e">
        <f>EXP(-LN(2)/35)*CK127+(1-EXP(-LN(2)/35))/(LN(2)/35)*CG128*CH128*VLOOKUP('Données projet'!$B$12,Paramètres!$A$1:$I$89,3,0)*0.475*44/12</f>
        <v>#N/A</v>
      </c>
      <c r="CL128" s="21" t="e">
        <f>EXP(-LN(2)/25)*CL127+(1-EXP(-LN(2)/25))/(LN(2)/25)*Calculateur!CG128*Calculateur!CI128*VLOOKUP('Données projet'!$B$12,Paramètres!$A$1:$I$89,3,0)*0.475*44/12</f>
        <v>#N/A</v>
      </c>
      <c r="CM128" s="21" t="e">
        <f>EXP(-LN(2)/2)*CM127+(1-EXP(-LN(2)/2))/(LN(2)/2)*CG128*CJ128*VLOOKUP('Données projet'!$B$12,Paramètres!$A$1:$I$89,3,0)*0.475*44/12</f>
        <v>#N/A</v>
      </c>
      <c r="CN128" s="22" t="e">
        <f t="shared" si="66"/>
        <v>#N/A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25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112.03920000000021</v>
      </c>
      <c r="D129" s="11">
        <f t="shared" si="86"/>
        <v>29.810921169420254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10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1094.9833914832457</v>
      </c>
      <c r="H129" s="67">
        <f t="shared" si="56"/>
        <v>540.38896103674051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-3.4106051316484809E-13</v>
      </c>
      <c r="O129" s="13">
        <f>N129*VLOOKUP('Données projet'!$B$9,Paramètres!$A$1:$I$89,3,0)*VLOOKUP('Données projet'!$B$9,Paramètres!$A$1:$I$89,5,0)</f>
        <v>-1.9065282685915009E-13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279.98352834501759</v>
      </c>
      <c r="T129" s="59">
        <f t="shared" si="88"/>
        <v>281.30062655265488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0.5970994287514817</v>
      </c>
      <c r="AA129" s="21">
        <f>EXP(-LN(2)/25)*AA128+(1-EXP(-LN(2)/25))/(LN(2)/25)*Calculateur!V129*Calculateur!X129*VLOOKUP('Données projet'!$B$9,Paramètres!$A$1:$I$89,3,0)*0.475*44/12</f>
        <v>1.6917785288270832</v>
      </c>
      <c r="AB129" s="21">
        <f>EXP(-LN(2)/2)*AB128+(1-EXP(-LN(2)/2))/(LN(2)/2)*V129*Y129*VLOOKUP('Données projet'!$B$9,Paramètres!$A$1:$I$89,3,0)*0.475*44/12</f>
        <v>1.0060269195767091E-13</v>
      </c>
      <c r="AC129" s="22">
        <f t="shared" si="57"/>
        <v>2.288877957578666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-1.1368683772161603E-13</v>
      </c>
      <c r="AJ129" s="13">
        <f>AI129*VLOOKUP('Données projet'!$B$10,Paramètres!$A$1:$I$89,3,0)*VLOOKUP('Données projet'!$B$10,Paramètres!$A$1:$I$89,5,0)</f>
        <v>-1.1527845344971866E-13</v>
      </c>
      <c r="AK129" s="13" t="e">
        <f t="shared" si="89"/>
        <v>#NUM!</v>
      </c>
      <c r="AL129" s="20" t="e">
        <f t="shared" si="58"/>
        <v>#NUM!</v>
      </c>
      <c r="AM129" s="59" t="e">
        <f t="shared" si="59"/>
        <v>#NUM!</v>
      </c>
      <c r="AN129" s="59">
        <f ca="1">AVERAGE(OFFSET($AM$3,0,0,'Données projet'!$E$10+1,1))-AVERAGE(OFFSET($H$3,0,0,'Données projet'!$E$10+1,1))</f>
        <v>279.20364724206644</v>
      </c>
      <c r="AO129" s="59">
        <f t="shared" si="90"/>
        <v>173.99850582760712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0</v>
      </c>
      <c r="AV129" s="21">
        <f>EXP(-LN(2)/25)*AV128+(1-EXP(-LN(2)/25))/(LN(2)/25)*Calculateur!AQ129*Calculateur!AS129*VLOOKUP('Données projet'!$B$10,Paramètres!$A$1:$I$89,3,0)*0.475*44/12</f>
        <v>0.24306531267789169</v>
      </c>
      <c r="AW129" s="21">
        <f>EXP(-LN(2)/2)*AW128+(1-EXP(-LN(2)/2))/(LN(2)/2)*AQ129*AT129*VLOOKUP('Données projet'!$B$10,Paramètres!$A$1:$I$89,3,0)*0.475*44/12</f>
        <v>2.4642823293850967E-14</v>
      </c>
      <c r="AX129" s="21">
        <f t="shared" si="60"/>
        <v>0.24306531267791634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-1.1368683772161603E-13</v>
      </c>
      <c r="BE129" s="13">
        <f>BD129*VLOOKUP('Données projet'!$B$11,Paramètres!$A$1:$I$89,3,0)*VLOOKUP('Données projet'!$B$11,Paramètres!$A$1:$I$89,5,0)</f>
        <v>-5.3205440053716299E-14</v>
      </c>
      <c r="BF129" s="13" t="e">
        <f t="shared" si="91"/>
        <v>#NUM!</v>
      </c>
      <c r="BG129" s="20" t="e">
        <f t="shared" si="61"/>
        <v>#NUM!</v>
      </c>
      <c r="BH129" s="59" t="e">
        <f t="shared" si="62"/>
        <v>#NUM!</v>
      </c>
      <c r="BI129" s="59">
        <f ca="1">AVERAGE(OFFSET($BH$3,0,0,'Données projet'!$E$11+1,1))-AVERAGE(OFFSET($H$3,0,0,'Données projet'!$E$11+1,1))</f>
        <v>215.23235148064941</v>
      </c>
      <c r="BJ129" s="59">
        <f t="shared" si="92"/>
        <v>184.07239726900434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0.46827104701895989</v>
      </c>
      <c r="BQ129" s="21">
        <f>EXP(-LN(2)/25)*BQ128+(1-EXP(-LN(2)/25))/(LN(2)/25)*Calculateur!BL129*Calculateur!BN129*VLOOKUP('Données projet'!$B$11,Paramètres!$A$1:$I$89,3,0)*0.475*44/12</f>
        <v>0.54855058039383964</v>
      </c>
      <c r="BR129" s="21">
        <f>EXP(-LN(2)/2)*BR128+(1-EXP(-LN(2)/2))/(LN(2)/2)*BL129*BO129*VLOOKUP('Données projet'!$B$11,Paramètres!$A$1:$I$89,3,0)*0.475*44/12</f>
        <v>3.4930907873928134E-14</v>
      </c>
      <c r="BS129" s="22">
        <f t="shared" si="63"/>
        <v>1.0168216274128343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 t="e">
        <f>BY129*VLOOKUP('Données projet'!$B$12,Paramètres!$A$1:$I$89,3,0)*VLOOKUP('Données projet'!$B$12,Paramètres!$A$1:$I$89,5,0)</f>
        <v>#N/A</v>
      </c>
      <c r="CA129" s="13" t="e">
        <f t="shared" si="93"/>
        <v>#N/A</v>
      </c>
      <c r="CB129" s="20" t="e">
        <f t="shared" si="64"/>
        <v>#N/A</v>
      </c>
      <c r="CC129" s="59" t="e">
        <f t="shared" si="65"/>
        <v>#N/A</v>
      </c>
      <c r="CD129" s="59" t="e">
        <f ca="1">AVERAGE(OFFSET($CC$3,0,0,'Données projet'!$E$12+1,1))-AVERAGE(OFFSET($H$3,0,0,'Données projet'!$E$12+1,1))</f>
        <v>#N/A</v>
      </c>
      <c r="CE129" s="59" t="e">
        <f t="shared" si="94"/>
        <v>#N/A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 t="e">
        <f>EXP(-LN(2)/35)*CK128+(1-EXP(-LN(2)/35))/(LN(2)/35)*CG129*CH129*VLOOKUP('Données projet'!$B$12,Paramètres!$A$1:$I$89,3,0)*0.475*44/12</f>
        <v>#N/A</v>
      </c>
      <c r="CL129" s="21" t="e">
        <f>EXP(-LN(2)/25)*CL128+(1-EXP(-LN(2)/25))/(LN(2)/25)*Calculateur!CG129*Calculateur!CI129*VLOOKUP('Données projet'!$B$12,Paramètres!$A$1:$I$89,3,0)*0.475*44/12</f>
        <v>#N/A</v>
      </c>
      <c r="CM129" s="21" t="e">
        <f>EXP(-LN(2)/2)*CM128+(1-EXP(-LN(2)/2))/(LN(2)/2)*CG129*CJ129*VLOOKUP('Données projet'!$B$12,Paramètres!$A$1:$I$89,3,0)*0.475*44/12</f>
        <v>#N/A</v>
      </c>
      <c r="CN129" s="22" t="e">
        <f t="shared" si="66"/>
        <v>#N/A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25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112.92840000000021</v>
      </c>
      <c r="D130" s="11">
        <f t="shared" si="86"/>
        <v>30.019879889489037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10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1103.4604061644784</v>
      </c>
      <c r="H130" s="67">
        <f t="shared" si="56"/>
        <v>542.30158747419375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-3.4106051316484809E-13</v>
      </c>
      <c r="O130" s="13">
        <f>N130*VLOOKUP('Données projet'!$B$9,Paramètres!$A$1:$I$89,3,0)*VLOOKUP('Données projet'!$B$9,Paramètres!$A$1:$I$89,5,0)</f>
        <v>-1.9065282685915009E-13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279.98352834501759</v>
      </c>
      <c r="T130" s="59">
        <f t="shared" si="88"/>
        <v>281.30062655265488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0.58539067314835547</v>
      </c>
      <c r="AA130" s="21">
        <f>EXP(-LN(2)/25)*AA129+(1-EXP(-LN(2)/25))/(LN(2)/25)*Calculateur!V130*Calculateur!X130*VLOOKUP('Données projet'!$B$9,Paramètres!$A$1:$I$89,3,0)*0.475*44/12</f>
        <v>1.6455167559895405</v>
      </c>
      <c r="AB130" s="21">
        <f>EXP(-LN(2)/2)*AB129+(1-EXP(-LN(2)/2))/(LN(2)/2)*V130*Y130*VLOOKUP('Données projet'!$B$9,Paramètres!$A$1:$I$89,3,0)*0.475*44/12</f>
        <v>7.113684568889045E-14</v>
      </c>
      <c r="AC130" s="22">
        <f t="shared" si="57"/>
        <v>2.2309074291379671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-1.1368683772161603E-13</v>
      </c>
      <c r="AJ130" s="13">
        <f>AI130*VLOOKUP('Données projet'!$B$10,Paramètres!$A$1:$I$89,3,0)*VLOOKUP('Données projet'!$B$10,Paramètres!$A$1:$I$89,5,0)</f>
        <v>-1.1527845344971866E-13</v>
      </c>
      <c r="AK130" s="13" t="e">
        <f t="shared" si="89"/>
        <v>#NUM!</v>
      </c>
      <c r="AL130" s="20" t="e">
        <f t="shared" si="58"/>
        <v>#NUM!</v>
      </c>
      <c r="AM130" s="59" t="e">
        <f t="shared" si="59"/>
        <v>#NUM!</v>
      </c>
      <c r="AN130" s="59">
        <f ca="1">AVERAGE(OFFSET($AM$3,0,0,'Données projet'!$E$10+1,1))-AVERAGE(OFFSET($H$3,0,0,'Données projet'!$E$10+1,1))</f>
        <v>279.20364724206644</v>
      </c>
      <c r="AO130" s="59">
        <f t="shared" si="90"/>
        <v>173.99850582760712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0</v>
      </c>
      <c r="AV130" s="21">
        <f>EXP(-LN(2)/25)*AV129+(1-EXP(-LN(2)/25))/(LN(2)/25)*Calculateur!AQ130*Calculateur!AS130*VLOOKUP('Données projet'!$B$10,Paramètres!$A$1:$I$89,3,0)*0.475*44/12</f>
        <v>0.23641867892046547</v>
      </c>
      <c r="AW130" s="21">
        <f>EXP(-LN(2)/2)*AW129+(1-EXP(-LN(2)/2))/(LN(2)/2)*AQ130*AT130*VLOOKUP('Données projet'!$B$10,Paramètres!$A$1:$I$89,3,0)*0.475*44/12</f>
        <v>1.7425107458663832E-14</v>
      </c>
      <c r="AX130" s="21">
        <f t="shared" si="60"/>
        <v>0.23641867892048291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-1.1368683772161603E-13</v>
      </c>
      <c r="BE130" s="13">
        <f>BD130*VLOOKUP('Données projet'!$B$11,Paramètres!$A$1:$I$89,3,0)*VLOOKUP('Données projet'!$B$11,Paramètres!$A$1:$I$89,5,0)</f>
        <v>-5.3205440053716299E-14</v>
      </c>
      <c r="BF130" s="13" t="e">
        <f t="shared" si="91"/>
        <v>#NUM!</v>
      </c>
      <c r="BG130" s="20" t="e">
        <f t="shared" si="61"/>
        <v>#NUM!</v>
      </c>
      <c r="BH130" s="59" t="e">
        <f t="shared" si="62"/>
        <v>#NUM!</v>
      </c>
      <c r="BI130" s="59">
        <f ca="1">AVERAGE(OFFSET($BH$3,0,0,'Données projet'!$E$11+1,1))-AVERAGE(OFFSET($H$3,0,0,'Données projet'!$E$11+1,1))</f>
        <v>215.23235148064941</v>
      </c>
      <c r="BJ130" s="59">
        <f t="shared" si="92"/>
        <v>184.07239726900434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0.45908853740405442</v>
      </c>
      <c r="BQ130" s="21">
        <f>EXP(-LN(2)/25)*BQ129+(1-EXP(-LN(2)/25))/(LN(2)/25)*Calculateur!BL130*Calculateur!BN130*VLOOKUP('Données projet'!$B$11,Paramètres!$A$1:$I$89,3,0)*0.475*44/12</f>
        <v>0.53355043592594875</v>
      </c>
      <c r="BR130" s="21">
        <f>EXP(-LN(2)/2)*BR129+(1-EXP(-LN(2)/2))/(LN(2)/2)*BL130*BO130*VLOOKUP('Données projet'!$B$11,Paramètres!$A$1:$I$89,3,0)*0.475*44/12</f>
        <v>2.4699881830657152E-14</v>
      </c>
      <c r="BS130" s="22">
        <f t="shared" si="63"/>
        <v>0.99263897333002782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 t="e">
        <f>BY130*VLOOKUP('Données projet'!$B$12,Paramètres!$A$1:$I$89,3,0)*VLOOKUP('Données projet'!$B$12,Paramètres!$A$1:$I$89,5,0)</f>
        <v>#N/A</v>
      </c>
      <c r="CA130" s="13" t="e">
        <f t="shared" si="93"/>
        <v>#N/A</v>
      </c>
      <c r="CB130" s="20" t="e">
        <f t="shared" si="64"/>
        <v>#N/A</v>
      </c>
      <c r="CC130" s="59" t="e">
        <f t="shared" si="65"/>
        <v>#N/A</v>
      </c>
      <c r="CD130" s="59" t="e">
        <f ca="1">AVERAGE(OFFSET($CC$3,0,0,'Données projet'!$E$12+1,1))-AVERAGE(OFFSET($H$3,0,0,'Données projet'!$E$12+1,1))</f>
        <v>#N/A</v>
      </c>
      <c r="CE130" s="59" t="e">
        <f t="shared" si="94"/>
        <v>#N/A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 t="e">
        <f>EXP(-LN(2)/35)*CK129+(1-EXP(-LN(2)/35))/(LN(2)/35)*CG130*CH130*VLOOKUP('Données projet'!$B$12,Paramètres!$A$1:$I$89,3,0)*0.475*44/12</f>
        <v>#N/A</v>
      </c>
      <c r="CL130" s="21" t="e">
        <f>EXP(-LN(2)/25)*CL129+(1-EXP(-LN(2)/25))/(LN(2)/25)*Calculateur!CG130*Calculateur!CI130*VLOOKUP('Données projet'!$B$12,Paramètres!$A$1:$I$89,3,0)*0.475*44/12</f>
        <v>#N/A</v>
      </c>
      <c r="CM130" s="21" t="e">
        <f>EXP(-LN(2)/2)*CM129+(1-EXP(-LN(2)/2))/(LN(2)/2)*CG130*CJ130*VLOOKUP('Données projet'!$B$12,Paramètres!$A$1:$I$89,3,0)*0.475*44/12</f>
        <v>#N/A</v>
      </c>
      <c r="CN130" s="22" t="e">
        <f t="shared" si="66"/>
        <v>#N/A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25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113.81760000000021</v>
      </c>
      <c r="D131" s="11">
        <f t="shared" si="86"/>
        <v>30.228647177134249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10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1111.9359431217397</v>
      </c>
      <c r="H131" s="67">
        <f t="shared" si="56"/>
        <v>544.21388050017583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-3.4106051316484809E-13</v>
      </c>
      <c r="O131" s="13">
        <f>N131*VLOOKUP('Données projet'!$B$9,Paramètres!$A$1:$I$89,3,0)*VLOOKUP('Données projet'!$B$9,Paramètres!$A$1:$I$89,5,0)</f>
        <v>-1.9065282685915009E-13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279.98352834501759</v>
      </c>
      <c r="T131" s="59">
        <f t="shared" si="88"/>
        <v>281.30062655265488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0.57391151910097082</v>
      </c>
      <c r="AA131" s="21">
        <f>EXP(-LN(2)/25)*AA130+(1-EXP(-LN(2)/25))/(LN(2)/25)*Calculateur!V131*Calculateur!X131*VLOOKUP('Données projet'!$B$9,Paramètres!$A$1:$I$89,3,0)*0.475*44/12</f>
        <v>1.6005200137630411</v>
      </c>
      <c r="AB131" s="21">
        <f>EXP(-LN(2)/2)*AB130+(1-EXP(-LN(2)/2))/(LN(2)/2)*V131*Y131*VLOOKUP('Données projet'!$B$9,Paramètres!$A$1:$I$89,3,0)*0.475*44/12</f>
        <v>5.0301345978835457E-14</v>
      </c>
      <c r="AC131" s="22">
        <f t="shared" si="57"/>
        <v>2.174431532864062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-1.1368683772161603E-13</v>
      </c>
      <c r="AJ131" s="13">
        <f>AI131*VLOOKUP('Données projet'!$B$10,Paramètres!$A$1:$I$89,3,0)*VLOOKUP('Données projet'!$B$10,Paramètres!$A$1:$I$89,5,0)</f>
        <v>-1.1527845344971866E-13</v>
      </c>
      <c r="AK131" s="13" t="e">
        <f t="shared" si="89"/>
        <v>#NUM!</v>
      </c>
      <c r="AL131" s="20" t="e">
        <f t="shared" si="58"/>
        <v>#NUM!</v>
      </c>
      <c r="AM131" s="59" t="e">
        <f t="shared" si="59"/>
        <v>#NUM!</v>
      </c>
      <c r="AN131" s="59">
        <f ca="1">AVERAGE(OFFSET($AM$3,0,0,'Données projet'!$E$10+1,1))-AVERAGE(OFFSET($H$3,0,0,'Données projet'!$E$10+1,1))</f>
        <v>279.20364724206644</v>
      </c>
      <c r="AO131" s="59">
        <f t="shared" si="90"/>
        <v>173.99850582760712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0</v>
      </c>
      <c r="AV131" s="21">
        <f>EXP(-LN(2)/25)*AV130+(1-EXP(-LN(2)/25))/(LN(2)/25)*Calculateur!AQ131*Calculateur!AS131*VLOOKUP('Données projet'!$B$10,Paramètres!$A$1:$I$89,3,0)*0.475*44/12</f>
        <v>0.22995379771266736</v>
      </c>
      <c r="AW131" s="21">
        <f>EXP(-LN(2)/2)*AW130+(1-EXP(-LN(2)/2))/(LN(2)/2)*AQ131*AT131*VLOOKUP('Données projet'!$B$10,Paramètres!$A$1:$I$89,3,0)*0.475*44/12</f>
        <v>1.2321411646925484E-14</v>
      </c>
      <c r="AX131" s="21">
        <f t="shared" si="60"/>
        <v>0.22995379771267968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-1.1368683772161603E-13</v>
      </c>
      <c r="BE131" s="13">
        <f>BD131*VLOOKUP('Données projet'!$B$11,Paramètres!$A$1:$I$89,3,0)*VLOOKUP('Données projet'!$B$11,Paramètres!$A$1:$I$89,5,0)</f>
        <v>-5.3205440053716299E-14</v>
      </c>
      <c r="BF131" s="13" t="e">
        <f t="shared" si="91"/>
        <v>#NUM!</v>
      </c>
      <c r="BG131" s="20" t="e">
        <f t="shared" si="61"/>
        <v>#NUM!</v>
      </c>
      <c r="BH131" s="59" t="e">
        <f t="shared" si="62"/>
        <v>#NUM!</v>
      </c>
      <c r="BI131" s="59">
        <f ca="1">AVERAGE(OFFSET($BH$3,0,0,'Données projet'!$E$11+1,1))-AVERAGE(OFFSET($H$3,0,0,'Données projet'!$E$11+1,1))</f>
        <v>215.23235148064941</v>
      </c>
      <c r="BJ131" s="59">
        <f t="shared" si="92"/>
        <v>184.07239726900434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0.45008609120191939</v>
      </c>
      <c r="BQ131" s="21">
        <f>EXP(-LN(2)/25)*BQ130+(1-EXP(-LN(2)/25))/(LN(2)/25)*Calculateur!BL131*Calculateur!BN131*VLOOKUP('Données projet'!$B$11,Paramètres!$A$1:$I$89,3,0)*0.475*44/12</f>
        <v>0.51896047119735567</v>
      </c>
      <c r="BR131" s="21">
        <f>EXP(-LN(2)/2)*BR130+(1-EXP(-LN(2)/2))/(LN(2)/2)*BL131*BO131*VLOOKUP('Données projet'!$B$11,Paramètres!$A$1:$I$89,3,0)*0.475*44/12</f>
        <v>1.7465453936964067E-14</v>
      </c>
      <c r="BS131" s="22">
        <f t="shared" si="63"/>
        <v>0.96904656239929243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 t="e">
        <f>BY131*VLOOKUP('Données projet'!$B$12,Paramètres!$A$1:$I$89,3,0)*VLOOKUP('Données projet'!$B$12,Paramètres!$A$1:$I$89,5,0)</f>
        <v>#N/A</v>
      </c>
      <c r="CA131" s="13" t="e">
        <f t="shared" si="93"/>
        <v>#N/A</v>
      </c>
      <c r="CB131" s="20" t="e">
        <f t="shared" si="64"/>
        <v>#N/A</v>
      </c>
      <c r="CC131" s="59" t="e">
        <f t="shared" si="65"/>
        <v>#N/A</v>
      </c>
      <c r="CD131" s="59" t="e">
        <f ca="1">AVERAGE(OFFSET($CC$3,0,0,'Données projet'!$E$12+1,1))-AVERAGE(OFFSET($H$3,0,0,'Données projet'!$E$12+1,1))</f>
        <v>#N/A</v>
      </c>
      <c r="CE131" s="59" t="e">
        <f t="shared" si="94"/>
        <v>#N/A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 t="e">
        <f>EXP(-LN(2)/35)*CK130+(1-EXP(-LN(2)/35))/(LN(2)/35)*CG131*CH131*VLOOKUP('Données projet'!$B$12,Paramètres!$A$1:$I$89,3,0)*0.475*44/12</f>
        <v>#N/A</v>
      </c>
      <c r="CL131" s="21" t="e">
        <f>EXP(-LN(2)/25)*CL130+(1-EXP(-LN(2)/25))/(LN(2)/25)*Calculateur!CG131*Calculateur!CI131*VLOOKUP('Données projet'!$B$12,Paramètres!$A$1:$I$89,3,0)*0.475*44/12</f>
        <v>#N/A</v>
      </c>
      <c r="CM131" s="21" t="e">
        <f>EXP(-LN(2)/2)*CM130+(1-EXP(-LN(2)/2))/(LN(2)/2)*CG131*CJ131*VLOOKUP('Données projet'!$B$12,Paramètres!$A$1:$I$89,3,0)*0.475*44/12</f>
        <v>#N/A</v>
      </c>
      <c r="CN131" s="22" t="e">
        <f t="shared" si="66"/>
        <v>#N/A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25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114.70680000000021</v>
      </c>
      <c r="D132" s="11">
        <f t="shared" si="86"/>
        <v>30.437224701280673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10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1120.4100152379581</v>
      </c>
      <c r="H132" s="67">
        <f t="shared" ref="H132:H195" si="110">(B132+E132+F132)*44/12+(C132+D132)*0.475*44/12</f>
        <v>546.12584302139749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-3.4106051316484809E-13</v>
      </c>
      <c r="O132" s="13">
        <f>N132*VLOOKUP('Données projet'!$B$9,Paramètres!$A$1:$I$89,3,0)*VLOOKUP('Données projet'!$B$9,Paramètres!$A$1:$I$89,5,0)</f>
        <v>-1.9065282685915009E-13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279.98352834501759</v>
      </c>
      <c r="T132" s="59">
        <f t="shared" si="88"/>
        <v>281.30062655265488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0.56265746426286267</v>
      </c>
      <c r="AA132" s="21">
        <f>EXP(-LN(2)/25)*AA131+(1-EXP(-LN(2)/25))/(LN(2)/25)*Calculateur!V132*Calculateur!X132*VLOOKUP('Données projet'!$B$9,Paramètres!$A$1:$I$89,3,0)*0.475*44/12</f>
        <v>1.5567537098190012</v>
      </c>
      <c r="AB132" s="21">
        <f>EXP(-LN(2)/2)*AB131+(1-EXP(-LN(2)/2))/(LN(2)/2)*V132*Y132*VLOOKUP('Données projet'!$B$9,Paramètres!$A$1:$I$89,3,0)*0.475*44/12</f>
        <v>3.5568422844445225E-14</v>
      </c>
      <c r="AC132" s="22">
        <f t="shared" ref="AC132:AC153" si="111">SUM(Z132:AB132)</f>
        <v>2.1194111740818995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-1.1368683772161603E-13</v>
      </c>
      <c r="AJ132" s="13">
        <f>AI132*VLOOKUP('Données projet'!$B$10,Paramètres!$A$1:$I$89,3,0)*VLOOKUP('Données projet'!$B$10,Paramètres!$A$1:$I$89,5,0)</f>
        <v>-1.1527845344971866E-13</v>
      </c>
      <c r="AK132" s="13" t="e">
        <f t="shared" si="89"/>
        <v>#NUM!</v>
      </c>
      <c r="AL132" s="20" t="e">
        <f t="shared" ref="AL132:AL153" si="112">(AJ132+AK132)*0.475*44/12</f>
        <v>#NUM!</v>
      </c>
      <c r="AM132" s="59" t="e">
        <f t="shared" ref="AM132:AM195" si="113">AL132+(AD132+AE132)*44/12</f>
        <v>#NUM!</v>
      </c>
      <c r="AN132" s="59">
        <f ca="1">AVERAGE(OFFSET($AM$3,0,0,'Données projet'!$E$10+1,1))-AVERAGE(OFFSET($H$3,0,0,'Données projet'!$E$10+1,1))</f>
        <v>279.20364724206644</v>
      </c>
      <c r="AO132" s="59">
        <f t="shared" si="90"/>
        <v>173.99850582760712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0</v>
      </c>
      <c r="AV132" s="21">
        <f>EXP(-LN(2)/25)*AV131+(1-EXP(-LN(2)/25))/(LN(2)/25)*Calculateur!AQ132*Calculateur!AS132*VLOOKUP('Données projet'!$B$10,Paramètres!$A$1:$I$89,3,0)*0.475*44/12</f>
        <v>0.22366569902146982</v>
      </c>
      <c r="AW132" s="21">
        <f>EXP(-LN(2)/2)*AW131+(1-EXP(-LN(2)/2))/(LN(2)/2)*AQ132*AT132*VLOOKUP('Données projet'!$B$10,Paramètres!$A$1:$I$89,3,0)*0.475*44/12</f>
        <v>8.7125537293319161E-15</v>
      </c>
      <c r="AX132" s="21">
        <f t="shared" ref="AX132:AX153" si="114">SUM(AU132:AW132)</f>
        <v>0.22366569902147854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-1.1368683772161603E-13</v>
      </c>
      <c r="BE132" s="13">
        <f>BD132*VLOOKUP('Données projet'!$B$11,Paramètres!$A$1:$I$89,3,0)*VLOOKUP('Données projet'!$B$11,Paramètres!$A$1:$I$89,5,0)</f>
        <v>-5.3205440053716299E-14</v>
      </c>
      <c r="BF132" s="13" t="e">
        <f t="shared" si="91"/>
        <v>#NUM!</v>
      </c>
      <c r="BG132" s="20" t="e">
        <f t="shared" ref="BG132:BG153" si="115">(BE132+BF132)*0.475*44/12</f>
        <v>#NUM!</v>
      </c>
      <c r="BH132" s="59" t="e">
        <f t="shared" ref="BH132:BH195" si="116">BG132+(AY132+AZ132)*44/12</f>
        <v>#NUM!</v>
      </c>
      <c r="BI132" s="59">
        <f ca="1">AVERAGE(OFFSET($BH$3,0,0,'Données projet'!$E$11+1,1))-AVERAGE(OFFSET($H$3,0,0,'Données projet'!$E$11+1,1))</f>
        <v>215.23235148064941</v>
      </c>
      <c r="BJ132" s="59">
        <f t="shared" si="92"/>
        <v>184.07239726900434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0.44126017747885826</v>
      </c>
      <c r="BQ132" s="21">
        <f>EXP(-LN(2)/25)*BQ131+(1-EXP(-LN(2)/25))/(LN(2)/25)*Calculateur!BL132*Calculateur!BN132*VLOOKUP('Données projet'!$B$11,Paramètres!$A$1:$I$89,3,0)*0.475*44/12</f>
        <v>0.50476946982151893</v>
      </c>
      <c r="BR132" s="21">
        <f>EXP(-LN(2)/2)*BR131+(1-EXP(-LN(2)/2))/(LN(2)/2)*BL132*BO132*VLOOKUP('Données projet'!$B$11,Paramètres!$A$1:$I$89,3,0)*0.475*44/12</f>
        <v>1.2349940915328576E-14</v>
      </c>
      <c r="BS132" s="22">
        <f t="shared" ref="BS132:BS153" si="117">SUM(BP132:BR132)</f>
        <v>0.94602964730038952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 t="e">
        <f>BY132*VLOOKUP('Données projet'!$B$12,Paramètres!$A$1:$I$89,3,0)*VLOOKUP('Données projet'!$B$12,Paramètres!$A$1:$I$89,5,0)</f>
        <v>#N/A</v>
      </c>
      <c r="CA132" s="13" t="e">
        <f t="shared" si="93"/>
        <v>#N/A</v>
      </c>
      <c r="CB132" s="20" t="e">
        <f t="shared" ref="CB132:CB153" si="118">(BZ132+CA132)*0.475*44/12</f>
        <v>#N/A</v>
      </c>
      <c r="CC132" s="59" t="e">
        <f t="shared" ref="CC132:CC195" si="119">CB132+(BT132+BU132)*44/12</f>
        <v>#N/A</v>
      </c>
      <c r="CD132" s="59" t="e">
        <f ca="1">AVERAGE(OFFSET($CC$3,0,0,'Données projet'!$E$12+1,1))-AVERAGE(OFFSET($H$3,0,0,'Données projet'!$E$12+1,1))</f>
        <v>#N/A</v>
      </c>
      <c r="CE132" s="59" t="e">
        <f t="shared" si="94"/>
        <v>#N/A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 t="e">
        <f>EXP(-LN(2)/35)*CK131+(1-EXP(-LN(2)/35))/(LN(2)/35)*CG132*CH132*VLOOKUP('Données projet'!$B$12,Paramètres!$A$1:$I$89,3,0)*0.475*44/12</f>
        <v>#N/A</v>
      </c>
      <c r="CL132" s="21" t="e">
        <f>EXP(-LN(2)/25)*CL131+(1-EXP(-LN(2)/25))/(LN(2)/25)*Calculateur!CG132*Calculateur!CI132*VLOOKUP('Données projet'!$B$12,Paramètres!$A$1:$I$89,3,0)*0.475*44/12</f>
        <v>#N/A</v>
      </c>
      <c r="CM132" s="21" t="e">
        <f>EXP(-LN(2)/2)*CM131+(1-EXP(-LN(2)/2))/(LN(2)/2)*CG132*CJ132*VLOOKUP('Données projet'!$B$12,Paramètres!$A$1:$I$89,3,0)*0.475*44/12</f>
        <v>#N/A</v>
      </c>
      <c r="CN132" s="22" t="e">
        <f t="shared" ref="CN132:CN153" si="120">SUM(CK132:CM132)</f>
        <v>#N/A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25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115.59600000000022</v>
      </c>
      <c r="D133" s="11">
        <f t="shared" ref="D133:D196" si="140">IFERROR(EXP(-1.0587+0.8836*LN(C133)+0.284),0)</f>
        <v>30.645614103483904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10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1128.8826351847899</v>
      </c>
      <c r="H133" s="67">
        <f t="shared" si="110"/>
        <v>548.03747789690146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-3.4106051316484809E-13</v>
      </c>
      <c r="O133" s="13">
        <f>N133*VLOOKUP('Données projet'!$B$9,Paramètres!$A$1:$I$89,3,0)*VLOOKUP('Données projet'!$B$9,Paramètres!$A$1:$I$89,5,0)</f>
        <v>-1.9065282685915009E-13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279.98352834501759</v>
      </c>
      <c r="T133" s="59">
        <f t="shared" ref="T133:T196" si="142">$T$3</f>
        <v>281.30062655265488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0.55162409457583417</v>
      </c>
      <c r="AA133" s="21">
        <f>EXP(-LN(2)/25)*AA132+(1-EXP(-LN(2)/25))/(LN(2)/25)*Calculateur!V133*Calculateur!X133*VLOOKUP('Données projet'!$B$9,Paramètres!$A$1:$I$89,3,0)*0.475*44/12</f>
        <v>1.5141841977578809</v>
      </c>
      <c r="AB133" s="21">
        <f>EXP(-LN(2)/2)*AB132+(1-EXP(-LN(2)/2))/(LN(2)/2)*V133*Y133*VLOOKUP('Données projet'!$B$9,Paramètres!$A$1:$I$89,3,0)*0.475*44/12</f>
        <v>2.5150672989417728E-14</v>
      </c>
      <c r="AC133" s="22">
        <f t="shared" si="111"/>
        <v>2.0658082923337404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-1.1368683772161603E-13</v>
      </c>
      <c r="AJ133" s="13">
        <f>AI133*VLOOKUP('Données projet'!$B$10,Paramètres!$A$1:$I$89,3,0)*VLOOKUP('Données projet'!$B$10,Paramètres!$A$1:$I$89,5,0)</f>
        <v>-1.1527845344971866E-13</v>
      </c>
      <c r="AK133" s="13" t="e">
        <f t="shared" ref="AK133:AK153" si="143">EXP(-1.0587+0.8836*LN(AJ133)+0.284)</f>
        <v>#NUM!</v>
      </c>
      <c r="AL133" s="20" t="e">
        <f t="shared" si="112"/>
        <v>#NUM!</v>
      </c>
      <c r="AM133" s="59" t="e">
        <f t="shared" si="113"/>
        <v>#NUM!</v>
      </c>
      <c r="AN133" s="59">
        <f ca="1">AVERAGE(OFFSET($AM$3,0,0,'Données projet'!$E$10+1,1))-AVERAGE(OFFSET($H$3,0,0,'Données projet'!$E$10+1,1))</f>
        <v>279.20364724206644</v>
      </c>
      <c r="AO133" s="59">
        <f t="shared" ref="AO133:AO196" si="144">$AO$3</f>
        <v>173.99850582760712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0</v>
      </c>
      <c r="AV133" s="21">
        <f>EXP(-LN(2)/25)*AV132+(1-EXP(-LN(2)/25))/(LN(2)/25)*Calculateur!AQ133*Calculateur!AS133*VLOOKUP('Données projet'!$B$10,Paramètres!$A$1:$I$89,3,0)*0.475*44/12</f>
        <v>0.21754954871965981</v>
      </c>
      <c r="AW133" s="21">
        <f>EXP(-LN(2)/2)*AW132+(1-EXP(-LN(2)/2))/(LN(2)/2)*AQ133*AT133*VLOOKUP('Données projet'!$B$10,Paramètres!$A$1:$I$89,3,0)*0.475*44/12</f>
        <v>6.1607058234627419E-15</v>
      </c>
      <c r="AX133" s="21">
        <f t="shared" si="114"/>
        <v>0.21754954871966597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-1.1368683772161603E-13</v>
      </c>
      <c r="BE133" s="13">
        <f>BD133*VLOOKUP('Données projet'!$B$11,Paramètres!$A$1:$I$89,3,0)*VLOOKUP('Données projet'!$B$11,Paramètres!$A$1:$I$89,5,0)</f>
        <v>-5.3205440053716299E-14</v>
      </c>
      <c r="BF133" s="13" t="e">
        <f t="shared" ref="BF133:BF153" si="145">EXP(-1.0587+0.8836*LN(BE133)+0.284)</f>
        <v>#NUM!</v>
      </c>
      <c r="BG133" s="20" t="e">
        <f t="shared" si="115"/>
        <v>#NUM!</v>
      </c>
      <c r="BH133" s="59" t="e">
        <f t="shared" si="116"/>
        <v>#NUM!</v>
      </c>
      <c r="BI133" s="59">
        <f ca="1">AVERAGE(OFFSET($BH$3,0,0,'Données projet'!$E$11+1,1))-AVERAGE(OFFSET($H$3,0,0,'Données projet'!$E$11+1,1))</f>
        <v>215.23235148064941</v>
      </c>
      <c r="BJ133" s="59">
        <f t="shared" ref="BJ133:BJ196" si="146">$BJ$3</f>
        <v>184.07239726900434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0.43260733454063055</v>
      </c>
      <c r="BQ133" s="21">
        <f>EXP(-LN(2)/25)*BQ132+(1-EXP(-LN(2)/25))/(LN(2)/25)*Calculateur!BL133*Calculateur!BN133*VLOOKUP('Données projet'!$B$11,Paramètres!$A$1:$I$89,3,0)*0.475*44/12</f>
        <v>0.49096652212457675</v>
      </c>
      <c r="BR133" s="21">
        <f>EXP(-LN(2)/2)*BR132+(1-EXP(-LN(2)/2))/(LN(2)/2)*BL133*BO133*VLOOKUP('Données projet'!$B$11,Paramètres!$A$1:$I$89,3,0)*0.475*44/12</f>
        <v>8.7327269684820336E-15</v>
      </c>
      <c r="BS133" s="22">
        <f t="shared" si="117"/>
        <v>0.92357385666521608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 t="e">
        <f>BY133*VLOOKUP('Données projet'!$B$12,Paramètres!$A$1:$I$89,3,0)*VLOOKUP('Données projet'!$B$12,Paramètres!$A$1:$I$89,5,0)</f>
        <v>#N/A</v>
      </c>
      <c r="CA133" s="13" t="e">
        <f t="shared" ref="CA133:CA153" si="147">EXP(-1.0587+0.8836*LN(BZ133)+0.284)</f>
        <v>#N/A</v>
      </c>
      <c r="CB133" s="20" t="e">
        <f t="shared" si="118"/>
        <v>#N/A</v>
      </c>
      <c r="CC133" s="59" t="e">
        <f t="shared" si="119"/>
        <v>#N/A</v>
      </c>
      <c r="CD133" s="59" t="e">
        <f ca="1">AVERAGE(OFFSET($CC$3,0,0,'Données projet'!$E$12+1,1))-AVERAGE(OFFSET($H$3,0,0,'Données projet'!$E$12+1,1))</f>
        <v>#N/A</v>
      </c>
      <c r="CE133" s="59" t="e">
        <f t="shared" ref="CE133:CE196" si="148">$CE$3</f>
        <v>#N/A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 t="e">
        <f>EXP(-LN(2)/35)*CK132+(1-EXP(-LN(2)/35))/(LN(2)/35)*CG133*CH133*VLOOKUP('Données projet'!$B$12,Paramètres!$A$1:$I$89,3,0)*0.475*44/12</f>
        <v>#N/A</v>
      </c>
      <c r="CL133" s="21" t="e">
        <f>EXP(-LN(2)/25)*CL132+(1-EXP(-LN(2)/25))/(LN(2)/25)*Calculateur!CG133*Calculateur!CI133*VLOOKUP('Données projet'!$B$12,Paramètres!$A$1:$I$89,3,0)*0.475*44/12</f>
        <v>#N/A</v>
      </c>
      <c r="CM133" s="21" t="e">
        <f>EXP(-LN(2)/2)*CM132+(1-EXP(-LN(2)/2))/(LN(2)/2)*CG133*CJ133*VLOOKUP('Données projet'!$B$12,Paramètres!$A$1:$I$89,3,0)*0.475*44/12</f>
        <v>#N/A</v>
      </c>
      <c r="CN133" s="22" t="e">
        <f t="shared" si="120"/>
        <v>#N/A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25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116.48520000000022</v>
      </c>
      <c r="D134" s="11">
        <f t="shared" si="140"/>
        <v>30.853816998586289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10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1137.3538154276855</v>
      </c>
      <c r="H134" s="67">
        <f t="shared" si="110"/>
        <v>549.94878793920475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-3.4106051316484809E-13</v>
      </c>
      <c r="O134" s="13">
        <f>N134*VLOOKUP('Données projet'!$B$9,Paramètres!$A$1:$I$89,3,0)*VLOOKUP('Données projet'!$B$9,Paramètres!$A$1:$I$89,5,0)</f>
        <v>-1.9065282685915009E-13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279.98352834501759</v>
      </c>
      <c r="T134" s="59">
        <f t="shared" si="142"/>
        <v>281.30062655265488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0.54080708253867738</v>
      </c>
      <c r="AA134" s="21">
        <f>EXP(-LN(2)/25)*AA133+(1-EXP(-LN(2)/25))/(LN(2)/25)*Calculateur!V134*Calculateur!X134*VLOOKUP('Données projet'!$B$9,Paramètres!$A$1:$I$89,3,0)*0.475*44/12</f>
        <v>1.4727787512427055</v>
      </c>
      <c r="AB134" s="21">
        <f>EXP(-LN(2)/2)*AB133+(1-EXP(-LN(2)/2))/(LN(2)/2)*V134*Y134*VLOOKUP('Données projet'!$B$9,Paramètres!$A$1:$I$89,3,0)*0.475*44/12</f>
        <v>1.7784211422222613E-14</v>
      </c>
      <c r="AC134" s="22">
        <f t="shared" si="111"/>
        <v>2.0135858337814008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-1.1368683772161603E-13</v>
      </c>
      <c r="AJ134" s="13">
        <f>AI134*VLOOKUP('Données projet'!$B$10,Paramètres!$A$1:$I$89,3,0)*VLOOKUP('Données projet'!$B$10,Paramètres!$A$1:$I$89,5,0)</f>
        <v>-1.1527845344971866E-13</v>
      </c>
      <c r="AK134" s="13" t="e">
        <f t="shared" si="143"/>
        <v>#NUM!</v>
      </c>
      <c r="AL134" s="20" t="e">
        <f t="shared" si="112"/>
        <v>#NUM!</v>
      </c>
      <c r="AM134" s="59" t="e">
        <f t="shared" si="113"/>
        <v>#NUM!</v>
      </c>
      <c r="AN134" s="59">
        <f ca="1">AVERAGE(OFFSET($AM$3,0,0,'Données projet'!$E$10+1,1))-AVERAGE(OFFSET($H$3,0,0,'Données projet'!$E$10+1,1))</f>
        <v>279.20364724206644</v>
      </c>
      <c r="AO134" s="59">
        <f t="shared" si="144"/>
        <v>173.99850582760712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0</v>
      </c>
      <c r="AV134" s="21">
        <f>EXP(-LN(2)/25)*AV133+(1-EXP(-LN(2)/25))/(LN(2)/25)*Calculateur!AQ134*Calculateur!AS134*VLOOKUP('Données projet'!$B$10,Paramètres!$A$1:$I$89,3,0)*0.475*44/12</f>
        <v>0.21160064486948715</v>
      </c>
      <c r="AW134" s="21">
        <f>EXP(-LN(2)/2)*AW133+(1-EXP(-LN(2)/2))/(LN(2)/2)*AQ134*AT134*VLOOKUP('Données projet'!$B$10,Paramètres!$A$1:$I$89,3,0)*0.475*44/12</f>
        <v>4.3562768646659581E-15</v>
      </c>
      <c r="AX134" s="21">
        <f t="shared" si="114"/>
        <v>0.21160064486949151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-1.1368683772161603E-13</v>
      </c>
      <c r="BE134" s="13">
        <f>BD134*VLOOKUP('Données projet'!$B$11,Paramètres!$A$1:$I$89,3,0)*VLOOKUP('Données projet'!$B$11,Paramètres!$A$1:$I$89,5,0)</f>
        <v>-5.3205440053716299E-14</v>
      </c>
      <c r="BF134" s="13" t="e">
        <f t="shared" si="145"/>
        <v>#NUM!</v>
      </c>
      <c r="BG134" s="20" t="e">
        <f t="shared" si="115"/>
        <v>#NUM!</v>
      </c>
      <c r="BH134" s="59" t="e">
        <f t="shared" si="116"/>
        <v>#NUM!</v>
      </c>
      <c r="BI134" s="59">
        <f ca="1">AVERAGE(OFFSET($BH$3,0,0,'Données projet'!$E$11+1,1))-AVERAGE(OFFSET($H$3,0,0,'Données projet'!$E$11+1,1))</f>
        <v>215.23235148064941</v>
      </c>
      <c r="BJ134" s="59">
        <f t="shared" si="146"/>
        <v>184.07239726900434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0.42412416857470842</v>
      </c>
      <c r="BQ134" s="21">
        <f>EXP(-LN(2)/25)*BQ133+(1-EXP(-LN(2)/25))/(LN(2)/25)*Calculateur!BL134*Calculateur!BN134*VLOOKUP('Données projet'!$B$11,Paramètres!$A$1:$I$89,3,0)*0.475*44/12</f>
        <v>0.47754101675827293</v>
      </c>
      <c r="BR134" s="21">
        <f>EXP(-LN(2)/2)*BR133+(1-EXP(-LN(2)/2))/(LN(2)/2)*BL134*BO134*VLOOKUP('Données projet'!$B$11,Paramètres!$A$1:$I$89,3,0)*0.475*44/12</f>
        <v>6.1749704576642879E-15</v>
      </c>
      <c r="BS134" s="22">
        <f t="shared" si="117"/>
        <v>0.90166518533298756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 t="e">
        <f>BY134*VLOOKUP('Données projet'!$B$12,Paramètres!$A$1:$I$89,3,0)*VLOOKUP('Données projet'!$B$12,Paramètres!$A$1:$I$89,5,0)</f>
        <v>#N/A</v>
      </c>
      <c r="CA134" s="13" t="e">
        <f t="shared" si="147"/>
        <v>#N/A</v>
      </c>
      <c r="CB134" s="20" t="e">
        <f t="shared" si="118"/>
        <v>#N/A</v>
      </c>
      <c r="CC134" s="59" t="e">
        <f t="shared" si="119"/>
        <v>#N/A</v>
      </c>
      <c r="CD134" s="59" t="e">
        <f ca="1">AVERAGE(OFFSET($CC$3,0,0,'Données projet'!$E$12+1,1))-AVERAGE(OFFSET($H$3,0,0,'Données projet'!$E$12+1,1))</f>
        <v>#N/A</v>
      </c>
      <c r="CE134" s="59" t="e">
        <f t="shared" si="148"/>
        <v>#N/A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 t="e">
        <f>EXP(-LN(2)/35)*CK133+(1-EXP(-LN(2)/35))/(LN(2)/35)*CG134*CH134*VLOOKUP('Données projet'!$B$12,Paramètres!$A$1:$I$89,3,0)*0.475*44/12</f>
        <v>#N/A</v>
      </c>
      <c r="CL134" s="21" t="e">
        <f>EXP(-LN(2)/25)*CL133+(1-EXP(-LN(2)/25))/(LN(2)/25)*Calculateur!CG134*Calculateur!CI134*VLOOKUP('Données projet'!$B$12,Paramètres!$A$1:$I$89,3,0)*0.475*44/12</f>
        <v>#N/A</v>
      </c>
      <c r="CM134" s="21" t="e">
        <f>EXP(-LN(2)/2)*CM133+(1-EXP(-LN(2)/2))/(LN(2)/2)*CG134*CJ134*VLOOKUP('Données projet'!$B$12,Paramètres!$A$1:$I$89,3,0)*0.475*44/12</f>
        <v>#N/A</v>
      </c>
      <c r="CN134" s="22" t="e">
        <f t="shared" si="120"/>
        <v>#N/A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25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117.37440000000022</v>
      </c>
      <c r="D135" s="11">
        <f t="shared" si="140"/>
        <v>31.061834975351932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10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1145.8235682307889</v>
      </c>
      <c r="H135" s="67">
        <f t="shared" si="110"/>
        <v>551.85977591540495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-3.4106051316484809E-13</v>
      </c>
      <c r="O135" s="13">
        <f>N135*VLOOKUP('Données projet'!$B$9,Paramètres!$A$1:$I$89,3,0)*VLOOKUP('Données projet'!$B$9,Paramètres!$A$1:$I$89,5,0)</f>
        <v>-1.9065282685915009E-13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279.98352834501759</v>
      </c>
      <c r="T135" s="59">
        <f t="shared" si="142"/>
        <v>281.30062655265488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0.53020218550984333</v>
      </c>
      <c r="AA135" s="21">
        <f>EXP(-LN(2)/25)*AA134+(1-EXP(-LN(2)/25))/(LN(2)/25)*Calculateur!V135*Calculateur!X135*VLOOKUP('Données projet'!$B$9,Paramètres!$A$1:$I$89,3,0)*0.475*44/12</f>
        <v>1.4325055388399053</v>
      </c>
      <c r="AB135" s="21">
        <f>EXP(-LN(2)/2)*AB134+(1-EXP(-LN(2)/2))/(LN(2)/2)*V135*Y135*VLOOKUP('Données projet'!$B$9,Paramètres!$A$1:$I$89,3,0)*0.475*44/12</f>
        <v>1.2575336494708864E-14</v>
      </c>
      <c r="AC135" s="22">
        <f t="shared" si="111"/>
        <v>1.9627077243497613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-1.1368683772161603E-13</v>
      </c>
      <c r="AJ135" s="13">
        <f>AI135*VLOOKUP('Données projet'!$B$10,Paramètres!$A$1:$I$89,3,0)*VLOOKUP('Données projet'!$B$10,Paramètres!$A$1:$I$89,5,0)</f>
        <v>-1.1527845344971866E-13</v>
      </c>
      <c r="AK135" s="13" t="e">
        <f t="shared" si="143"/>
        <v>#NUM!</v>
      </c>
      <c r="AL135" s="20" t="e">
        <f t="shared" si="112"/>
        <v>#NUM!</v>
      </c>
      <c r="AM135" s="59" t="e">
        <f t="shared" si="113"/>
        <v>#NUM!</v>
      </c>
      <c r="AN135" s="59">
        <f ca="1">AVERAGE(OFFSET($AM$3,0,0,'Données projet'!$E$10+1,1))-AVERAGE(OFFSET($H$3,0,0,'Données projet'!$E$10+1,1))</f>
        <v>279.20364724206644</v>
      </c>
      <c r="AO135" s="59">
        <f t="shared" si="144"/>
        <v>173.99850582760712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0</v>
      </c>
      <c r="AV135" s="21">
        <f>EXP(-LN(2)/25)*AV134+(1-EXP(-LN(2)/25))/(LN(2)/25)*Calculateur!AQ135*Calculateur!AS135*VLOOKUP('Données projet'!$B$10,Paramètres!$A$1:$I$89,3,0)*0.475*44/12</f>
        <v>0.20581441410793674</v>
      </c>
      <c r="AW135" s="21">
        <f>EXP(-LN(2)/2)*AW134+(1-EXP(-LN(2)/2))/(LN(2)/2)*AQ135*AT135*VLOOKUP('Données projet'!$B$10,Paramètres!$A$1:$I$89,3,0)*0.475*44/12</f>
        <v>3.0803529117313709E-15</v>
      </c>
      <c r="AX135" s="21">
        <f t="shared" si="114"/>
        <v>0.20581441410793982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-1.1368683772161603E-13</v>
      </c>
      <c r="BE135" s="13">
        <f>BD135*VLOOKUP('Données projet'!$B$11,Paramètres!$A$1:$I$89,3,0)*VLOOKUP('Données projet'!$B$11,Paramètres!$A$1:$I$89,5,0)</f>
        <v>-5.3205440053716299E-14</v>
      </c>
      <c r="BF135" s="13" t="e">
        <f t="shared" si="145"/>
        <v>#NUM!</v>
      </c>
      <c r="BG135" s="20" t="e">
        <f t="shared" si="115"/>
        <v>#NUM!</v>
      </c>
      <c r="BH135" s="59" t="e">
        <f t="shared" si="116"/>
        <v>#NUM!</v>
      </c>
      <c r="BI135" s="59">
        <f ca="1">AVERAGE(OFFSET($BH$3,0,0,'Données projet'!$E$11+1,1))-AVERAGE(OFFSET($H$3,0,0,'Données projet'!$E$11+1,1))</f>
        <v>215.23235148064941</v>
      </c>
      <c r="BJ135" s="59">
        <f t="shared" si="146"/>
        <v>184.07239726900434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0.41580735231915766</v>
      </c>
      <c r="BQ135" s="21">
        <f>EXP(-LN(2)/25)*BQ134+(1-EXP(-LN(2)/25))/(LN(2)/25)*Calculateur!BL135*Calculateur!BN135*VLOOKUP('Données projet'!$B$11,Paramètres!$A$1:$I$89,3,0)*0.475*44/12</f>
        <v>0.46448263254222732</v>
      </c>
      <c r="BR135" s="21">
        <f>EXP(-LN(2)/2)*BR134+(1-EXP(-LN(2)/2))/(LN(2)/2)*BL135*BO135*VLOOKUP('Données projet'!$B$11,Paramètres!$A$1:$I$89,3,0)*0.475*44/12</f>
        <v>4.3663634842410168E-15</v>
      </c>
      <c r="BS135" s="22">
        <f t="shared" si="117"/>
        <v>0.88028998486138932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 t="e">
        <f>BY135*VLOOKUP('Données projet'!$B$12,Paramètres!$A$1:$I$89,3,0)*VLOOKUP('Données projet'!$B$12,Paramètres!$A$1:$I$89,5,0)</f>
        <v>#N/A</v>
      </c>
      <c r="CA135" s="13" t="e">
        <f t="shared" si="147"/>
        <v>#N/A</v>
      </c>
      <c r="CB135" s="20" t="e">
        <f t="shared" si="118"/>
        <v>#N/A</v>
      </c>
      <c r="CC135" s="59" t="e">
        <f t="shared" si="119"/>
        <v>#N/A</v>
      </c>
      <c r="CD135" s="59" t="e">
        <f ca="1">AVERAGE(OFFSET($CC$3,0,0,'Données projet'!$E$12+1,1))-AVERAGE(OFFSET($H$3,0,0,'Données projet'!$E$12+1,1))</f>
        <v>#N/A</v>
      </c>
      <c r="CE135" s="59" t="e">
        <f t="shared" si="148"/>
        <v>#N/A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 t="e">
        <f>EXP(-LN(2)/35)*CK134+(1-EXP(-LN(2)/35))/(LN(2)/35)*CG135*CH135*VLOOKUP('Données projet'!$B$12,Paramètres!$A$1:$I$89,3,0)*0.475*44/12</f>
        <v>#N/A</v>
      </c>
      <c r="CL135" s="21" t="e">
        <f>EXP(-LN(2)/25)*CL134+(1-EXP(-LN(2)/25))/(LN(2)/25)*Calculateur!CG135*Calculateur!CI135*VLOOKUP('Données projet'!$B$12,Paramètres!$A$1:$I$89,3,0)*0.475*44/12</f>
        <v>#N/A</v>
      </c>
      <c r="CM135" s="21" t="e">
        <f>EXP(-LN(2)/2)*CM134+(1-EXP(-LN(2)/2))/(LN(2)/2)*CG135*CJ135*VLOOKUP('Données projet'!$B$12,Paramètres!$A$1:$I$89,3,0)*0.475*44/12</f>
        <v>#N/A</v>
      </c>
      <c r="CN135" s="22" t="e">
        <f t="shared" si="120"/>
        <v>#N/A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25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118.26360000000022</v>
      </c>
      <c r="D136" s="11">
        <f t="shared" si="140"/>
        <v>31.26966959708238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10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1154.2919056616904</v>
      </c>
      <c r="H136" s="67">
        <f t="shared" si="110"/>
        <v>553.77044454825227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-3.4106051316484809E-13</v>
      </c>
      <c r="O136" s="13">
        <f>N136*VLOOKUP('Données projet'!$B$9,Paramètres!$A$1:$I$89,3,0)*VLOOKUP('Données projet'!$B$9,Paramètres!$A$1:$I$89,5,0)</f>
        <v>-1.9065282685915009E-13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279.98352834501759</v>
      </c>
      <c r="T136" s="59">
        <f t="shared" si="142"/>
        <v>281.30062655265488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0.51980524404339623</v>
      </c>
      <c r="AA136" s="21">
        <f>EXP(-LN(2)/25)*AA135+(1-EXP(-LN(2)/25))/(LN(2)/25)*Calculateur!V136*Calculateur!X136*VLOOKUP('Données projet'!$B$9,Paramètres!$A$1:$I$89,3,0)*0.475*44/12</f>
        <v>1.3933335995481357</v>
      </c>
      <c r="AB136" s="21">
        <f>EXP(-LN(2)/2)*AB135+(1-EXP(-LN(2)/2))/(LN(2)/2)*V136*Y136*VLOOKUP('Données projet'!$B$9,Paramètres!$A$1:$I$89,3,0)*0.475*44/12</f>
        <v>8.8921057111113063E-15</v>
      </c>
      <c r="AC136" s="22">
        <f t="shared" si="111"/>
        <v>1.9131388435915408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-1.1368683772161603E-13</v>
      </c>
      <c r="AJ136" s="13">
        <f>AI136*VLOOKUP('Données projet'!$B$10,Paramètres!$A$1:$I$89,3,0)*VLOOKUP('Données projet'!$B$10,Paramètres!$A$1:$I$89,5,0)</f>
        <v>-1.1527845344971866E-13</v>
      </c>
      <c r="AK136" s="13" t="e">
        <f t="shared" si="143"/>
        <v>#NUM!</v>
      </c>
      <c r="AL136" s="20" t="e">
        <f t="shared" si="112"/>
        <v>#NUM!</v>
      </c>
      <c r="AM136" s="59" t="e">
        <f t="shared" si="113"/>
        <v>#NUM!</v>
      </c>
      <c r="AN136" s="59">
        <f ca="1">AVERAGE(OFFSET($AM$3,0,0,'Données projet'!$E$10+1,1))-AVERAGE(OFFSET($H$3,0,0,'Données projet'!$E$10+1,1))</f>
        <v>279.20364724206644</v>
      </c>
      <c r="AO136" s="59">
        <f t="shared" si="144"/>
        <v>173.99850582760712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0</v>
      </c>
      <c r="AV136" s="21">
        <f>EXP(-LN(2)/25)*AV135+(1-EXP(-LN(2)/25))/(LN(2)/25)*Calculateur!AQ136*Calculateur!AS136*VLOOKUP('Données projet'!$B$10,Paramètres!$A$1:$I$89,3,0)*0.475*44/12</f>
        <v>0.20018640813084557</v>
      </c>
      <c r="AW136" s="21">
        <f>EXP(-LN(2)/2)*AW135+(1-EXP(-LN(2)/2))/(LN(2)/2)*AQ136*AT136*VLOOKUP('Données projet'!$B$10,Paramètres!$A$1:$I$89,3,0)*0.475*44/12</f>
        <v>2.178138432332979E-15</v>
      </c>
      <c r="AX136" s="21">
        <f t="shared" si="114"/>
        <v>0.20018640813084773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-1.1368683772161603E-13</v>
      </c>
      <c r="BE136" s="13">
        <f>BD136*VLOOKUP('Données projet'!$B$11,Paramètres!$A$1:$I$89,3,0)*VLOOKUP('Données projet'!$B$11,Paramètres!$A$1:$I$89,5,0)</f>
        <v>-5.3205440053716299E-14</v>
      </c>
      <c r="BF136" s="13" t="e">
        <f t="shared" si="145"/>
        <v>#NUM!</v>
      </c>
      <c r="BG136" s="20" t="e">
        <f t="shared" si="115"/>
        <v>#NUM!</v>
      </c>
      <c r="BH136" s="59" t="e">
        <f t="shared" si="116"/>
        <v>#NUM!</v>
      </c>
      <c r="BI136" s="59">
        <f ca="1">AVERAGE(OFFSET($BH$3,0,0,'Données projet'!$E$11+1,1))-AVERAGE(OFFSET($H$3,0,0,'Données projet'!$E$11+1,1))</f>
        <v>215.23235148064941</v>
      </c>
      <c r="BJ136" s="59">
        <f t="shared" si="146"/>
        <v>184.07239726900434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0.40765362375762126</v>
      </c>
      <c r="BQ136" s="21">
        <f>EXP(-LN(2)/25)*BQ135+(1-EXP(-LN(2)/25))/(LN(2)/25)*Calculateur!BL136*Calculateur!BN136*VLOOKUP('Données projet'!$B$11,Paramètres!$A$1:$I$89,3,0)*0.475*44/12</f>
        <v>0.45178133052928005</v>
      </c>
      <c r="BR136" s="21">
        <f>EXP(-LN(2)/2)*BR135+(1-EXP(-LN(2)/2))/(LN(2)/2)*BL136*BO136*VLOOKUP('Données projet'!$B$11,Paramètres!$A$1:$I$89,3,0)*0.475*44/12</f>
        <v>3.087485228832144E-15</v>
      </c>
      <c r="BS136" s="22">
        <f t="shared" si="117"/>
        <v>0.85943495428690442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 t="e">
        <f>BY136*VLOOKUP('Données projet'!$B$12,Paramètres!$A$1:$I$89,3,0)*VLOOKUP('Données projet'!$B$12,Paramètres!$A$1:$I$89,5,0)</f>
        <v>#N/A</v>
      </c>
      <c r="CA136" s="13" t="e">
        <f t="shared" si="147"/>
        <v>#N/A</v>
      </c>
      <c r="CB136" s="20" t="e">
        <f t="shared" si="118"/>
        <v>#N/A</v>
      </c>
      <c r="CC136" s="59" t="e">
        <f t="shared" si="119"/>
        <v>#N/A</v>
      </c>
      <c r="CD136" s="59" t="e">
        <f ca="1">AVERAGE(OFFSET($CC$3,0,0,'Données projet'!$E$12+1,1))-AVERAGE(OFFSET($H$3,0,0,'Données projet'!$E$12+1,1))</f>
        <v>#N/A</v>
      </c>
      <c r="CE136" s="59" t="e">
        <f t="shared" si="148"/>
        <v>#N/A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 t="e">
        <f>EXP(-LN(2)/35)*CK135+(1-EXP(-LN(2)/35))/(LN(2)/35)*CG136*CH136*VLOOKUP('Données projet'!$B$12,Paramètres!$A$1:$I$89,3,0)*0.475*44/12</f>
        <v>#N/A</v>
      </c>
      <c r="CL136" s="21" t="e">
        <f>EXP(-LN(2)/25)*CL135+(1-EXP(-LN(2)/25))/(LN(2)/25)*Calculateur!CG136*Calculateur!CI136*VLOOKUP('Données projet'!$B$12,Paramètres!$A$1:$I$89,3,0)*0.475*44/12</f>
        <v>#N/A</v>
      </c>
      <c r="CM136" s="21" t="e">
        <f>EXP(-LN(2)/2)*CM135+(1-EXP(-LN(2)/2))/(LN(2)/2)*CG136*CJ136*VLOOKUP('Données projet'!$B$12,Paramètres!$A$1:$I$89,3,0)*0.475*44/12</f>
        <v>#N/A</v>
      </c>
      <c r="CN136" s="22" t="e">
        <f t="shared" si="120"/>
        <v>#N/A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25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119.15280000000023</v>
      </c>
      <c r="D137" s="11">
        <f t="shared" si="140"/>
        <v>31.477322402212781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10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1162.7588395960302</v>
      </c>
      <c r="H137" s="67">
        <f t="shared" si="110"/>
        <v>555.68079651718767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-3.4106051316484809E-13</v>
      </c>
      <c r="O137" s="13">
        <f>N137*VLOOKUP('Données projet'!$B$9,Paramètres!$A$1:$I$89,3,0)*VLOOKUP('Données projet'!$B$9,Paramètres!$A$1:$I$89,5,0)</f>
        <v>-1.9065282685915009E-13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279.98352834501759</v>
      </c>
      <c r="T137" s="59">
        <f t="shared" si="142"/>
        <v>281.30062655265488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0.50961218025759802</v>
      </c>
      <c r="AA137" s="21">
        <f>EXP(-LN(2)/25)*AA136+(1-EXP(-LN(2)/25))/(LN(2)/25)*Calculateur!V137*Calculateur!X137*VLOOKUP('Données projet'!$B$9,Paramètres!$A$1:$I$89,3,0)*0.475*44/12</f>
        <v>1.3552328189962626</v>
      </c>
      <c r="AB137" s="21">
        <f>EXP(-LN(2)/2)*AB136+(1-EXP(-LN(2)/2))/(LN(2)/2)*V137*Y137*VLOOKUP('Données projet'!$B$9,Paramètres!$A$1:$I$89,3,0)*0.475*44/12</f>
        <v>6.2876682473544321E-15</v>
      </c>
      <c r="AC137" s="22">
        <f t="shared" si="111"/>
        <v>1.8648449992538669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-1.1368683772161603E-13</v>
      </c>
      <c r="AJ137" s="13">
        <f>AI137*VLOOKUP('Données projet'!$B$10,Paramètres!$A$1:$I$89,3,0)*VLOOKUP('Données projet'!$B$10,Paramètres!$A$1:$I$89,5,0)</f>
        <v>-1.1527845344971866E-13</v>
      </c>
      <c r="AK137" s="13" t="e">
        <f t="shared" si="143"/>
        <v>#NUM!</v>
      </c>
      <c r="AL137" s="20" t="e">
        <f t="shared" si="112"/>
        <v>#NUM!</v>
      </c>
      <c r="AM137" s="59" t="e">
        <f t="shared" si="113"/>
        <v>#NUM!</v>
      </c>
      <c r="AN137" s="59">
        <f ca="1">AVERAGE(OFFSET($AM$3,0,0,'Données projet'!$E$10+1,1))-AVERAGE(OFFSET($H$3,0,0,'Données projet'!$E$10+1,1))</f>
        <v>279.20364724206644</v>
      </c>
      <c r="AO137" s="59">
        <f t="shared" si="144"/>
        <v>173.99850582760712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0</v>
      </c>
      <c r="AV137" s="21">
        <f>EXP(-LN(2)/25)*AV136+(1-EXP(-LN(2)/25))/(LN(2)/25)*Calculateur!AQ137*Calculateur!AS137*VLOOKUP('Données projet'!$B$10,Paramètres!$A$1:$I$89,3,0)*0.475*44/12</f>
        <v>0.19471230027316191</v>
      </c>
      <c r="AW137" s="21">
        <f>EXP(-LN(2)/2)*AW136+(1-EXP(-LN(2)/2))/(LN(2)/2)*AQ137*AT137*VLOOKUP('Données projet'!$B$10,Paramètres!$A$1:$I$89,3,0)*0.475*44/12</f>
        <v>1.5401764558656855E-15</v>
      </c>
      <c r="AX137" s="21">
        <f t="shared" si="114"/>
        <v>0.19471230027316344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-1.1368683772161603E-13</v>
      </c>
      <c r="BE137" s="13">
        <f>BD137*VLOOKUP('Données projet'!$B$11,Paramètres!$A$1:$I$89,3,0)*VLOOKUP('Données projet'!$B$11,Paramètres!$A$1:$I$89,5,0)</f>
        <v>-5.3205440053716299E-14</v>
      </c>
      <c r="BF137" s="13" t="e">
        <f t="shared" si="145"/>
        <v>#NUM!</v>
      </c>
      <c r="BG137" s="20" t="e">
        <f t="shared" si="115"/>
        <v>#NUM!</v>
      </c>
      <c r="BH137" s="59" t="e">
        <f t="shared" si="116"/>
        <v>#NUM!</v>
      </c>
      <c r="BI137" s="59">
        <f ca="1">AVERAGE(OFFSET($BH$3,0,0,'Données projet'!$E$11+1,1))-AVERAGE(OFFSET($H$3,0,0,'Données projet'!$E$11+1,1))</f>
        <v>215.23235148064941</v>
      </c>
      <c r="BJ137" s="59">
        <f t="shared" si="146"/>
        <v>184.07239726900434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0.39965978483989323</v>
      </c>
      <c r="BQ137" s="21">
        <f>EXP(-LN(2)/25)*BQ136+(1-EXP(-LN(2)/25))/(LN(2)/25)*Calculateur!BL137*Calculateur!BN137*VLOOKUP('Données projet'!$B$11,Paramètres!$A$1:$I$89,3,0)*0.475*44/12</f>
        <v>0.43942734628780927</v>
      </c>
      <c r="BR137" s="21">
        <f>EXP(-LN(2)/2)*BR136+(1-EXP(-LN(2)/2))/(LN(2)/2)*BL137*BO137*VLOOKUP('Données projet'!$B$11,Paramètres!$A$1:$I$89,3,0)*0.475*44/12</f>
        <v>2.1831817421205084E-15</v>
      </c>
      <c r="BS137" s="22">
        <f t="shared" si="117"/>
        <v>0.83908713112770472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 t="e">
        <f>BY137*VLOOKUP('Données projet'!$B$12,Paramètres!$A$1:$I$89,3,0)*VLOOKUP('Données projet'!$B$12,Paramètres!$A$1:$I$89,5,0)</f>
        <v>#N/A</v>
      </c>
      <c r="CA137" s="13" t="e">
        <f t="shared" si="147"/>
        <v>#N/A</v>
      </c>
      <c r="CB137" s="20" t="e">
        <f t="shared" si="118"/>
        <v>#N/A</v>
      </c>
      <c r="CC137" s="59" t="e">
        <f t="shared" si="119"/>
        <v>#N/A</v>
      </c>
      <c r="CD137" s="59" t="e">
        <f ca="1">AVERAGE(OFFSET($CC$3,0,0,'Données projet'!$E$12+1,1))-AVERAGE(OFFSET($H$3,0,0,'Données projet'!$E$12+1,1))</f>
        <v>#N/A</v>
      </c>
      <c r="CE137" s="59" t="e">
        <f t="shared" si="148"/>
        <v>#N/A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 t="e">
        <f>EXP(-LN(2)/35)*CK136+(1-EXP(-LN(2)/35))/(LN(2)/35)*CG137*CH137*VLOOKUP('Données projet'!$B$12,Paramètres!$A$1:$I$89,3,0)*0.475*44/12</f>
        <v>#N/A</v>
      </c>
      <c r="CL137" s="21" t="e">
        <f>EXP(-LN(2)/25)*CL136+(1-EXP(-LN(2)/25))/(LN(2)/25)*Calculateur!CG137*Calculateur!CI137*VLOOKUP('Données projet'!$B$12,Paramètres!$A$1:$I$89,3,0)*0.475*44/12</f>
        <v>#N/A</v>
      </c>
      <c r="CM137" s="21" t="e">
        <f>EXP(-LN(2)/2)*CM136+(1-EXP(-LN(2)/2))/(LN(2)/2)*CG137*CJ137*VLOOKUP('Données projet'!$B$12,Paramètres!$A$1:$I$89,3,0)*0.475*44/12</f>
        <v>#N/A</v>
      </c>
      <c r="CN137" s="22" t="e">
        <f t="shared" si="120"/>
        <v>#N/A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25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120.04200000000023</v>
      </c>
      <c r="D138" s="11">
        <f t="shared" si="140"/>
        <v>31.68479490489014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10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1171.2243817219608</v>
      </c>
      <c r="H138" s="67">
        <f t="shared" si="110"/>
        <v>557.59083445935073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-3.4106051316484809E-13</v>
      </c>
      <c r="O138" s="13">
        <f>N138*VLOOKUP('Données projet'!$B$9,Paramètres!$A$1:$I$89,3,0)*VLOOKUP('Données projet'!$B$9,Paramètres!$A$1:$I$89,5,0)</f>
        <v>-1.9065282685915009E-13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279.98352834501759</v>
      </c>
      <c r="T138" s="59">
        <f t="shared" si="142"/>
        <v>281.30062655265488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0.49961899623548428</v>
      </c>
      <c r="AA138" s="21">
        <f>EXP(-LN(2)/25)*AA137+(1-EXP(-LN(2)/25))/(LN(2)/25)*Calculateur!V138*Calculateur!X138*VLOOKUP('Données projet'!$B$9,Paramètres!$A$1:$I$89,3,0)*0.475*44/12</f>
        <v>1.3181739062922133</v>
      </c>
      <c r="AB138" s="21">
        <f>EXP(-LN(2)/2)*AB137+(1-EXP(-LN(2)/2))/(LN(2)/2)*V138*Y138*VLOOKUP('Données projet'!$B$9,Paramètres!$A$1:$I$89,3,0)*0.475*44/12</f>
        <v>4.4460528555556531E-15</v>
      </c>
      <c r="AC138" s="22">
        <f t="shared" si="111"/>
        <v>1.817792902527702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-1.1368683772161603E-13</v>
      </c>
      <c r="AJ138" s="13">
        <f>AI138*VLOOKUP('Données projet'!$B$10,Paramètres!$A$1:$I$89,3,0)*VLOOKUP('Données projet'!$B$10,Paramètres!$A$1:$I$89,5,0)</f>
        <v>-1.1527845344971866E-13</v>
      </c>
      <c r="AK138" s="13" t="e">
        <f t="shared" si="143"/>
        <v>#NUM!</v>
      </c>
      <c r="AL138" s="20" t="e">
        <f t="shared" si="112"/>
        <v>#NUM!</v>
      </c>
      <c r="AM138" s="59" t="e">
        <f t="shared" si="113"/>
        <v>#NUM!</v>
      </c>
      <c r="AN138" s="59">
        <f ca="1">AVERAGE(OFFSET($AM$3,0,0,'Données projet'!$E$10+1,1))-AVERAGE(OFFSET($H$3,0,0,'Données projet'!$E$10+1,1))</f>
        <v>279.20364724206644</v>
      </c>
      <c r="AO138" s="59">
        <f t="shared" si="144"/>
        <v>173.99850582760712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0</v>
      </c>
      <c r="AV138" s="21">
        <f>EXP(-LN(2)/25)*AV137+(1-EXP(-LN(2)/25))/(LN(2)/25)*Calculateur!AQ138*Calculateur!AS138*VLOOKUP('Données projet'!$B$10,Paramètres!$A$1:$I$89,3,0)*0.475*44/12</f>
        <v>0.18938788218271746</v>
      </c>
      <c r="AW138" s="21">
        <f>EXP(-LN(2)/2)*AW137+(1-EXP(-LN(2)/2))/(LN(2)/2)*AQ138*AT138*VLOOKUP('Données projet'!$B$10,Paramètres!$A$1:$I$89,3,0)*0.475*44/12</f>
        <v>1.0890692161664895E-15</v>
      </c>
      <c r="AX138" s="21">
        <f t="shared" si="114"/>
        <v>0.18938788218271854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-1.1368683772161603E-13</v>
      </c>
      <c r="BE138" s="13">
        <f>BD138*VLOOKUP('Données projet'!$B$11,Paramètres!$A$1:$I$89,3,0)*VLOOKUP('Données projet'!$B$11,Paramètres!$A$1:$I$89,5,0)</f>
        <v>-5.3205440053716299E-14</v>
      </c>
      <c r="BF138" s="13" t="e">
        <f t="shared" si="145"/>
        <v>#NUM!</v>
      </c>
      <c r="BG138" s="20" t="e">
        <f t="shared" si="115"/>
        <v>#NUM!</v>
      </c>
      <c r="BH138" s="59" t="e">
        <f t="shared" si="116"/>
        <v>#NUM!</v>
      </c>
      <c r="BI138" s="59">
        <f ca="1">AVERAGE(OFFSET($BH$3,0,0,'Données projet'!$E$11+1,1))-AVERAGE(OFFSET($H$3,0,0,'Données projet'!$E$11+1,1))</f>
        <v>215.23235148064941</v>
      </c>
      <c r="BJ138" s="59">
        <f t="shared" si="146"/>
        <v>184.07239726900434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0.39182270022758153</v>
      </c>
      <c r="BQ138" s="21">
        <f>EXP(-LN(2)/25)*BQ137+(1-EXP(-LN(2)/25))/(LN(2)/25)*Calculateur!BL138*Calculateur!BN138*VLOOKUP('Données projet'!$B$11,Paramètres!$A$1:$I$89,3,0)*0.475*44/12</f>
        <v>0.4274111823950893</v>
      </c>
      <c r="BR138" s="21">
        <f>EXP(-LN(2)/2)*BR137+(1-EXP(-LN(2)/2))/(LN(2)/2)*BL138*BO138*VLOOKUP('Données projet'!$B$11,Paramètres!$A$1:$I$89,3,0)*0.475*44/12</f>
        <v>1.543742614416072E-15</v>
      </c>
      <c r="BS138" s="22">
        <f t="shared" si="117"/>
        <v>0.81923388262267238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 t="e">
        <f>BY138*VLOOKUP('Données projet'!$B$12,Paramètres!$A$1:$I$89,3,0)*VLOOKUP('Données projet'!$B$12,Paramètres!$A$1:$I$89,5,0)</f>
        <v>#N/A</v>
      </c>
      <c r="CA138" s="13" t="e">
        <f t="shared" si="147"/>
        <v>#N/A</v>
      </c>
      <c r="CB138" s="20" t="e">
        <f t="shared" si="118"/>
        <v>#N/A</v>
      </c>
      <c r="CC138" s="59" t="e">
        <f t="shared" si="119"/>
        <v>#N/A</v>
      </c>
      <c r="CD138" s="59" t="e">
        <f ca="1">AVERAGE(OFFSET($CC$3,0,0,'Données projet'!$E$12+1,1))-AVERAGE(OFFSET($H$3,0,0,'Données projet'!$E$12+1,1))</f>
        <v>#N/A</v>
      </c>
      <c r="CE138" s="59" t="e">
        <f t="shared" si="148"/>
        <v>#N/A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 t="e">
        <f>EXP(-LN(2)/35)*CK137+(1-EXP(-LN(2)/35))/(LN(2)/35)*CG138*CH138*VLOOKUP('Données projet'!$B$12,Paramètres!$A$1:$I$89,3,0)*0.475*44/12</f>
        <v>#N/A</v>
      </c>
      <c r="CL138" s="21" t="e">
        <f>EXP(-LN(2)/25)*CL137+(1-EXP(-LN(2)/25))/(LN(2)/25)*Calculateur!CG138*Calculateur!CI138*VLOOKUP('Données projet'!$B$12,Paramètres!$A$1:$I$89,3,0)*0.475*44/12</f>
        <v>#N/A</v>
      </c>
      <c r="CM138" s="21" t="e">
        <f>EXP(-LN(2)/2)*CM137+(1-EXP(-LN(2)/2))/(LN(2)/2)*CG138*CJ138*VLOOKUP('Données projet'!$B$12,Paramètres!$A$1:$I$89,3,0)*0.475*44/12</f>
        <v>#N/A</v>
      </c>
      <c r="CN138" s="22" t="e">
        <f t="shared" si="120"/>
        <v>#N/A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25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120.93120000000023</v>
      </c>
      <c r="D139" s="11">
        <f t="shared" si="140"/>
        <v>31.892088595533707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10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1179.6885435444726</v>
      </c>
      <c r="H139" s="67">
        <f t="shared" si="110"/>
        <v>559.50056097055494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-3.4106051316484809E-13</v>
      </c>
      <c r="O139" s="13">
        <f>N139*VLOOKUP('Données projet'!$B$9,Paramètres!$A$1:$I$89,3,0)*VLOOKUP('Données projet'!$B$9,Paramètres!$A$1:$I$89,5,0)</f>
        <v>-1.9065282685915009E-13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279.98352834501759</v>
      </c>
      <c r="T139" s="59">
        <f t="shared" si="142"/>
        <v>281.30062655265488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0.48982177245680381</v>
      </c>
      <c r="AA139" s="21">
        <f>EXP(-LN(2)/25)*AA138+(1-EXP(-LN(2)/25))/(LN(2)/25)*Calculateur!V139*Calculateur!X139*VLOOKUP('Données projet'!$B$9,Paramètres!$A$1:$I$89,3,0)*0.475*44/12</f>
        <v>1.2821283715048997</v>
      </c>
      <c r="AB139" s="21">
        <f>EXP(-LN(2)/2)*AB138+(1-EXP(-LN(2)/2))/(LN(2)/2)*V139*Y139*VLOOKUP('Données projet'!$B$9,Paramètres!$A$1:$I$89,3,0)*0.475*44/12</f>
        <v>3.143834123677216E-15</v>
      </c>
      <c r="AC139" s="22">
        <f t="shared" si="111"/>
        <v>1.7719501439617065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-1.1368683772161603E-13</v>
      </c>
      <c r="AJ139" s="13">
        <f>AI139*VLOOKUP('Données projet'!$B$10,Paramètres!$A$1:$I$89,3,0)*VLOOKUP('Données projet'!$B$10,Paramètres!$A$1:$I$89,5,0)</f>
        <v>-1.1527845344971866E-13</v>
      </c>
      <c r="AK139" s="13" t="e">
        <f t="shared" si="143"/>
        <v>#NUM!</v>
      </c>
      <c r="AL139" s="20" t="e">
        <f t="shared" si="112"/>
        <v>#NUM!</v>
      </c>
      <c r="AM139" s="59" t="e">
        <f t="shared" si="113"/>
        <v>#NUM!</v>
      </c>
      <c r="AN139" s="59">
        <f ca="1">AVERAGE(OFFSET($AM$3,0,0,'Données projet'!$E$10+1,1))-AVERAGE(OFFSET($H$3,0,0,'Données projet'!$E$10+1,1))</f>
        <v>279.20364724206644</v>
      </c>
      <c r="AO139" s="59">
        <f t="shared" si="144"/>
        <v>173.99850582760712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0</v>
      </c>
      <c r="AV139" s="21">
        <f>EXP(-LN(2)/25)*AV138+(1-EXP(-LN(2)/25))/(LN(2)/25)*Calculateur!AQ139*Calculateur!AS139*VLOOKUP('Données projet'!$B$10,Paramètres!$A$1:$I$89,3,0)*0.475*44/12</f>
        <v>0.18420906058495518</v>
      </c>
      <c r="AW139" s="21">
        <f>EXP(-LN(2)/2)*AW138+(1-EXP(-LN(2)/2))/(LN(2)/2)*AQ139*AT139*VLOOKUP('Données projet'!$B$10,Paramètres!$A$1:$I$89,3,0)*0.475*44/12</f>
        <v>7.7008822793284273E-16</v>
      </c>
      <c r="AX139" s="21">
        <f t="shared" si="114"/>
        <v>0.18420906058495595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-1.1368683772161603E-13</v>
      </c>
      <c r="BE139" s="13">
        <f>BD139*VLOOKUP('Données projet'!$B$11,Paramètres!$A$1:$I$89,3,0)*VLOOKUP('Données projet'!$B$11,Paramètres!$A$1:$I$89,5,0)</f>
        <v>-5.3205440053716299E-14</v>
      </c>
      <c r="BF139" s="13" t="e">
        <f t="shared" si="145"/>
        <v>#NUM!</v>
      </c>
      <c r="BG139" s="20" t="e">
        <f t="shared" si="115"/>
        <v>#NUM!</v>
      </c>
      <c r="BH139" s="59" t="e">
        <f t="shared" si="116"/>
        <v>#NUM!</v>
      </c>
      <c r="BI139" s="59">
        <f ca="1">AVERAGE(OFFSET($BH$3,0,0,'Données projet'!$E$11+1,1))-AVERAGE(OFFSET($H$3,0,0,'Données projet'!$E$11+1,1))</f>
        <v>215.23235148064941</v>
      </c>
      <c r="BJ139" s="59">
        <f t="shared" si="146"/>
        <v>184.07239726900434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0.38413929606436764</v>
      </c>
      <c r="BQ139" s="21">
        <f>EXP(-LN(2)/25)*BQ138+(1-EXP(-LN(2)/25))/(LN(2)/25)*Calculateur!BL139*Calculateur!BN139*VLOOKUP('Données projet'!$B$11,Paramètres!$A$1:$I$89,3,0)*0.475*44/12</f>
        <v>0.41572360113591833</v>
      </c>
      <c r="BR139" s="21">
        <f>EXP(-LN(2)/2)*BR138+(1-EXP(-LN(2)/2))/(LN(2)/2)*BL139*BO139*VLOOKUP('Données projet'!$B$11,Paramètres!$A$1:$I$89,3,0)*0.475*44/12</f>
        <v>1.0915908710602542E-15</v>
      </c>
      <c r="BS139" s="22">
        <f t="shared" si="117"/>
        <v>0.79986289720028703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 t="e">
        <f>BY139*VLOOKUP('Données projet'!$B$12,Paramètres!$A$1:$I$89,3,0)*VLOOKUP('Données projet'!$B$12,Paramètres!$A$1:$I$89,5,0)</f>
        <v>#N/A</v>
      </c>
      <c r="CA139" s="13" t="e">
        <f t="shared" si="147"/>
        <v>#N/A</v>
      </c>
      <c r="CB139" s="20" t="e">
        <f t="shared" si="118"/>
        <v>#N/A</v>
      </c>
      <c r="CC139" s="59" t="e">
        <f t="shared" si="119"/>
        <v>#N/A</v>
      </c>
      <c r="CD139" s="59" t="e">
        <f ca="1">AVERAGE(OFFSET($CC$3,0,0,'Données projet'!$E$12+1,1))-AVERAGE(OFFSET($H$3,0,0,'Données projet'!$E$12+1,1))</f>
        <v>#N/A</v>
      </c>
      <c r="CE139" s="59" t="e">
        <f t="shared" si="148"/>
        <v>#N/A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 t="e">
        <f>EXP(-LN(2)/35)*CK138+(1-EXP(-LN(2)/35))/(LN(2)/35)*CG139*CH139*VLOOKUP('Données projet'!$B$12,Paramètres!$A$1:$I$89,3,0)*0.475*44/12</f>
        <v>#N/A</v>
      </c>
      <c r="CL139" s="21" t="e">
        <f>EXP(-LN(2)/25)*CL138+(1-EXP(-LN(2)/25))/(LN(2)/25)*Calculateur!CG139*Calculateur!CI139*VLOOKUP('Données projet'!$B$12,Paramètres!$A$1:$I$89,3,0)*0.475*44/12</f>
        <v>#N/A</v>
      </c>
      <c r="CM139" s="21" t="e">
        <f>EXP(-LN(2)/2)*CM138+(1-EXP(-LN(2)/2))/(LN(2)/2)*CG139*CJ139*VLOOKUP('Données projet'!$B$12,Paramètres!$A$1:$I$89,3,0)*0.475*44/12</f>
        <v>#N/A</v>
      </c>
      <c r="CN139" s="22" t="e">
        <f t="shared" si="120"/>
        <v>#N/A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25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121.82040000000023</v>
      </c>
      <c r="D140" s="11">
        <f t="shared" si="140"/>
        <v>32.09920494137846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10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1188.1513363895899</v>
      </c>
      <c r="H140" s="67">
        <f t="shared" si="110"/>
        <v>561.40997860623452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-3.4106051316484809E-13</v>
      </c>
      <c r="O140" s="13">
        <f>N140*VLOOKUP('Données projet'!$B$9,Paramètres!$A$1:$I$89,3,0)*VLOOKUP('Données projet'!$B$9,Paramètres!$A$1:$I$89,5,0)</f>
        <v>-1.9065282685915009E-13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279.98352834501759</v>
      </c>
      <c r="T140" s="59">
        <f t="shared" si="142"/>
        <v>281.30062655265488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0.4802166662607068</v>
      </c>
      <c r="AA140" s="21">
        <f>EXP(-LN(2)/25)*AA139+(1-EXP(-LN(2)/25))/(LN(2)/25)*Calculateur!V140*Calculateur!X140*VLOOKUP('Données projet'!$B$9,Paramètres!$A$1:$I$89,3,0)*0.475*44/12</f>
        <v>1.2470685037618974</v>
      </c>
      <c r="AB140" s="21">
        <f>EXP(-LN(2)/2)*AB139+(1-EXP(-LN(2)/2))/(LN(2)/2)*V140*Y140*VLOOKUP('Données projet'!$B$9,Paramètres!$A$1:$I$89,3,0)*0.475*44/12</f>
        <v>2.2230264277778266E-15</v>
      </c>
      <c r="AC140" s="22">
        <f t="shared" si="111"/>
        <v>1.7272851700226064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-1.1368683772161603E-13</v>
      </c>
      <c r="AJ140" s="13">
        <f>AI140*VLOOKUP('Données projet'!$B$10,Paramètres!$A$1:$I$89,3,0)*VLOOKUP('Données projet'!$B$10,Paramètres!$A$1:$I$89,5,0)</f>
        <v>-1.1527845344971866E-13</v>
      </c>
      <c r="AK140" s="13" t="e">
        <f t="shared" si="143"/>
        <v>#NUM!</v>
      </c>
      <c r="AL140" s="20" t="e">
        <f t="shared" si="112"/>
        <v>#NUM!</v>
      </c>
      <c r="AM140" s="59" t="e">
        <f t="shared" si="113"/>
        <v>#NUM!</v>
      </c>
      <c r="AN140" s="59">
        <f ca="1">AVERAGE(OFFSET($AM$3,0,0,'Données projet'!$E$10+1,1))-AVERAGE(OFFSET($H$3,0,0,'Données projet'!$E$10+1,1))</f>
        <v>279.20364724206644</v>
      </c>
      <c r="AO140" s="59">
        <f t="shared" si="144"/>
        <v>173.99850582760712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0</v>
      </c>
      <c r="AV140" s="21">
        <f>EXP(-LN(2)/25)*AV139+(1-EXP(-LN(2)/25))/(LN(2)/25)*Calculateur!AQ140*Calculateur!AS140*VLOOKUP('Données projet'!$B$10,Paramètres!$A$1:$I$89,3,0)*0.475*44/12</f>
        <v>0.1791718541361261</v>
      </c>
      <c r="AW140" s="21">
        <f>EXP(-LN(2)/2)*AW139+(1-EXP(-LN(2)/2))/(LN(2)/2)*AQ140*AT140*VLOOKUP('Données projet'!$B$10,Paramètres!$A$1:$I$89,3,0)*0.475*44/12</f>
        <v>5.4453460808324476E-16</v>
      </c>
      <c r="AX140" s="21">
        <f t="shared" si="114"/>
        <v>0.17917185413612666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-1.1368683772161603E-13</v>
      </c>
      <c r="BE140" s="13">
        <f>BD140*VLOOKUP('Données projet'!$B$11,Paramètres!$A$1:$I$89,3,0)*VLOOKUP('Données projet'!$B$11,Paramètres!$A$1:$I$89,5,0)</f>
        <v>-5.3205440053716299E-14</v>
      </c>
      <c r="BF140" s="13" t="e">
        <f t="shared" si="145"/>
        <v>#NUM!</v>
      </c>
      <c r="BG140" s="20" t="e">
        <f t="shared" si="115"/>
        <v>#NUM!</v>
      </c>
      <c r="BH140" s="59" t="e">
        <f t="shared" si="116"/>
        <v>#NUM!</v>
      </c>
      <c r="BI140" s="59">
        <f ca="1">AVERAGE(OFFSET($BH$3,0,0,'Données projet'!$E$11+1,1))-AVERAGE(OFFSET($H$3,0,0,'Données projet'!$E$11+1,1))</f>
        <v>215.23235148064941</v>
      </c>
      <c r="BJ140" s="59">
        <f t="shared" si="146"/>
        <v>184.07239726900434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0.37660655877038063</v>
      </c>
      <c r="BQ140" s="21">
        <f>EXP(-LN(2)/25)*BQ139+(1-EXP(-LN(2)/25))/(LN(2)/25)*Calculateur!BL140*Calculateur!BN140*VLOOKUP('Données projet'!$B$11,Paramètres!$A$1:$I$89,3,0)*0.475*44/12</f>
        <v>0.40435561740090259</v>
      </c>
      <c r="BR140" s="21">
        <f>EXP(-LN(2)/2)*BR139+(1-EXP(-LN(2)/2))/(LN(2)/2)*BL140*BO140*VLOOKUP('Données projet'!$B$11,Paramètres!$A$1:$I$89,3,0)*0.475*44/12</f>
        <v>7.7187130720803599E-16</v>
      </c>
      <c r="BS140" s="22">
        <f t="shared" si="117"/>
        <v>0.78096217617128405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 t="e">
        <f>BY140*VLOOKUP('Données projet'!$B$12,Paramètres!$A$1:$I$89,3,0)*VLOOKUP('Données projet'!$B$12,Paramètres!$A$1:$I$89,5,0)</f>
        <v>#N/A</v>
      </c>
      <c r="CA140" s="13" t="e">
        <f t="shared" si="147"/>
        <v>#N/A</v>
      </c>
      <c r="CB140" s="20" t="e">
        <f t="shared" si="118"/>
        <v>#N/A</v>
      </c>
      <c r="CC140" s="59" t="e">
        <f t="shared" si="119"/>
        <v>#N/A</v>
      </c>
      <c r="CD140" s="59" t="e">
        <f ca="1">AVERAGE(OFFSET($CC$3,0,0,'Données projet'!$E$12+1,1))-AVERAGE(OFFSET($H$3,0,0,'Données projet'!$E$12+1,1))</f>
        <v>#N/A</v>
      </c>
      <c r="CE140" s="59" t="e">
        <f t="shared" si="148"/>
        <v>#N/A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 t="e">
        <f>EXP(-LN(2)/35)*CK139+(1-EXP(-LN(2)/35))/(LN(2)/35)*CG140*CH140*VLOOKUP('Données projet'!$B$12,Paramètres!$A$1:$I$89,3,0)*0.475*44/12</f>
        <v>#N/A</v>
      </c>
      <c r="CL140" s="21" t="e">
        <f>EXP(-LN(2)/25)*CL139+(1-EXP(-LN(2)/25))/(LN(2)/25)*Calculateur!CG140*Calculateur!CI140*VLOOKUP('Données projet'!$B$12,Paramètres!$A$1:$I$89,3,0)*0.475*44/12</f>
        <v>#N/A</v>
      </c>
      <c r="CM140" s="21" t="e">
        <f>EXP(-LN(2)/2)*CM139+(1-EXP(-LN(2)/2))/(LN(2)/2)*CG140*CJ140*VLOOKUP('Données projet'!$B$12,Paramètres!$A$1:$I$89,3,0)*0.475*44/12</f>
        <v>#N/A</v>
      </c>
      <c r="CN140" s="22" t="e">
        <f t="shared" si="120"/>
        <v>#N/A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25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122.70960000000024</v>
      </c>
      <c r="D141" s="11">
        <f t="shared" si="140"/>
        <v>32.306145387002346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10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1196.6127714084412</v>
      </c>
      <c r="H141" s="67">
        <f t="shared" si="110"/>
        <v>563.31908988236285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-3.4106051316484809E-13</v>
      </c>
      <c r="O141" s="13">
        <f>N141*VLOOKUP('Données projet'!$B$9,Paramètres!$A$1:$I$89,3,0)*VLOOKUP('Données projet'!$B$9,Paramètres!$A$1:$I$89,5,0)</f>
        <v>-1.9065282685915009E-13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279.98352834501759</v>
      </c>
      <c r="T141" s="59">
        <f t="shared" si="142"/>
        <v>281.30062655265488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0.47079991033857899</v>
      </c>
      <c r="AA141" s="21">
        <f>EXP(-LN(2)/25)*AA140+(1-EXP(-LN(2)/25))/(LN(2)/25)*Calculateur!V141*Calculateur!X141*VLOOKUP('Données projet'!$B$9,Paramètres!$A$1:$I$89,3,0)*0.475*44/12</f>
        <v>1.2129673499460458</v>
      </c>
      <c r="AB141" s="21">
        <f>EXP(-LN(2)/2)*AB140+(1-EXP(-LN(2)/2))/(LN(2)/2)*V141*Y141*VLOOKUP('Données projet'!$B$9,Paramètres!$A$1:$I$89,3,0)*0.475*44/12</f>
        <v>1.571917061838608E-15</v>
      </c>
      <c r="AC141" s="22">
        <f t="shared" si="111"/>
        <v>1.6837672602846263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-1.1368683772161603E-13</v>
      </c>
      <c r="AJ141" s="13">
        <f>AI141*VLOOKUP('Données projet'!$B$10,Paramètres!$A$1:$I$89,3,0)*VLOOKUP('Données projet'!$B$10,Paramètres!$A$1:$I$89,5,0)</f>
        <v>-1.1527845344971866E-13</v>
      </c>
      <c r="AK141" s="13" t="e">
        <f t="shared" si="143"/>
        <v>#NUM!</v>
      </c>
      <c r="AL141" s="20" t="e">
        <f t="shared" si="112"/>
        <v>#NUM!</v>
      </c>
      <c r="AM141" s="59" t="e">
        <f t="shared" si="113"/>
        <v>#NUM!</v>
      </c>
      <c r="AN141" s="59">
        <f ca="1">AVERAGE(OFFSET($AM$3,0,0,'Données projet'!$E$10+1,1))-AVERAGE(OFFSET($H$3,0,0,'Données projet'!$E$10+1,1))</f>
        <v>279.20364724206644</v>
      </c>
      <c r="AO141" s="59">
        <f t="shared" si="144"/>
        <v>173.99850582760712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0</v>
      </c>
      <c r="AV141" s="21">
        <f>EXP(-LN(2)/25)*AV140+(1-EXP(-LN(2)/25))/(LN(2)/25)*Calculateur!AQ141*Calculateur!AS141*VLOOKUP('Données projet'!$B$10,Paramètres!$A$1:$I$89,3,0)*0.475*44/12</f>
        <v>0.17427239036253542</v>
      </c>
      <c r="AW141" s="21">
        <f>EXP(-LN(2)/2)*AW140+(1-EXP(-LN(2)/2))/(LN(2)/2)*AQ141*AT141*VLOOKUP('Données projet'!$B$10,Paramètres!$A$1:$I$89,3,0)*0.475*44/12</f>
        <v>3.8504411396642137E-16</v>
      </c>
      <c r="AX141" s="21">
        <f t="shared" si="114"/>
        <v>0.17427239036253581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-1.1368683772161603E-13</v>
      </c>
      <c r="BE141" s="13">
        <f>BD141*VLOOKUP('Données projet'!$B$11,Paramètres!$A$1:$I$89,3,0)*VLOOKUP('Données projet'!$B$11,Paramètres!$A$1:$I$89,5,0)</f>
        <v>-5.3205440053716299E-14</v>
      </c>
      <c r="BF141" s="13" t="e">
        <f t="shared" si="145"/>
        <v>#NUM!</v>
      </c>
      <c r="BG141" s="20" t="e">
        <f t="shared" si="115"/>
        <v>#NUM!</v>
      </c>
      <c r="BH141" s="59" t="e">
        <f t="shared" si="116"/>
        <v>#NUM!</v>
      </c>
      <c r="BI141" s="59">
        <f ca="1">AVERAGE(OFFSET($BH$3,0,0,'Données projet'!$E$11+1,1))-AVERAGE(OFFSET($H$3,0,0,'Données projet'!$E$11+1,1))</f>
        <v>215.23235148064941</v>
      </c>
      <c r="BJ141" s="59">
        <f t="shared" si="146"/>
        <v>184.07239726900434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0.36922153386021261</v>
      </c>
      <c r="BQ141" s="21">
        <f>EXP(-LN(2)/25)*BQ140+(1-EXP(-LN(2)/25))/(LN(2)/25)*Calculateur!BL141*Calculateur!BN141*VLOOKUP('Données projet'!$B$11,Paramètres!$A$1:$I$89,3,0)*0.475*44/12</f>
        <v>0.39329849177893716</v>
      </c>
      <c r="BR141" s="21">
        <f>EXP(-LN(2)/2)*BR140+(1-EXP(-LN(2)/2))/(LN(2)/2)*BL141*BO141*VLOOKUP('Données projet'!$B$11,Paramètres!$A$1:$I$89,3,0)*0.475*44/12</f>
        <v>5.457954355301271E-16</v>
      </c>
      <c r="BS141" s="22">
        <f t="shared" si="117"/>
        <v>0.76252002563915033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 t="e">
        <f>BY141*VLOOKUP('Données projet'!$B$12,Paramètres!$A$1:$I$89,3,0)*VLOOKUP('Données projet'!$B$12,Paramètres!$A$1:$I$89,5,0)</f>
        <v>#N/A</v>
      </c>
      <c r="CA141" s="13" t="e">
        <f t="shared" si="147"/>
        <v>#N/A</v>
      </c>
      <c r="CB141" s="20" t="e">
        <f t="shared" si="118"/>
        <v>#N/A</v>
      </c>
      <c r="CC141" s="59" t="e">
        <f t="shared" si="119"/>
        <v>#N/A</v>
      </c>
      <c r="CD141" s="59" t="e">
        <f ca="1">AVERAGE(OFFSET($CC$3,0,0,'Données projet'!$E$12+1,1))-AVERAGE(OFFSET($H$3,0,0,'Données projet'!$E$12+1,1))</f>
        <v>#N/A</v>
      </c>
      <c r="CE141" s="59" t="e">
        <f t="shared" si="148"/>
        <v>#N/A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 t="e">
        <f>EXP(-LN(2)/35)*CK140+(1-EXP(-LN(2)/35))/(LN(2)/35)*CG141*CH141*VLOOKUP('Données projet'!$B$12,Paramètres!$A$1:$I$89,3,0)*0.475*44/12</f>
        <v>#N/A</v>
      </c>
      <c r="CL141" s="21" t="e">
        <f>EXP(-LN(2)/25)*CL140+(1-EXP(-LN(2)/25))/(LN(2)/25)*Calculateur!CG141*Calculateur!CI141*VLOOKUP('Données projet'!$B$12,Paramètres!$A$1:$I$89,3,0)*0.475*44/12</f>
        <v>#N/A</v>
      </c>
      <c r="CM141" s="21" t="e">
        <f>EXP(-LN(2)/2)*CM140+(1-EXP(-LN(2)/2))/(LN(2)/2)*CG141*CJ141*VLOOKUP('Données projet'!$B$12,Paramètres!$A$1:$I$89,3,0)*0.475*44/12</f>
        <v>#N/A</v>
      </c>
      <c r="CN141" s="22" t="e">
        <f t="shared" si="120"/>
        <v>#N/A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25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123.59880000000024</v>
      </c>
      <c r="D142" s="11">
        <f t="shared" si="140"/>
        <v>32.512911354837613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10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1205.0728595812045</v>
      </c>
      <c r="H142" s="67">
        <f t="shared" si="110"/>
        <v>565.22789727634256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-3.4106051316484809E-13</v>
      </c>
      <c r="O142" s="13">
        <f>N142*VLOOKUP('Données projet'!$B$9,Paramètres!$A$1:$I$89,3,0)*VLOOKUP('Données projet'!$B$9,Paramètres!$A$1:$I$89,5,0)</f>
        <v>-1.9065282685915009E-13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279.98352834501759</v>
      </c>
      <c r="T142" s="59">
        <f t="shared" si="142"/>
        <v>281.30062655265488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0.46156781125643009</v>
      </c>
      <c r="AA142" s="21">
        <f>EXP(-LN(2)/25)*AA141+(1-EXP(-LN(2)/25))/(LN(2)/25)*Calculateur!V142*Calculateur!X142*VLOOKUP('Données projet'!$B$9,Paramètres!$A$1:$I$89,3,0)*0.475*44/12</f>
        <v>1.1797986939745906</v>
      </c>
      <c r="AB142" s="21">
        <f>EXP(-LN(2)/2)*AB141+(1-EXP(-LN(2)/2))/(LN(2)/2)*V142*Y142*VLOOKUP('Données projet'!$B$9,Paramètres!$A$1:$I$89,3,0)*0.475*44/12</f>
        <v>1.1115132138889133E-15</v>
      </c>
      <c r="AC142" s="22">
        <f t="shared" si="111"/>
        <v>1.6413665052310218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-1.1368683772161603E-13</v>
      </c>
      <c r="AJ142" s="13">
        <f>AI142*VLOOKUP('Données projet'!$B$10,Paramètres!$A$1:$I$89,3,0)*VLOOKUP('Données projet'!$B$10,Paramètres!$A$1:$I$89,5,0)</f>
        <v>-1.1527845344971866E-13</v>
      </c>
      <c r="AK142" s="13" t="e">
        <f t="shared" si="143"/>
        <v>#NUM!</v>
      </c>
      <c r="AL142" s="20" t="e">
        <f t="shared" si="112"/>
        <v>#NUM!</v>
      </c>
      <c r="AM142" s="59" t="e">
        <f t="shared" si="113"/>
        <v>#NUM!</v>
      </c>
      <c r="AN142" s="59">
        <f ca="1">AVERAGE(OFFSET($AM$3,0,0,'Données projet'!$E$10+1,1))-AVERAGE(OFFSET($H$3,0,0,'Données projet'!$E$10+1,1))</f>
        <v>279.20364724206644</v>
      </c>
      <c r="AO142" s="59">
        <f t="shared" si="144"/>
        <v>173.99850582760712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0</v>
      </c>
      <c r="AV142" s="21">
        <f>EXP(-LN(2)/25)*AV141+(1-EXP(-LN(2)/25))/(LN(2)/25)*Calculateur!AQ142*Calculateur!AS142*VLOOKUP('Données projet'!$B$10,Paramètres!$A$1:$I$89,3,0)*0.475*44/12</f>
        <v>0.16950690268348517</v>
      </c>
      <c r="AW142" s="21">
        <f>EXP(-LN(2)/2)*AW141+(1-EXP(-LN(2)/2))/(LN(2)/2)*AQ142*AT142*VLOOKUP('Données projet'!$B$10,Paramètres!$A$1:$I$89,3,0)*0.475*44/12</f>
        <v>2.7226730404162238E-16</v>
      </c>
      <c r="AX142" s="21">
        <f t="shared" si="114"/>
        <v>0.16950690268348545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-1.1368683772161603E-13</v>
      </c>
      <c r="BE142" s="13">
        <f>BD142*VLOOKUP('Données projet'!$B$11,Paramètres!$A$1:$I$89,3,0)*VLOOKUP('Données projet'!$B$11,Paramètres!$A$1:$I$89,5,0)</f>
        <v>-5.3205440053716299E-14</v>
      </c>
      <c r="BF142" s="13" t="e">
        <f t="shared" si="145"/>
        <v>#NUM!</v>
      </c>
      <c r="BG142" s="20" t="e">
        <f t="shared" si="115"/>
        <v>#NUM!</v>
      </c>
      <c r="BH142" s="59" t="e">
        <f t="shared" si="116"/>
        <v>#NUM!</v>
      </c>
      <c r="BI142" s="59">
        <f ca="1">AVERAGE(OFFSET($BH$3,0,0,'Données projet'!$E$11+1,1))-AVERAGE(OFFSET($H$3,0,0,'Données projet'!$E$11+1,1))</f>
        <v>215.23235148064941</v>
      </c>
      <c r="BJ142" s="59">
        <f t="shared" si="146"/>
        <v>184.07239726900434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0.36198132478411255</v>
      </c>
      <c r="BQ142" s="21">
        <f>EXP(-LN(2)/25)*BQ141+(1-EXP(-LN(2)/25))/(LN(2)/25)*Calculateur!BL142*Calculateur!BN142*VLOOKUP('Données projet'!$B$11,Paramètres!$A$1:$I$89,3,0)*0.475*44/12</f>
        <v>0.38254372383857332</v>
      </c>
      <c r="BR142" s="21">
        <f>EXP(-LN(2)/2)*BR141+(1-EXP(-LN(2)/2))/(LN(2)/2)*BL142*BO142*VLOOKUP('Données projet'!$B$11,Paramètres!$A$1:$I$89,3,0)*0.475*44/12</f>
        <v>3.85935653604018E-16</v>
      </c>
      <c r="BS142" s="22">
        <f t="shared" si="117"/>
        <v>0.7445250486226862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 t="e">
        <f>BY142*VLOOKUP('Données projet'!$B$12,Paramètres!$A$1:$I$89,3,0)*VLOOKUP('Données projet'!$B$12,Paramètres!$A$1:$I$89,5,0)</f>
        <v>#N/A</v>
      </c>
      <c r="CA142" s="13" t="e">
        <f t="shared" si="147"/>
        <v>#N/A</v>
      </c>
      <c r="CB142" s="20" t="e">
        <f t="shared" si="118"/>
        <v>#N/A</v>
      </c>
      <c r="CC142" s="59" t="e">
        <f t="shared" si="119"/>
        <v>#N/A</v>
      </c>
      <c r="CD142" s="59" t="e">
        <f ca="1">AVERAGE(OFFSET($CC$3,0,0,'Données projet'!$E$12+1,1))-AVERAGE(OFFSET($H$3,0,0,'Données projet'!$E$12+1,1))</f>
        <v>#N/A</v>
      </c>
      <c r="CE142" s="59" t="e">
        <f t="shared" si="148"/>
        <v>#N/A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 t="e">
        <f>EXP(-LN(2)/35)*CK141+(1-EXP(-LN(2)/35))/(LN(2)/35)*CG142*CH142*VLOOKUP('Données projet'!$B$12,Paramètres!$A$1:$I$89,3,0)*0.475*44/12</f>
        <v>#N/A</v>
      </c>
      <c r="CL142" s="21" t="e">
        <f>EXP(-LN(2)/25)*CL141+(1-EXP(-LN(2)/25))/(LN(2)/25)*Calculateur!CG142*Calculateur!CI142*VLOOKUP('Données projet'!$B$12,Paramètres!$A$1:$I$89,3,0)*0.475*44/12</f>
        <v>#N/A</v>
      </c>
      <c r="CM142" s="21" t="e">
        <f>EXP(-LN(2)/2)*CM141+(1-EXP(-LN(2)/2))/(LN(2)/2)*CG142*CJ142*VLOOKUP('Données projet'!$B$12,Paramètres!$A$1:$I$89,3,0)*0.475*44/12</f>
        <v>#N/A</v>
      </c>
      <c r="CN142" s="22" t="e">
        <f t="shared" si="120"/>
        <v>#N/A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25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124.48800000000024</v>
      </c>
      <c r="D143" s="11">
        <f t="shared" si="140"/>
        <v>32.719504245667331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10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1213.5316117209427</v>
      </c>
      <c r="H143" s="67">
        <f t="shared" si="110"/>
        <v>567.13640322787103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-3.4106051316484809E-13</v>
      </c>
      <c r="O143" s="13">
        <f>N143*VLOOKUP('Données projet'!$B$9,Paramètres!$A$1:$I$89,3,0)*VLOOKUP('Données projet'!$B$9,Paramètres!$A$1:$I$89,5,0)</f>
        <v>-1.9065282685915009E-13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279.98352834501759</v>
      </c>
      <c r="T143" s="59">
        <f t="shared" si="142"/>
        <v>281.30062655265488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0.45251674800625774</v>
      </c>
      <c r="AA143" s="21">
        <f>EXP(-LN(2)/25)*AA142+(1-EXP(-LN(2)/25))/(LN(2)/25)*Calculateur!V143*Calculateur!X143*VLOOKUP('Données projet'!$B$9,Paramètres!$A$1:$I$89,3,0)*0.475*44/12</f>
        <v>1.1475370366449384</v>
      </c>
      <c r="AB143" s="21">
        <f>EXP(-LN(2)/2)*AB142+(1-EXP(-LN(2)/2))/(LN(2)/2)*V143*Y143*VLOOKUP('Données projet'!$B$9,Paramètres!$A$1:$I$89,3,0)*0.475*44/12</f>
        <v>7.8595853091930401E-16</v>
      </c>
      <c r="AC143" s="22">
        <f t="shared" si="111"/>
        <v>1.6000537846511971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-1.1368683772161603E-13</v>
      </c>
      <c r="AJ143" s="13">
        <f>AI143*VLOOKUP('Données projet'!$B$10,Paramètres!$A$1:$I$89,3,0)*VLOOKUP('Données projet'!$B$10,Paramètres!$A$1:$I$89,5,0)</f>
        <v>-1.1527845344971866E-13</v>
      </c>
      <c r="AK143" s="13" t="e">
        <f t="shared" si="143"/>
        <v>#NUM!</v>
      </c>
      <c r="AL143" s="20" t="e">
        <f t="shared" si="112"/>
        <v>#NUM!</v>
      </c>
      <c r="AM143" s="59" t="e">
        <f t="shared" si="113"/>
        <v>#NUM!</v>
      </c>
      <c r="AN143" s="59">
        <f ca="1">AVERAGE(OFFSET($AM$3,0,0,'Données projet'!$E$10+1,1))-AVERAGE(OFFSET($H$3,0,0,'Données projet'!$E$10+1,1))</f>
        <v>279.20364724206644</v>
      </c>
      <c r="AO143" s="59">
        <f t="shared" si="144"/>
        <v>173.99850582760712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0</v>
      </c>
      <c r="AV143" s="21">
        <f>EXP(-LN(2)/25)*AV142+(1-EXP(-LN(2)/25))/(LN(2)/25)*Calculateur!AQ143*Calculateur!AS143*VLOOKUP('Données projet'!$B$10,Paramètres!$A$1:$I$89,3,0)*0.475*44/12</f>
        <v>0.16487172751562468</v>
      </c>
      <c r="AW143" s="21">
        <f>EXP(-LN(2)/2)*AW142+(1-EXP(-LN(2)/2))/(LN(2)/2)*AQ143*AT143*VLOOKUP('Données projet'!$B$10,Paramètres!$A$1:$I$89,3,0)*0.475*44/12</f>
        <v>1.9252205698321068E-16</v>
      </c>
      <c r="AX143" s="21">
        <f t="shared" si="114"/>
        <v>0.16487172751562487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-1.1368683772161603E-13</v>
      </c>
      <c r="BE143" s="13">
        <f>BD143*VLOOKUP('Données projet'!$B$11,Paramètres!$A$1:$I$89,3,0)*VLOOKUP('Données projet'!$B$11,Paramètres!$A$1:$I$89,5,0)</f>
        <v>-5.3205440053716299E-14</v>
      </c>
      <c r="BF143" s="13" t="e">
        <f t="shared" si="145"/>
        <v>#NUM!</v>
      </c>
      <c r="BG143" s="20" t="e">
        <f t="shared" si="115"/>
        <v>#NUM!</v>
      </c>
      <c r="BH143" s="59" t="e">
        <f t="shared" si="116"/>
        <v>#NUM!</v>
      </c>
      <c r="BI143" s="59">
        <f ca="1">AVERAGE(OFFSET($BH$3,0,0,'Données projet'!$E$11+1,1))-AVERAGE(OFFSET($H$3,0,0,'Données projet'!$E$11+1,1))</f>
        <v>215.23235148064941</v>
      </c>
      <c r="BJ143" s="59">
        <f t="shared" si="146"/>
        <v>184.07239726900434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0.3548830917919033</v>
      </c>
      <c r="BQ143" s="21">
        <f>EXP(-LN(2)/25)*BQ142+(1-EXP(-LN(2)/25))/(LN(2)/25)*Calculateur!BL143*Calculateur!BN143*VLOOKUP('Données projet'!$B$11,Paramètres!$A$1:$I$89,3,0)*0.475*44/12</f>
        <v>0.3720830455931074</v>
      </c>
      <c r="BR143" s="21">
        <f>EXP(-LN(2)/2)*BR142+(1-EXP(-LN(2)/2))/(LN(2)/2)*BL143*BO143*VLOOKUP('Données projet'!$B$11,Paramètres!$A$1:$I$89,3,0)*0.475*44/12</f>
        <v>2.7289771776506355E-16</v>
      </c>
      <c r="BS143" s="22">
        <f t="shared" si="117"/>
        <v>0.72696613738501092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 t="e">
        <f>BY143*VLOOKUP('Données projet'!$B$12,Paramètres!$A$1:$I$89,3,0)*VLOOKUP('Données projet'!$B$12,Paramètres!$A$1:$I$89,5,0)</f>
        <v>#N/A</v>
      </c>
      <c r="CA143" s="13" t="e">
        <f t="shared" si="147"/>
        <v>#N/A</v>
      </c>
      <c r="CB143" s="20" t="e">
        <f t="shared" si="118"/>
        <v>#N/A</v>
      </c>
      <c r="CC143" s="59" t="e">
        <f t="shared" si="119"/>
        <v>#N/A</v>
      </c>
      <c r="CD143" s="59" t="e">
        <f ca="1">AVERAGE(OFFSET($CC$3,0,0,'Données projet'!$E$12+1,1))-AVERAGE(OFFSET($H$3,0,0,'Données projet'!$E$12+1,1))</f>
        <v>#N/A</v>
      </c>
      <c r="CE143" s="59" t="e">
        <f t="shared" si="148"/>
        <v>#N/A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 t="e">
        <f>EXP(-LN(2)/35)*CK142+(1-EXP(-LN(2)/35))/(LN(2)/35)*CG143*CH143*VLOOKUP('Données projet'!$B$12,Paramètres!$A$1:$I$89,3,0)*0.475*44/12</f>
        <v>#N/A</v>
      </c>
      <c r="CL143" s="21" t="e">
        <f>EXP(-LN(2)/25)*CL142+(1-EXP(-LN(2)/25))/(LN(2)/25)*Calculateur!CG143*Calculateur!CI143*VLOOKUP('Données projet'!$B$12,Paramètres!$A$1:$I$89,3,0)*0.475*44/12</f>
        <v>#N/A</v>
      </c>
      <c r="CM143" s="21" t="e">
        <f>EXP(-LN(2)/2)*CM142+(1-EXP(-LN(2)/2))/(LN(2)/2)*CG143*CJ143*VLOOKUP('Données projet'!$B$12,Paramètres!$A$1:$I$89,3,0)*0.475*44/12</f>
        <v>#N/A</v>
      </c>
      <c r="CN143" s="22" t="e">
        <f t="shared" si="120"/>
        <v>#N/A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25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125.37720000000024</v>
      </c>
      <c r="D144" s="11">
        <f t="shared" si="140"/>
        <v>32.925925439106905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10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1221.9890384773182</v>
      </c>
      <c r="H144" s="67">
        <f t="shared" si="110"/>
        <v>569.04461013977823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-3.4106051316484809E-13</v>
      </c>
      <c r="O144" s="13">
        <f>N144*VLOOKUP('Données projet'!$B$9,Paramètres!$A$1:$I$89,3,0)*VLOOKUP('Données projet'!$B$9,Paramètres!$A$1:$I$89,5,0)</f>
        <v>-1.9065282685915009E-13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279.98352834501759</v>
      </c>
      <c r="T144" s="59">
        <f t="shared" si="142"/>
        <v>281.30062655265488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0.44364317058581781</v>
      </c>
      <c r="AA144" s="21">
        <f>EXP(-LN(2)/25)*AA143+(1-EXP(-LN(2)/25))/(LN(2)/25)*Calculateur!V144*Calculateur!X144*VLOOKUP('Données projet'!$B$9,Paramètres!$A$1:$I$89,3,0)*0.475*44/12</f>
        <v>1.1161575760315325</v>
      </c>
      <c r="AB144" s="21">
        <f>EXP(-LN(2)/2)*AB143+(1-EXP(-LN(2)/2))/(LN(2)/2)*V144*Y144*VLOOKUP('Données projet'!$B$9,Paramètres!$A$1:$I$89,3,0)*0.475*44/12</f>
        <v>5.5575660694445664E-16</v>
      </c>
      <c r="AC144" s="22">
        <f t="shared" si="111"/>
        <v>1.5598007466173509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-1.1368683772161603E-13</v>
      </c>
      <c r="AJ144" s="13">
        <f>AI144*VLOOKUP('Données projet'!$B$10,Paramètres!$A$1:$I$89,3,0)*VLOOKUP('Données projet'!$B$10,Paramètres!$A$1:$I$89,5,0)</f>
        <v>-1.1527845344971866E-13</v>
      </c>
      <c r="AK144" s="13" t="e">
        <f t="shared" si="143"/>
        <v>#NUM!</v>
      </c>
      <c r="AL144" s="20" t="e">
        <f t="shared" si="112"/>
        <v>#NUM!</v>
      </c>
      <c r="AM144" s="59" t="e">
        <f t="shared" si="113"/>
        <v>#NUM!</v>
      </c>
      <c r="AN144" s="59">
        <f ca="1">AVERAGE(OFFSET($AM$3,0,0,'Données projet'!$E$10+1,1))-AVERAGE(OFFSET($H$3,0,0,'Données projet'!$E$10+1,1))</f>
        <v>279.20364724206644</v>
      </c>
      <c r="AO144" s="59">
        <f t="shared" si="144"/>
        <v>173.99850582760712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0</v>
      </c>
      <c r="AV144" s="21">
        <f>EXP(-LN(2)/25)*AV143+(1-EXP(-LN(2)/25))/(LN(2)/25)*Calculateur!AQ144*Calculateur!AS144*VLOOKUP('Données projet'!$B$10,Paramètres!$A$1:$I$89,3,0)*0.475*44/12</f>
        <v>0.16036330145648259</v>
      </c>
      <c r="AW144" s="21">
        <f>EXP(-LN(2)/2)*AW143+(1-EXP(-LN(2)/2))/(LN(2)/2)*AQ144*AT144*VLOOKUP('Données projet'!$B$10,Paramètres!$A$1:$I$89,3,0)*0.475*44/12</f>
        <v>1.3613365202081119E-16</v>
      </c>
      <c r="AX144" s="21">
        <f t="shared" si="114"/>
        <v>0.16036330145648273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-1.1368683772161603E-13</v>
      </c>
      <c r="BE144" s="13">
        <f>BD144*VLOOKUP('Données projet'!$B$11,Paramètres!$A$1:$I$89,3,0)*VLOOKUP('Données projet'!$B$11,Paramètres!$A$1:$I$89,5,0)</f>
        <v>-5.3205440053716299E-14</v>
      </c>
      <c r="BF144" s="13" t="e">
        <f t="shared" si="145"/>
        <v>#NUM!</v>
      </c>
      <c r="BG144" s="20" t="e">
        <f t="shared" si="115"/>
        <v>#NUM!</v>
      </c>
      <c r="BH144" s="59" t="e">
        <f t="shared" si="116"/>
        <v>#NUM!</v>
      </c>
      <c r="BI144" s="59">
        <f ca="1">AVERAGE(OFFSET($BH$3,0,0,'Données projet'!$E$11+1,1))-AVERAGE(OFFSET($H$3,0,0,'Données projet'!$E$11+1,1))</f>
        <v>215.23235148064941</v>
      </c>
      <c r="BJ144" s="59">
        <f t="shared" si="146"/>
        <v>184.07239726900434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0.34792405081917671</v>
      </c>
      <c r="BQ144" s="21">
        <f>EXP(-LN(2)/25)*BQ143+(1-EXP(-LN(2)/25))/(LN(2)/25)*Calculateur!BL144*Calculateur!BN144*VLOOKUP('Données projet'!$B$11,Paramètres!$A$1:$I$89,3,0)*0.475*44/12</f>
        <v>0.36190841514436689</v>
      </c>
      <c r="BR144" s="21">
        <f>EXP(-LN(2)/2)*BR143+(1-EXP(-LN(2)/2))/(LN(2)/2)*BL144*BO144*VLOOKUP('Données projet'!$B$11,Paramètres!$A$1:$I$89,3,0)*0.475*44/12</f>
        <v>1.92967826802009E-16</v>
      </c>
      <c r="BS144" s="22">
        <f t="shared" si="117"/>
        <v>0.70983246596354377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 t="e">
        <f>BY144*VLOOKUP('Données projet'!$B$12,Paramètres!$A$1:$I$89,3,0)*VLOOKUP('Données projet'!$B$12,Paramètres!$A$1:$I$89,5,0)</f>
        <v>#N/A</v>
      </c>
      <c r="CA144" s="13" t="e">
        <f t="shared" si="147"/>
        <v>#N/A</v>
      </c>
      <c r="CB144" s="20" t="e">
        <f t="shared" si="118"/>
        <v>#N/A</v>
      </c>
      <c r="CC144" s="59" t="e">
        <f t="shared" si="119"/>
        <v>#N/A</v>
      </c>
      <c r="CD144" s="59" t="e">
        <f ca="1">AVERAGE(OFFSET($CC$3,0,0,'Données projet'!$E$12+1,1))-AVERAGE(OFFSET($H$3,0,0,'Données projet'!$E$12+1,1))</f>
        <v>#N/A</v>
      </c>
      <c r="CE144" s="59" t="e">
        <f t="shared" si="148"/>
        <v>#N/A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 t="e">
        <f>EXP(-LN(2)/35)*CK143+(1-EXP(-LN(2)/35))/(LN(2)/35)*CG144*CH144*VLOOKUP('Données projet'!$B$12,Paramètres!$A$1:$I$89,3,0)*0.475*44/12</f>
        <v>#N/A</v>
      </c>
      <c r="CL144" s="21" t="e">
        <f>EXP(-LN(2)/25)*CL143+(1-EXP(-LN(2)/25))/(LN(2)/25)*Calculateur!CG144*Calculateur!CI144*VLOOKUP('Données projet'!$B$12,Paramètres!$A$1:$I$89,3,0)*0.475*44/12</f>
        <v>#N/A</v>
      </c>
      <c r="CM144" s="21" t="e">
        <f>EXP(-LN(2)/2)*CM143+(1-EXP(-LN(2)/2))/(LN(2)/2)*CG144*CJ144*VLOOKUP('Données projet'!$B$12,Paramètres!$A$1:$I$89,3,0)*0.475*44/12</f>
        <v>#N/A</v>
      </c>
      <c r="CN144" s="22" t="e">
        <f t="shared" si="120"/>
        <v>#N/A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25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126.26640000000025</v>
      </c>
      <c r="D145" s="11">
        <f t="shared" si="140"/>
        <v>33.132176294071868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10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1230.4451503402058</v>
      </c>
      <c r="H145" s="67">
        <f t="shared" si="110"/>
        <v>570.95252037884222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-3.4106051316484809E-13</v>
      </c>
      <c r="O145" s="13">
        <f>N145*VLOOKUP('Données projet'!$B$9,Paramètres!$A$1:$I$89,3,0)*VLOOKUP('Données projet'!$B$9,Paramètres!$A$1:$I$89,5,0)</f>
        <v>-1.9065282685915009E-13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279.98352834501759</v>
      </c>
      <c r="T145" s="59">
        <f t="shared" si="142"/>
        <v>281.30062655265488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0.43494359860624487</v>
      </c>
      <c r="AA145" s="21">
        <f>EXP(-LN(2)/25)*AA144+(1-EXP(-LN(2)/25))/(LN(2)/25)*Calculateur!V145*Calculateur!X145*VLOOKUP('Données projet'!$B$9,Paramètres!$A$1:$I$89,3,0)*0.475*44/12</f>
        <v>1.0856361884187744</v>
      </c>
      <c r="AB145" s="21">
        <f>EXP(-LN(2)/2)*AB144+(1-EXP(-LN(2)/2))/(LN(2)/2)*V145*Y145*VLOOKUP('Données projet'!$B$9,Paramètres!$A$1:$I$89,3,0)*0.475*44/12</f>
        <v>3.9297926545965201E-16</v>
      </c>
      <c r="AC145" s="22">
        <f t="shared" si="111"/>
        <v>1.5205797870250197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-1.1368683772161603E-13</v>
      </c>
      <c r="AJ145" s="13">
        <f>AI145*VLOOKUP('Données projet'!$B$10,Paramètres!$A$1:$I$89,3,0)*VLOOKUP('Données projet'!$B$10,Paramètres!$A$1:$I$89,5,0)</f>
        <v>-1.1527845344971866E-13</v>
      </c>
      <c r="AK145" s="13" t="e">
        <f t="shared" si="143"/>
        <v>#NUM!</v>
      </c>
      <c r="AL145" s="20" t="e">
        <f t="shared" si="112"/>
        <v>#NUM!</v>
      </c>
      <c r="AM145" s="59" t="e">
        <f t="shared" si="113"/>
        <v>#NUM!</v>
      </c>
      <c r="AN145" s="59">
        <f ca="1">AVERAGE(OFFSET($AM$3,0,0,'Données projet'!$E$10+1,1))-AVERAGE(OFFSET($H$3,0,0,'Données projet'!$E$10+1,1))</f>
        <v>279.20364724206644</v>
      </c>
      <c r="AO145" s="59">
        <f t="shared" si="144"/>
        <v>173.99850582760712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0</v>
      </c>
      <c r="AV145" s="21">
        <f>EXP(-LN(2)/25)*AV144+(1-EXP(-LN(2)/25))/(LN(2)/25)*Calculateur!AQ145*Calculateur!AS145*VLOOKUP('Données projet'!$B$10,Paramètres!$A$1:$I$89,3,0)*0.475*44/12</f>
        <v>0.15597815854501557</v>
      </c>
      <c r="AW145" s="21">
        <f>EXP(-LN(2)/2)*AW144+(1-EXP(-LN(2)/2))/(LN(2)/2)*AQ145*AT145*VLOOKUP('Données projet'!$B$10,Paramètres!$A$1:$I$89,3,0)*0.475*44/12</f>
        <v>9.6261028491605342E-17</v>
      </c>
      <c r="AX145" s="21">
        <f t="shared" si="114"/>
        <v>0.15597815854501565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-1.1368683772161603E-13</v>
      </c>
      <c r="BE145" s="13">
        <f>BD145*VLOOKUP('Données projet'!$B$11,Paramètres!$A$1:$I$89,3,0)*VLOOKUP('Données projet'!$B$11,Paramètres!$A$1:$I$89,5,0)</f>
        <v>-5.3205440053716299E-14</v>
      </c>
      <c r="BF145" s="13" t="e">
        <f t="shared" si="145"/>
        <v>#NUM!</v>
      </c>
      <c r="BG145" s="20" t="e">
        <f t="shared" si="115"/>
        <v>#NUM!</v>
      </c>
      <c r="BH145" s="59" t="e">
        <f t="shared" si="116"/>
        <v>#NUM!</v>
      </c>
      <c r="BI145" s="59">
        <f ca="1">AVERAGE(OFFSET($BH$3,0,0,'Données projet'!$E$11+1,1))-AVERAGE(OFFSET($H$3,0,0,'Données projet'!$E$11+1,1))</f>
        <v>215.23235148064941</v>
      </c>
      <c r="BJ145" s="59">
        <f t="shared" si="146"/>
        <v>184.07239726900434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0.3411014723953294</v>
      </c>
      <c r="BQ145" s="21">
        <f>EXP(-LN(2)/25)*BQ144+(1-EXP(-LN(2)/25))/(LN(2)/25)*Calculateur!BL145*Calculateur!BN145*VLOOKUP('Données projet'!$B$11,Paramètres!$A$1:$I$89,3,0)*0.475*44/12</f>
        <v>0.35201201050030778</v>
      </c>
      <c r="BR145" s="21">
        <f>EXP(-LN(2)/2)*BR144+(1-EXP(-LN(2)/2))/(LN(2)/2)*BL145*BO145*VLOOKUP('Données projet'!$B$11,Paramètres!$A$1:$I$89,3,0)*0.475*44/12</f>
        <v>1.3644885888253177E-16</v>
      </c>
      <c r="BS145" s="22">
        <f t="shared" si="117"/>
        <v>0.69311348289563723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 t="e">
        <f>BY145*VLOOKUP('Données projet'!$B$12,Paramètres!$A$1:$I$89,3,0)*VLOOKUP('Données projet'!$B$12,Paramètres!$A$1:$I$89,5,0)</f>
        <v>#N/A</v>
      </c>
      <c r="CA145" s="13" t="e">
        <f t="shared" si="147"/>
        <v>#N/A</v>
      </c>
      <c r="CB145" s="20" t="e">
        <f t="shared" si="118"/>
        <v>#N/A</v>
      </c>
      <c r="CC145" s="59" t="e">
        <f t="shared" si="119"/>
        <v>#N/A</v>
      </c>
      <c r="CD145" s="59" t="e">
        <f ca="1">AVERAGE(OFFSET($CC$3,0,0,'Données projet'!$E$12+1,1))-AVERAGE(OFFSET($H$3,0,0,'Données projet'!$E$12+1,1))</f>
        <v>#N/A</v>
      </c>
      <c r="CE145" s="59" t="e">
        <f t="shared" si="148"/>
        <v>#N/A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 t="e">
        <f>EXP(-LN(2)/35)*CK144+(1-EXP(-LN(2)/35))/(LN(2)/35)*CG145*CH145*VLOOKUP('Données projet'!$B$12,Paramètres!$A$1:$I$89,3,0)*0.475*44/12</f>
        <v>#N/A</v>
      </c>
      <c r="CL145" s="21" t="e">
        <f>EXP(-LN(2)/25)*CL144+(1-EXP(-LN(2)/25))/(LN(2)/25)*Calculateur!CG145*Calculateur!CI145*VLOOKUP('Données projet'!$B$12,Paramètres!$A$1:$I$89,3,0)*0.475*44/12</f>
        <v>#N/A</v>
      </c>
      <c r="CM145" s="21" t="e">
        <f>EXP(-LN(2)/2)*CM144+(1-EXP(-LN(2)/2))/(LN(2)/2)*CG145*CJ145*VLOOKUP('Données projet'!$B$12,Paramètres!$A$1:$I$89,3,0)*0.475*44/12</f>
        <v>#N/A</v>
      </c>
      <c r="CN145" s="22" t="e">
        <f t="shared" si="120"/>
        <v>#N/A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25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127.15560000000025</v>
      </c>
      <c r="D146" s="11">
        <f t="shared" si="140"/>
        <v>33.33825814923194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10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1238.8999576431959</v>
      </c>
      <c r="H146" s="67">
        <f t="shared" si="110"/>
        <v>572.8601362765794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-3.4106051316484809E-13</v>
      </c>
      <c r="O146" s="13">
        <f>N146*VLOOKUP('Données projet'!$B$9,Paramètres!$A$1:$I$89,3,0)*VLOOKUP('Données projet'!$B$9,Paramètres!$A$1:$I$89,5,0)</f>
        <v>-1.9065282685915009E-13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279.98352834501759</v>
      </c>
      <c r="T146" s="59">
        <f t="shared" si="142"/>
        <v>281.30062655265488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0.42641461992697643</v>
      </c>
      <c r="AA146" s="21">
        <f>EXP(-LN(2)/25)*AA145+(1-EXP(-LN(2)/25))/(LN(2)/25)*Calculateur!V146*Calculateur!X146*VLOOKUP('Données projet'!$B$9,Paramètres!$A$1:$I$89,3,0)*0.475*44/12</f>
        <v>1.055949409755337</v>
      </c>
      <c r="AB146" s="21">
        <f>EXP(-LN(2)/2)*AB145+(1-EXP(-LN(2)/2))/(LN(2)/2)*V146*Y146*VLOOKUP('Données projet'!$B$9,Paramètres!$A$1:$I$89,3,0)*0.475*44/12</f>
        <v>2.7787830347222832E-16</v>
      </c>
      <c r="AC146" s="22">
        <f t="shared" si="111"/>
        <v>1.4823640296823137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-1.1368683772161603E-13</v>
      </c>
      <c r="AJ146" s="13">
        <f>AI146*VLOOKUP('Données projet'!$B$10,Paramètres!$A$1:$I$89,3,0)*VLOOKUP('Données projet'!$B$10,Paramètres!$A$1:$I$89,5,0)</f>
        <v>-1.1527845344971866E-13</v>
      </c>
      <c r="AK146" s="13" t="e">
        <f t="shared" si="143"/>
        <v>#NUM!</v>
      </c>
      <c r="AL146" s="20" t="e">
        <f t="shared" si="112"/>
        <v>#NUM!</v>
      </c>
      <c r="AM146" s="59" t="e">
        <f t="shared" si="113"/>
        <v>#NUM!</v>
      </c>
      <c r="AN146" s="59">
        <f ca="1">AVERAGE(OFFSET($AM$3,0,0,'Données projet'!$E$10+1,1))-AVERAGE(OFFSET($H$3,0,0,'Données projet'!$E$10+1,1))</f>
        <v>279.20364724206644</v>
      </c>
      <c r="AO146" s="59">
        <f t="shared" si="144"/>
        <v>173.99850582760712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0</v>
      </c>
      <c r="AV146" s="21">
        <f>EXP(-LN(2)/25)*AV145+(1-EXP(-LN(2)/25))/(LN(2)/25)*Calculateur!AQ146*Calculateur!AS146*VLOOKUP('Données projet'!$B$10,Paramètres!$A$1:$I$89,3,0)*0.475*44/12</f>
        <v>0.15171292759706725</v>
      </c>
      <c r="AW146" s="21">
        <f>EXP(-LN(2)/2)*AW145+(1-EXP(-LN(2)/2))/(LN(2)/2)*AQ146*AT146*VLOOKUP('Données projet'!$B$10,Paramètres!$A$1:$I$89,3,0)*0.475*44/12</f>
        <v>6.8066826010405595E-17</v>
      </c>
      <c r="AX146" s="21">
        <f t="shared" si="114"/>
        <v>0.15171292759706731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-1.1368683772161603E-13</v>
      </c>
      <c r="BE146" s="13">
        <f>BD146*VLOOKUP('Données projet'!$B$11,Paramètres!$A$1:$I$89,3,0)*VLOOKUP('Données projet'!$B$11,Paramètres!$A$1:$I$89,5,0)</f>
        <v>-5.3205440053716299E-14</v>
      </c>
      <c r="BF146" s="13" t="e">
        <f t="shared" si="145"/>
        <v>#NUM!</v>
      </c>
      <c r="BG146" s="20" t="e">
        <f t="shared" si="115"/>
        <v>#NUM!</v>
      </c>
      <c r="BH146" s="59" t="e">
        <f t="shared" si="116"/>
        <v>#NUM!</v>
      </c>
      <c r="BI146" s="59">
        <f ca="1">AVERAGE(OFFSET($BH$3,0,0,'Données projet'!$E$11+1,1))-AVERAGE(OFFSET($H$3,0,0,'Données projet'!$E$11+1,1))</f>
        <v>215.23235148064941</v>
      </c>
      <c r="BJ146" s="59">
        <f t="shared" si="146"/>
        <v>184.07239726900434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0.33441268057301177</v>
      </c>
      <c r="BQ146" s="21">
        <f>EXP(-LN(2)/25)*BQ145+(1-EXP(-LN(2)/25))/(LN(2)/25)*Calculateur!BL146*Calculateur!BN146*VLOOKUP('Données projet'!$B$11,Paramètres!$A$1:$I$89,3,0)*0.475*44/12</f>
        <v>0.34238622356166976</v>
      </c>
      <c r="BR146" s="21">
        <f>EXP(-LN(2)/2)*BR145+(1-EXP(-LN(2)/2))/(LN(2)/2)*BL146*BO146*VLOOKUP('Données projet'!$B$11,Paramètres!$A$1:$I$89,3,0)*0.475*44/12</f>
        <v>9.6483913401004499E-17</v>
      </c>
      <c r="BS146" s="22">
        <f t="shared" si="117"/>
        <v>0.67679890413468169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 t="e">
        <f>BY146*VLOOKUP('Données projet'!$B$12,Paramètres!$A$1:$I$89,3,0)*VLOOKUP('Données projet'!$B$12,Paramètres!$A$1:$I$89,5,0)</f>
        <v>#N/A</v>
      </c>
      <c r="CA146" s="13" t="e">
        <f t="shared" si="147"/>
        <v>#N/A</v>
      </c>
      <c r="CB146" s="20" t="e">
        <f t="shared" si="118"/>
        <v>#N/A</v>
      </c>
      <c r="CC146" s="59" t="e">
        <f t="shared" si="119"/>
        <v>#N/A</v>
      </c>
      <c r="CD146" s="59" t="e">
        <f ca="1">AVERAGE(OFFSET($CC$3,0,0,'Données projet'!$E$12+1,1))-AVERAGE(OFFSET($H$3,0,0,'Données projet'!$E$12+1,1))</f>
        <v>#N/A</v>
      </c>
      <c r="CE146" s="59" t="e">
        <f t="shared" si="148"/>
        <v>#N/A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 t="e">
        <f>EXP(-LN(2)/35)*CK145+(1-EXP(-LN(2)/35))/(LN(2)/35)*CG146*CH146*VLOOKUP('Données projet'!$B$12,Paramètres!$A$1:$I$89,3,0)*0.475*44/12</f>
        <v>#N/A</v>
      </c>
      <c r="CL146" s="21" t="e">
        <f>EXP(-LN(2)/25)*CL145+(1-EXP(-LN(2)/25))/(LN(2)/25)*Calculateur!CG146*Calculateur!CI146*VLOOKUP('Données projet'!$B$12,Paramètres!$A$1:$I$89,3,0)*0.475*44/12</f>
        <v>#N/A</v>
      </c>
      <c r="CM146" s="21" t="e">
        <f>EXP(-LN(2)/2)*CM145+(1-EXP(-LN(2)/2))/(LN(2)/2)*CG146*CJ146*VLOOKUP('Données projet'!$B$12,Paramètres!$A$1:$I$89,3,0)*0.475*44/12</f>
        <v>#N/A</v>
      </c>
      <c r="CN146" s="22" t="e">
        <f t="shared" si="120"/>
        <v>#N/A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25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128.04480000000024</v>
      </c>
      <c r="D147" s="11">
        <f t="shared" si="140"/>
        <v>33.544172323452237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10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1247.3534705670015</v>
      </c>
      <c r="H147" s="67">
        <f t="shared" si="110"/>
        <v>574.76746013001298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-3.4106051316484809E-13</v>
      </c>
      <c r="O147" s="13">
        <f>N147*VLOOKUP('Données projet'!$B$9,Paramètres!$A$1:$I$89,3,0)*VLOOKUP('Données projet'!$B$9,Paramètres!$A$1:$I$89,5,0)</f>
        <v>-1.9065282685915009E-13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279.98352834501759</v>
      </c>
      <c r="T147" s="59">
        <f t="shared" si="142"/>
        <v>281.30062655265488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0.41805288931744511</v>
      </c>
      <c r="AA147" s="21">
        <f>EXP(-LN(2)/25)*AA146+(1-EXP(-LN(2)/25))/(LN(2)/25)*Calculateur!V147*Calculateur!X147*VLOOKUP('Données projet'!$B$9,Paramètres!$A$1:$I$89,3,0)*0.475*44/12</f>
        <v>1.0270744176156112</v>
      </c>
      <c r="AB147" s="21">
        <f>EXP(-LN(2)/2)*AB146+(1-EXP(-LN(2)/2))/(LN(2)/2)*V147*Y147*VLOOKUP('Données projet'!$B$9,Paramètres!$A$1:$I$89,3,0)*0.475*44/12</f>
        <v>1.96489632729826E-16</v>
      </c>
      <c r="AC147" s="22">
        <f t="shared" si="111"/>
        <v>1.4451273069330566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-1.1368683772161603E-13</v>
      </c>
      <c r="AJ147" s="13">
        <f>AI147*VLOOKUP('Données projet'!$B$10,Paramètres!$A$1:$I$89,3,0)*VLOOKUP('Données projet'!$B$10,Paramètres!$A$1:$I$89,5,0)</f>
        <v>-1.1527845344971866E-13</v>
      </c>
      <c r="AK147" s="13" t="e">
        <f t="shared" si="143"/>
        <v>#NUM!</v>
      </c>
      <c r="AL147" s="20" t="e">
        <f t="shared" si="112"/>
        <v>#NUM!</v>
      </c>
      <c r="AM147" s="59" t="e">
        <f t="shared" si="113"/>
        <v>#NUM!</v>
      </c>
      <c r="AN147" s="59">
        <f ca="1">AVERAGE(OFFSET($AM$3,0,0,'Données projet'!$E$10+1,1))-AVERAGE(OFFSET($H$3,0,0,'Données projet'!$E$10+1,1))</f>
        <v>279.20364724206644</v>
      </c>
      <c r="AO147" s="59">
        <f t="shared" si="144"/>
        <v>173.99850582760712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0</v>
      </c>
      <c r="AV147" s="21">
        <f>EXP(-LN(2)/25)*AV146+(1-EXP(-LN(2)/25))/(LN(2)/25)*Calculateur!AQ147*Calculateur!AS147*VLOOKUP('Données projet'!$B$10,Paramètres!$A$1:$I$89,3,0)*0.475*44/12</f>
        <v>0.14756432961368934</v>
      </c>
      <c r="AW147" s="21">
        <f>EXP(-LN(2)/2)*AW146+(1-EXP(-LN(2)/2))/(LN(2)/2)*AQ147*AT147*VLOOKUP('Données projet'!$B$10,Paramètres!$A$1:$I$89,3,0)*0.475*44/12</f>
        <v>4.8130514245802671E-17</v>
      </c>
      <c r="AX147" s="21">
        <f t="shared" si="114"/>
        <v>0.1475643296136894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-1.1368683772161603E-13</v>
      </c>
      <c r="BE147" s="13">
        <f>BD147*VLOOKUP('Données projet'!$B$11,Paramètres!$A$1:$I$89,3,0)*VLOOKUP('Données projet'!$B$11,Paramètres!$A$1:$I$89,5,0)</f>
        <v>-5.3205440053716299E-14</v>
      </c>
      <c r="BF147" s="13" t="e">
        <f t="shared" si="145"/>
        <v>#NUM!</v>
      </c>
      <c r="BG147" s="20" t="e">
        <f t="shared" si="115"/>
        <v>#NUM!</v>
      </c>
      <c r="BH147" s="59" t="e">
        <f t="shared" si="116"/>
        <v>#NUM!</v>
      </c>
      <c r="BI147" s="59">
        <f ca="1">AVERAGE(OFFSET($BH$3,0,0,'Données projet'!$E$11+1,1))-AVERAGE(OFFSET($H$3,0,0,'Données projet'!$E$11+1,1))</f>
        <v>215.23235148064941</v>
      </c>
      <c r="BJ147" s="59">
        <f t="shared" si="146"/>
        <v>184.07239726900434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0.32785505187856961</v>
      </c>
      <c r="BQ147" s="21">
        <f>EXP(-LN(2)/25)*BQ146+(1-EXP(-LN(2)/25))/(LN(2)/25)*Calculateur!BL147*Calculateur!BN147*VLOOKUP('Données projet'!$B$11,Paramètres!$A$1:$I$89,3,0)*0.475*44/12</f>
        <v>0.33302365427306696</v>
      </c>
      <c r="BR147" s="21">
        <f>EXP(-LN(2)/2)*BR146+(1-EXP(-LN(2)/2))/(LN(2)/2)*BL147*BO147*VLOOKUP('Données projet'!$B$11,Paramètres!$A$1:$I$89,3,0)*0.475*44/12</f>
        <v>6.8224429441265887E-17</v>
      </c>
      <c r="BS147" s="22">
        <f t="shared" si="117"/>
        <v>0.66087870615163669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 t="e">
        <f>BY147*VLOOKUP('Données projet'!$B$12,Paramètres!$A$1:$I$89,3,0)*VLOOKUP('Données projet'!$B$12,Paramètres!$A$1:$I$89,5,0)</f>
        <v>#N/A</v>
      </c>
      <c r="CA147" s="13" t="e">
        <f t="shared" si="147"/>
        <v>#N/A</v>
      </c>
      <c r="CB147" s="20" t="e">
        <f t="shared" si="118"/>
        <v>#N/A</v>
      </c>
      <c r="CC147" s="59" t="e">
        <f t="shared" si="119"/>
        <v>#N/A</v>
      </c>
      <c r="CD147" s="59" t="e">
        <f ca="1">AVERAGE(OFFSET($CC$3,0,0,'Données projet'!$E$12+1,1))-AVERAGE(OFFSET($H$3,0,0,'Données projet'!$E$12+1,1))</f>
        <v>#N/A</v>
      </c>
      <c r="CE147" s="59" t="e">
        <f t="shared" si="148"/>
        <v>#N/A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 t="e">
        <f>EXP(-LN(2)/35)*CK146+(1-EXP(-LN(2)/35))/(LN(2)/35)*CG147*CH147*VLOOKUP('Données projet'!$B$12,Paramètres!$A$1:$I$89,3,0)*0.475*44/12</f>
        <v>#N/A</v>
      </c>
      <c r="CL147" s="21" t="e">
        <f>EXP(-LN(2)/25)*CL146+(1-EXP(-LN(2)/25))/(LN(2)/25)*Calculateur!CG147*Calculateur!CI147*VLOOKUP('Données projet'!$B$12,Paramètres!$A$1:$I$89,3,0)*0.475*44/12</f>
        <v>#N/A</v>
      </c>
      <c r="CM147" s="21" t="e">
        <f>EXP(-LN(2)/2)*CM146+(1-EXP(-LN(2)/2))/(LN(2)/2)*CG147*CJ147*VLOOKUP('Données projet'!$B$12,Paramètres!$A$1:$I$89,3,0)*0.475*44/12</f>
        <v>#N/A</v>
      </c>
      <c r="CN147" s="22" t="e">
        <f t="shared" si="120"/>
        <v>#N/A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25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128.93400000000022</v>
      </c>
      <c r="D148" s="11">
        <f t="shared" si="140"/>
        <v>33.749920116221446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10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1255.8056991427636</v>
      </c>
      <c r="H148" s="67">
        <f t="shared" si="110"/>
        <v>576.6744942024194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-3.4106051316484809E-13</v>
      </c>
      <c r="O148" s="13">
        <f>N148*VLOOKUP('Données projet'!$B$9,Paramètres!$A$1:$I$89,3,0)*VLOOKUP('Données projet'!$B$9,Paramètres!$A$1:$I$89,5,0)</f>
        <v>-1.9065282685915009E-13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279.98352834501759</v>
      </c>
      <c r="T148" s="59">
        <f t="shared" si="142"/>
        <v>281.30062655265488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0.4098551271450146</v>
      </c>
      <c r="AA148" s="21">
        <f>EXP(-LN(2)/25)*AA147+(1-EXP(-LN(2)/25))/(LN(2)/25)*Calculateur!V148*Calculateur!X148*VLOOKUP('Données projet'!$B$9,Paramètres!$A$1:$I$89,3,0)*0.475*44/12</f>
        <v>0.99898901365441617</v>
      </c>
      <c r="AB148" s="21">
        <f>EXP(-LN(2)/2)*AB147+(1-EXP(-LN(2)/2))/(LN(2)/2)*V148*Y148*VLOOKUP('Données projet'!$B$9,Paramètres!$A$1:$I$89,3,0)*0.475*44/12</f>
        <v>1.3893915173611416E-16</v>
      </c>
      <c r="AC148" s="22">
        <f t="shared" si="111"/>
        <v>1.408844140799431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-1.1368683772161603E-13</v>
      </c>
      <c r="AJ148" s="13">
        <f>AI148*VLOOKUP('Données projet'!$B$10,Paramètres!$A$1:$I$89,3,0)*VLOOKUP('Données projet'!$B$10,Paramètres!$A$1:$I$89,5,0)</f>
        <v>-1.1527845344971866E-13</v>
      </c>
      <c r="AK148" s="13" t="e">
        <f t="shared" si="143"/>
        <v>#NUM!</v>
      </c>
      <c r="AL148" s="20" t="e">
        <f t="shared" si="112"/>
        <v>#NUM!</v>
      </c>
      <c r="AM148" s="59" t="e">
        <f t="shared" si="113"/>
        <v>#NUM!</v>
      </c>
      <c r="AN148" s="59">
        <f ca="1">AVERAGE(OFFSET($AM$3,0,0,'Données projet'!$E$10+1,1))-AVERAGE(OFFSET($H$3,0,0,'Données projet'!$E$10+1,1))</f>
        <v>279.20364724206644</v>
      </c>
      <c r="AO148" s="59">
        <f t="shared" si="144"/>
        <v>173.99850582760712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0</v>
      </c>
      <c r="AV148" s="21">
        <f>EXP(-LN(2)/25)*AV147+(1-EXP(-LN(2)/25))/(LN(2)/25)*Calculateur!AQ148*Calculateur!AS148*VLOOKUP('Données projet'!$B$10,Paramètres!$A$1:$I$89,3,0)*0.475*44/12</f>
        <v>0.14352917526033218</v>
      </c>
      <c r="AW148" s="21">
        <f>EXP(-LN(2)/2)*AW147+(1-EXP(-LN(2)/2))/(LN(2)/2)*AQ148*AT148*VLOOKUP('Données projet'!$B$10,Paramètres!$A$1:$I$89,3,0)*0.475*44/12</f>
        <v>3.4033413005202797E-17</v>
      </c>
      <c r="AX148" s="21">
        <f t="shared" si="114"/>
        <v>0.14352917526033221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-1.1368683772161603E-13</v>
      </c>
      <c r="BE148" s="13">
        <f>BD148*VLOOKUP('Données projet'!$B$11,Paramètres!$A$1:$I$89,3,0)*VLOOKUP('Données projet'!$B$11,Paramètres!$A$1:$I$89,5,0)</f>
        <v>-5.3205440053716299E-14</v>
      </c>
      <c r="BF148" s="13" t="e">
        <f t="shared" si="145"/>
        <v>#NUM!</v>
      </c>
      <c r="BG148" s="20" t="e">
        <f t="shared" si="115"/>
        <v>#NUM!</v>
      </c>
      <c r="BH148" s="59" t="e">
        <f t="shared" si="116"/>
        <v>#NUM!</v>
      </c>
      <c r="BI148" s="59">
        <f ca="1">AVERAGE(OFFSET($BH$3,0,0,'Données projet'!$E$11+1,1))-AVERAGE(OFFSET($H$3,0,0,'Données projet'!$E$11+1,1))</f>
        <v>215.23235148064941</v>
      </c>
      <c r="BJ148" s="59">
        <f t="shared" si="146"/>
        <v>184.07239726900434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0.32142601428306694</v>
      </c>
      <c r="BQ148" s="21">
        <f>EXP(-LN(2)/25)*BQ147+(1-EXP(-LN(2)/25))/(LN(2)/25)*Calculateur!BL148*Calculateur!BN148*VLOOKUP('Données projet'!$B$11,Paramètres!$A$1:$I$89,3,0)*0.475*44/12</f>
        <v>0.3239171049340171</v>
      </c>
      <c r="BR148" s="21">
        <f>EXP(-LN(2)/2)*BR147+(1-EXP(-LN(2)/2))/(LN(2)/2)*BL148*BO148*VLOOKUP('Données projet'!$B$11,Paramètres!$A$1:$I$89,3,0)*0.475*44/12</f>
        <v>4.8241956700502249E-17</v>
      </c>
      <c r="BS148" s="22">
        <f t="shared" si="117"/>
        <v>0.64534311921708398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 t="e">
        <f>BY148*VLOOKUP('Données projet'!$B$12,Paramètres!$A$1:$I$89,3,0)*VLOOKUP('Données projet'!$B$12,Paramètres!$A$1:$I$89,5,0)</f>
        <v>#N/A</v>
      </c>
      <c r="CA148" s="13" t="e">
        <f t="shared" si="147"/>
        <v>#N/A</v>
      </c>
      <c r="CB148" s="20" t="e">
        <f t="shared" si="118"/>
        <v>#N/A</v>
      </c>
      <c r="CC148" s="59" t="e">
        <f t="shared" si="119"/>
        <v>#N/A</v>
      </c>
      <c r="CD148" s="59" t="e">
        <f ca="1">AVERAGE(OFFSET($CC$3,0,0,'Données projet'!$E$12+1,1))-AVERAGE(OFFSET($H$3,0,0,'Données projet'!$E$12+1,1))</f>
        <v>#N/A</v>
      </c>
      <c r="CE148" s="59" t="e">
        <f t="shared" si="148"/>
        <v>#N/A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 t="e">
        <f>EXP(-LN(2)/35)*CK147+(1-EXP(-LN(2)/35))/(LN(2)/35)*CG148*CH148*VLOOKUP('Données projet'!$B$12,Paramètres!$A$1:$I$89,3,0)*0.475*44/12</f>
        <v>#N/A</v>
      </c>
      <c r="CL148" s="21" t="e">
        <f>EXP(-LN(2)/25)*CL147+(1-EXP(-LN(2)/25))/(LN(2)/25)*Calculateur!CG148*Calculateur!CI148*VLOOKUP('Données projet'!$B$12,Paramètres!$A$1:$I$89,3,0)*0.475*44/12</f>
        <v>#N/A</v>
      </c>
      <c r="CM148" s="21" t="e">
        <f>EXP(-LN(2)/2)*CM147+(1-EXP(-LN(2)/2))/(LN(2)/2)*CG148*CJ148*VLOOKUP('Données projet'!$B$12,Paramètres!$A$1:$I$89,3,0)*0.475*44/12</f>
        <v>#N/A</v>
      </c>
      <c r="CN148" s="22" t="e">
        <f t="shared" si="120"/>
        <v>#N/A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25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129.82320000000021</v>
      </c>
      <c r="D149" s="11">
        <f t="shared" si="140"/>
        <v>33.955502808068339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10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1264.256653255266</v>
      </c>
      <c r="H149" s="67">
        <f t="shared" si="110"/>
        <v>578.58124072405269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-3.4106051316484809E-13</v>
      </c>
      <c r="O149" s="13">
        <f>N149*VLOOKUP('Données projet'!$B$9,Paramètres!$A$1:$I$89,3,0)*VLOOKUP('Données projet'!$B$9,Paramètres!$A$1:$I$89,5,0)</f>
        <v>-1.9065282685915009E-13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279.98352834501759</v>
      </c>
      <c r="T149" s="59">
        <f t="shared" si="142"/>
        <v>281.30062655265488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0.40181811808864426</v>
      </c>
      <c r="AA149" s="21">
        <f>EXP(-LN(2)/25)*AA148+(1-EXP(-LN(2)/25))/(LN(2)/25)*Calculateur!V149*Calculateur!X149*VLOOKUP('Données projet'!$B$9,Paramètres!$A$1:$I$89,3,0)*0.475*44/12</f>
        <v>0.9716716065414871</v>
      </c>
      <c r="AB149" s="21">
        <f>EXP(-LN(2)/2)*AB148+(1-EXP(-LN(2)/2))/(LN(2)/2)*V149*Y149*VLOOKUP('Données projet'!$B$9,Paramètres!$A$1:$I$89,3,0)*0.475*44/12</f>
        <v>9.8244816364913001E-17</v>
      </c>
      <c r="AC149" s="22">
        <f t="shared" si="111"/>
        <v>1.3734897246301314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-1.1368683772161603E-13</v>
      </c>
      <c r="AJ149" s="13">
        <f>AI149*VLOOKUP('Données projet'!$B$10,Paramètres!$A$1:$I$89,3,0)*VLOOKUP('Données projet'!$B$10,Paramètres!$A$1:$I$89,5,0)</f>
        <v>-1.1527845344971866E-13</v>
      </c>
      <c r="AK149" s="13" t="e">
        <f t="shared" si="143"/>
        <v>#NUM!</v>
      </c>
      <c r="AL149" s="20" t="e">
        <f t="shared" si="112"/>
        <v>#NUM!</v>
      </c>
      <c r="AM149" s="59" t="e">
        <f t="shared" si="113"/>
        <v>#NUM!</v>
      </c>
      <c r="AN149" s="59">
        <f ca="1">AVERAGE(OFFSET($AM$3,0,0,'Données projet'!$E$10+1,1))-AVERAGE(OFFSET($H$3,0,0,'Données projet'!$E$10+1,1))</f>
        <v>279.20364724206644</v>
      </c>
      <c r="AO149" s="59">
        <f t="shared" si="144"/>
        <v>173.99850582760712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0</v>
      </c>
      <c r="AV149" s="21">
        <f>EXP(-LN(2)/25)*AV148+(1-EXP(-LN(2)/25))/(LN(2)/25)*Calculateur!AQ149*Calculateur!AS149*VLOOKUP('Données projet'!$B$10,Paramètres!$A$1:$I$89,3,0)*0.475*44/12</f>
        <v>0.1396043624149671</v>
      </c>
      <c r="AW149" s="21">
        <f>EXP(-LN(2)/2)*AW148+(1-EXP(-LN(2)/2))/(LN(2)/2)*AQ149*AT149*VLOOKUP('Données projet'!$B$10,Paramètres!$A$1:$I$89,3,0)*0.475*44/12</f>
        <v>2.4065257122901335E-17</v>
      </c>
      <c r="AX149" s="21">
        <f t="shared" si="114"/>
        <v>0.13960436241496713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-1.1368683772161603E-13</v>
      </c>
      <c r="BE149" s="13">
        <f>BD149*VLOOKUP('Données projet'!$B$11,Paramètres!$A$1:$I$89,3,0)*VLOOKUP('Données projet'!$B$11,Paramètres!$A$1:$I$89,5,0)</f>
        <v>-5.3205440053716299E-14</v>
      </c>
      <c r="BF149" s="13" t="e">
        <f t="shared" si="145"/>
        <v>#NUM!</v>
      </c>
      <c r="BG149" s="20" t="e">
        <f t="shared" si="115"/>
        <v>#NUM!</v>
      </c>
      <c r="BH149" s="59" t="e">
        <f t="shared" si="116"/>
        <v>#NUM!</v>
      </c>
      <c r="BI149" s="59">
        <f ca="1">AVERAGE(OFFSET($BH$3,0,0,'Données projet'!$E$11+1,1))-AVERAGE(OFFSET($H$3,0,0,'Données projet'!$E$11+1,1))</f>
        <v>215.23235148064941</v>
      </c>
      <c r="BJ149" s="59">
        <f t="shared" si="146"/>
        <v>184.07239726900434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0.31512304619348636</v>
      </c>
      <c r="BQ149" s="21">
        <f>EXP(-LN(2)/25)*BQ148+(1-EXP(-LN(2)/25))/(LN(2)/25)*Calculateur!BL149*Calculateur!BN149*VLOOKUP('Données projet'!$B$11,Paramètres!$A$1:$I$89,3,0)*0.475*44/12</f>
        <v>0.31505957466553619</v>
      </c>
      <c r="BR149" s="21">
        <f>EXP(-LN(2)/2)*BR148+(1-EXP(-LN(2)/2))/(LN(2)/2)*BL149*BO149*VLOOKUP('Données projet'!$B$11,Paramètres!$A$1:$I$89,3,0)*0.475*44/12</f>
        <v>3.4112214720632944E-17</v>
      </c>
      <c r="BS149" s="22">
        <f t="shared" si="117"/>
        <v>0.63018262085902255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 t="e">
        <f>BY149*VLOOKUP('Données projet'!$B$12,Paramètres!$A$1:$I$89,3,0)*VLOOKUP('Données projet'!$B$12,Paramètres!$A$1:$I$89,5,0)</f>
        <v>#N/A</v>
      </c>
      <c r="CA149" s="13" t="e">
        <f t="shared" si="147"/>
        <v>#N/A</v>
      </c>
      <c r="CB149" s="20" t="e">
        <f t="shared" si="118"/>
        <v>#N/A</v>
      </c>
      <c r="CC149" s="59" t="e">
        <f t="shared" si="119"/>
        <v>#N/A</v>
      </c>
      <c r="CD149" s="59" t="e">
        <f ca="1">AVERAGE(OFFSET($CC$3,0,0,'Données projet'!$E$12+1,1))-AVERAGE(OFFSET($H$3,0,0,'Données projet'!$E$12+1,1))</f>
        <v>#N/A</v>
      </c>
      <c r="CE149" s="59" t="e">
        <f t="shared" si="148"/>
        <v>#N/A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 t="e">
        <f>EXP(-LN(2)/35)*CK148+(1-EXP(-LN(2)/35))/(LN(2)/35)*CG149*CH149*VLOOKUP('Données projet'!$B$12,Paramètres!$A$1:$I$89,3,0)*0.475*44/12</f>
        <v>#N/A</v>
      </c>
      <c r="CL149" s="21" t="e">
        <f>EXP(-LN(2)/25)*CL148+(1-EXP(-LN(2)/25))/(LN(2)/25)*Calculateur!CG149*Calculateur!CI149*VLOOKUP('Données projet'!$B$12,Paramètres!$A$1:$I$89,3,0)*0.475*44/12</f>
        <v>#N/A</v>
      </c>
      <c r="CM149" s="21" t="e">
        <f>EXP(-LN(2)/2)*CM148+(1-EXP(-LN(2)/2))/(LN(2)/2)*CG149*CJ149*VLOOKUP('Données projet'!$B$12,Paramètres!$A$1:$I$89,3,0)*0.475*44/12</f>
        <v>#N/A</v>
      </c>
      <c r="CN149" s="22" t="e">
        <f t="shared" si="120"/>
        <v>#N/A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25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130.7124000000002</v>
      </c>
      <c r="D150" s="11">
        <f t="shared" si="140"/>
        <v>34.160921660966174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10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1272.7063426460566</v>
      </c>
      <c r="H150" s="67">
        <f t="shared" si="110"/>
        <v>580.48770189284971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-3.4106051316484809E-13</v>
      </c>
      <c r="O150" s="13">
        <f>N150*VLOOKUP('Données projet'!$B$9,Paramètres!$A$1:$I$89,3,0)*VLOOKUP('Données projet'!$B$9,Paramètres!$A$1:$I$89,5,0)</f>
        <v>-1.9065282685915009E-13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279.98352834501759</v>
      </c>
      <c r="T150" s="59">
        <f t="shared" si="142"/>
        <v>281.30062655265488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0.39393870987777785</v>
      </c>
      <c r="AA150" s="21">
        <f>EXP(-LN(2)/25)*AA149+(1-EXP(-LN(2)/25))/(LN(2)/25)*Calculateur!V150*Calculateur!X150*VLOOKUP('Données projet'!$B$9,Paramètres!$A$1:$I$89,3,0)*0.475*44/12</f>
        <v>0.94510119536262116</v>
      </c>
      <c r="AB150" s="21">
        <f>EXP(-LN(2)/2)*AB149+(1-EXP(-LN(2)/2))/(LN(2)/2)*V150*Y150*VLOOKUP('Données projet'!$B$9,Paramètres!$A$1:$I$89,3,0)*0.475*44/12</f>
        <v>6.946957586805708E-17</v>
      </c>
      <c r="AC150" s="22">
        <f t="shared" si="111"/>
        <v>1.339039905240399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-1.1368683772161603E-13</v>
      </c>
      <c r="AJ150" s="13">
        <f>AI150*VLOOKUP('Données projet'!$B$10,Paramètres!$A$1:$I$89,3,0)*VLOOKUP('Données projet'!$B$10,Paramètres!$A$1:$I$89,5,0)</f>
        <v>-1.1527845344971866E-13</v>
      </c>
      <c r="AK150" s="13" t="e">
        <f t="shared" si="143"/>
        <v>#NUM!</v>
      </c>
      <c r="AL150" s="20" t="e">
        <f t="shared" si="112"/>
        <v>#NUM!</v>
      </c>
      <c r="AM150" s="59" t="e">
        <f t="shared" si="113"/>
        <v>#NUM!</v>
      </c>
      <c r="AN150" s="59">
        <f ca="1">AVERAGE(OFFSET($AM$3,0,0,'Données projet'!$E$10+1,1))-AVERAGE(OFFSET($H$3,0,0,'Données projet'!$E$10+1,1))</f>
        <v>279.20364724206644</v>
      </c>
      <c r="AO150" s="59">
        <f t="shared" si="144"/>
        <v>173.99850582760712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0</v>
      </c>
      <c r="AV150" s="21">
        <f>EXP(-LN(2)/25)*AV149+(1-EXP(-LN(2)/25))/(LN(2)/25)*Calculateur!AQ150*Calculateur!AS150*VLOOKUP('Données projet'!$B$10,Paramètres!$A$1:$I$89,3,0)*0.475*44/12</f>
        <v>0.13578687378325546</v>
      </c>
      <c r="AW150" s="21">
        <f>EXP(-LN(2)/2)*AW149+(1-EXP(-LN(2)/2))/(LN(2)/2)*AQ150*AT150*VLOOKUP('Données projet'!$B$10,Paramètres!$A$1:$I$89,3,0)*0.475*44/12</f>
        <v>1.7016706502601399E-17</v>
      </c>
      <c r="AX150" s="21">
        <f t="shared" si="114"/>
        <v>0.13578687378325549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-1.1368683772161603E-13</v>
      </c>
      <c r="BE150" s="13">
        <f>BD150*VLOOKUP('Données projet'!$B$11,Paramètres!$A$1:$I$89,3,0)*VLOOKUP('Données projet'!$B$11,Paramètres!$A$1:$I$89,5,0)</f>
        <v>-5.3205440053716299E-14</v>
      </c>
      <c r="BF150" s="13" t="e">
        <f t="shared" si="145"/>
        <v>#NUM!</v>
      </c>
      <c r="BG150" s="20" t="e">
        <f t="shared" si="115"/>
        <v>#NUM!</v>
      </c>
      <c r="BH150" s="59" t="e">
        <f t="shared" si="116"/>
        <v>#NUM!</v>
      </c>
      <c r="BI150" s="59">
        <f ca="1">AVERAGE(OFFSET($BH$3,0,0,'Données projet'!$E$11+1,1))-AVERAGE(OFFSET($H$3,0,0,'Données projet'!$E$11+1,1))</f>
        <v>215.23235148064941</v>
      </c>
      <c r="BJ150" s="59">
        <f t="shared" si="146"/>
        <v>184.07239726900434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0.30894367546371149</v>
      </c>
      <c r="BQ150" s="21">
        <f>EXP(-LN(2)/25)*BQ149+(1-EXP(-LN(2)/25))/(LN(2)/25)*Calculateur!BL150*Calculateur!BN150*VLOOKUP('Données projet'!$B$11,Paramètres!$A$1:$I$89,3,0)*0.475*44/12</f>
        <v>0.30644425402804415</v>
      </c>
      <c r="BR150" s="21">
        <f>EXP(-LN(2)/2)*BR149+(1-EXP(-LN(2)/2))/(LN(2)/2)*BL150*BO150*VLOOKUP('Données projet'!$B$11,Paramètres!$A$1:$I$89,3,0)*0.475*44/12</f>
        <v>2.4120978350251125E-17</v>
      </c>
      <c r="BS150" s="22">
        <f t="shared" si="117"/>
        <v>0.61538792949175569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 t="e">
        <f>BY150*VLOOKUP('Données projet'!$B$12,Paramètres!$A$1:$I$89,3,0)*VLOOKUP('Données projet'!$B$12,Paramètres!$A$1:$I$89,5,0)</f>
        <v>#N/A</v>
      </c>
      <c r="CA150" s="13" t="e">
        <f t="shared" si="147"/>
        <v>#N/A</v>
      </c>
      <c r="CB150" s="20" t="e">
        <f t="shared" si="118"/>
        <v>#N/A</v>
      </c>
      <c r="CC150" s="59" t="e">
        <f t="shared" si="119"/>
        <v>#N/A</v>
      </c>
      <c r="CD150" s="59" t="e">
        <f ca="1">AVERAGE(OFFSET($CC$3,0,0,'Données projet'!$E$12+1,1))-AVERAGE(OFFSET($H$3,0,0,'Données projet'!$E$12+1,1))</f>
        <v>#N/A</v>
      </c>
      <c r="CE150" s="59" t="e">
        <f t="shared" si="148"/>
        <v>#N/A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 t="e">
        <f>EXP(-LN(2)/35)*CK149+(1-EXP(-LN(2)/35))/(LN(2)/35)*CG150*CH150*VLOOKUP('Données projet'!$B$12,Paramètres!$A$1:$I$89,3,0)*0.475*44/12</f>
        <v>#N/A</v>
      </c>
      <c r="CL150" s="21" t="e">
        <f>EXP(-LN(2)/25)*CL149+(1-EXP(-LN(2)/25))/(LN(2)/25)*Calculateur!CG150*Calculateur!CI150*VLOOKUP('Données projet'!$B$12,Paramètres!$A$1:$I$89,3,0)*0.475*44/12</f>
        <v>#N/A</v>
      </c>
      <c r="CM150" s="21" t="e">
        <f>EXP(-LN(2)/2)*CM149+(1-EXP(-LN(2)/2))/(LN(2)/2)*CG150*CJ150*VLOOKUP('Données projet'!$B$12,Paramètres!$A$1:$I$89,3,0)*0.475*44/12</f>
        <v>#N/A</v>
      </c>
      <c r="CN150" s="22" t="e">
        <f t="shared" si="120"/>
        <v>#N/A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25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131.60160000000019</v>
      </c>
      <c r="D151" s="11">
        <f t="shared" si="140"/>
        <v>34.366177918726152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10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1281.1547769164843</v>
      </c>
      <c r="H151" s="67">
        <f t="shared" si="110"/>
        <v>582.39387987511509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-3.4106051316484809E-13</v>
      </c>
      <c r="O151" s="13">
        <f>N151*VLOOKUP('Données projet'!$B$9,Paramètres!$A$1:$I$89,3,0)*VLOOKUP('Données projet'!$B$9,Paramètres!$A$1:$I$89,5,0)</f>
        <v>-1.9065282685915009E-13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279.98352834501759</v>
      </c>
      <c r="T151" s="59">
        <f t="shared" si="142"/>
        <v>281.30062655265488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0.38621381205596206</v>
      </c>
      <c r="AA151" s="21">
        <f>EXP(-LN(2)/25)*AA150+(1-EXP(-LN(2)/25))/(LN(2)/25)*Calculateur!V151*Calculateur!X151*VLOOKUP('Données projet'!$B$9,Paramètres!$A$1:$I$89,3,0)*0.475*44/12</f>
        <v>0.91925735347471849</v>
      </c>
      <c r="AB151" s="21">
        <f>EXP(-LN(2)/2)*AB150+(1-EXP(-LN(2)/2))/(LN(2)/2)*V151*Y151*VLOOKUP('Données projet'!$B$9,Paramètres!$A$1:$I$89,3,0)*0.475*44/12</f>
        <v>4.9122408182456501E-17</v>
      </c>
      <c r="AC151" s="22">
        <f t="shared" si="111"/>
        <v>1.3054711655306805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-1.1368683772161603E-13</v>
      </c>
      <c r="AJ151" s="13">
        <f>AI151*VLOOKUP('Données projet'!$B$10,Paramètres!$A$1:$I$89,3,0)*VLOOKUP('Données projet'!$B$10,Paramètres!$A$1:$I$89,5,0)</f>
        <v>-1.1527845344971866E-13</v>
      </c>
      <c r="AK151" s="13" t="e">
        <f t="shared" si="143"/>
        <v>#NUM!</v>
      </c>
      <c r="AL151" s="20" t="e">
        <f t="shared" si="112"/>
        <v>#NUM!</v>
      </c>
      <c r="AM151" s="59" t="e">
        <f t="shared" si="113"/>
        <v>#NUM!</v>
      </c>
      <c r="AN151" s="59">
        <f ca="1">AVERAGE(OFFSET($AM$3,0,0,'Données projet'!$E$10+1,1))-AVERAGE(OFFSET($H$3,0,0,'Données projet'!$E$10+1,1))</f>
        <v>279.20364724206644</v>
      </c>
      <c r="AO151" s="59">
        <f t="shared" si="144"/>
        <v>173.99850582760712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0</v>
      </c>
      <c r="AV151" s="21">
        <f>EXP(-LN(2)/25)*AV150+(1-EXP(-LN(2)/25))/(LN(2)/25)*Calculateur!AQ151*Calculateur!AS151*VLOOKUP('Données projet'!$B$10,Paramètres!$A$1:$I$89,3,0)*0.475*44/12</f>
        <v>0.13207377457893099</v>
      </c>
      <c r="AW151" s="21">
        <f>EXP(-LN(2)/2)*AW150+(1-EXP(-LN(2)/2))/(LN(2)/2)*AQ151*AT151*VLOOKUP('Données projet'!$B$10,Paramètres!$A$1:$I$89,3,0)*0.475*44/12</f>
        <v>1.2032628561450668E-17</v>
      </c>
      <c r="AX151" s="21">
        <f t="shared" si="114"/>
        <v>0.13207377457893099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-1.1368683772161603E-13</v>
      </c>
      <c r="BE151" s="13">
        <f>BD151*VLOOKUP('Données projet'!$B$11,Paramètres!$A$1:$I$89,3,0)*VLOOKUP('Données projet'!$B$11,Paramètres!$A$1:$I$89,5,0)</f>
        <v>-5.3205440053716299E-14</v>
      </c>
      <c r="BF151" s="13" t="e">
        <f t="shared" si="145"/>
        <v>#NUM!</v>
      </c>
      <c r="BG151" s="20" t="e">
        <f t="shared" si="115"/>
        <v>#NUM!</v>
      </c>
      <c r="BH151" s="59" t="e">
        <f t="shared" si="116"/>
        <v>#NUM!</v>
      </c>
      <c r="BI151" s="59">
        <f ca="1">AVERAGE(OFFSET($BH$3,0,0,'Données projet'!$E$11+1,1))-AVERAGE(OFFSET($H$3,0,0,'Données projet'!$E$11+1,1))</f>
        <v>215.23235148064941</v>
      </c>
      <c r="BJ151" s="59">
        <f t="shared" si="146"/>
        <v>184.07239726900434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0.30288547842490354</v>
      </c>
      <c r="BQ151" s="21">
        <f>EXP(-LN(2)/25)*BQ150+(1-EXP(-LN(2)/25))/(LN(2)/25)*Calculateur!BL151*Calculateur!BN151*VLOOKUP('Données projet'!$B$11,Paramètres!$A$1:$I$89,3,0)*0.475*44/12</f>
        <v>0.29806451978644433</v>
      </c>
      <c r="BR151" s="21">
        <f>EXP(-LN(2)/2)*BR150+(1-EXP(-LN(2)/2))/(LN(2)/2)*BL151*BO151*VLOOKUP('Données projet'!$B$11,Paramètres!$A$1:$I$89,3,0)*0.475*44/12</f>
        <v>1.7056107360316472E-17</v>
      </c>
      <c r="BS151" s="22">
        <f t="shared" si="117"/>
        <v>0.60094999821134787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 t="e">
        <f>BY151*VLOOKUP('Données projet'!$B$12,Paramètres!$A$1:$I$89,3,0)*VLOOKUP('Données projet'!$B$12,Paramètres!$A$1:$I$89,5,0)</f>
        <v>#N/A</v>
      </c>
      <c r="CA151" s="13" t="e">
        <f t="shared" si="147"/>
        <v>#N/A</v>
      </c>
      <c r="CB151" s="20" t="e">
        <f t="shared" si="118"/>
        <v>#N/A</v>
      </c>
      <c r="CC151" s="59" t="e">
        <f t="shared" si="119"/>
        <v>#N/A</v>
      </c>
      <c r="CD151" s="59" t="e">
        <f ca="1">AVERAGE(OFFSET($CC$3,0,0,'Données projet'!$E$12+1,1))-AVERAGE(OFFSET($H$3,0,0,'Données projet'!$E$12+1,1))</f>
        <v>#N/A</v>
      </c>
      <c r="CE151" s="59" t="e">
        <f t="shared" si="148"/>
        <v>#N/A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 t="e">
        <f>EXP(-LN(2)/35)*CK150+(1-EXP(-LN(2)/35))/(LN(2)/35)*CG151*CH151*VLOOKUP('Données projet'!$B$12,Paramètres!$A$1:$I$89,3,0)*0.475*44/12</f>
        <v>#N/A</v>
      </c>
      <c r="CL151" s="21" t="e">
        <f>EXP(-LN(2)/25)*CL150+(1-EXP(-LN(2)/25))/(LN(2)/25)*Calculateur!CG151*Calculateur!CI151*VLOOKUP('Données projet'!$B$12,Paramètres!$A$1:$I$89,3,0)*0.475*44/12</f>
        <v>#N/A</v>
      </c>
      <c r="CM151" s="21" t="e">
        <f>EXP(-LN(2)/2)*CM150+(1-EXP(-LN(2)/2))/(LN(2)/2)*CG151*CJ151*VLOOKUP('Données projet'!$B$12,Paramètres!$A$1:$I$89,3,0)*0.475*44/12</f>
        <v>#N/A</v>
      </c>
      <c r="CN151" s="22" t="e">
        <f t="shared" si="120"/>
        <v>#N/A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25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132.49080000000018</v>
      </c>
      <c r="D152" s="11">
        <f t="shared" si="140"/>
        <v>34.571272807379401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10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1289.6019655306493</v>
      </c>
      <c r="H152" s="67">
        <f t="shared" si="110"/>
        <v>584.29977680618606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-3.4106051316484809E-13</v>
      </c>
      <c r="O152" s="13">
        <f>N152*VLOOKUP('Données projet'!$B$9,Paramètres!$A$1:$I$89,3,0)*VLOOKUP('Données projet'!$B$9,Paramètres!$A$1:$I$89,5,0)</f>
        <v>-1.9065282685915009E-13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279.98352834501759</v>
      </c>
      <c r="T152" s="59">
        <f t="shared" si="142"/>
        <v>281.30062655265488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0.3786403947687097</v>
      </c>
      <c r="AA152" s="21">
        <f>EXP(-LN(2)/25)*AA151+(1-EXP(-LN(2)/25))/(LN(2)/25)*Calculateur!V152*Calculateur!X152*VLOOKUP('Données projet'!$B$9,Paramètres!$A$1:$I$89,3,0)*0.475*44/12</f>
        <v>0.89412021280230913</v>
      </c>
      <c r="AB152" s="21">
        <f>EXP(-LN(2)/2)*AB151+(1-EXP(-LN(2)/2))/(LN(2)/2)*V152*Y152*VLOOKUP('Données projet'!$B$9,Paramètres!$A$1:$I$89,3,0)*0.475*44/12</f>
        <v>3.473478793402854E-17</v>
      </c>
      <c r="AC152" s="22">
        <f t="shared" si="111"/>
        <v>1.2727606075710187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-1.1368683772161603E-13</v>
      </c>
      <c r="AJ152" s="13">
        <f>AI152*VLOOKUP('Données projet'!$B$10,Paramètres!$A$1:$I$89,3,0)*VLOOKUP('Données projet'!$B$10,Paramètres!$A$1:$I$89,5,0)</f>
        <v>-1.1527845344971866E-13</v>
      </c>
      <c r="AK152" s="13" t="e">
        <f t="shared" si="143"/>
        <v>#NUM!</v>
      </c>
      <c r="AL152" s="20" t="e">
        <f t="shared" si="112"/>
        <v>#NUM!</v>
      </c>
      <c r="AM152" s="59" t="e">
        <f t="shared" si="113"/>
        <v>#NUM!</v>
      </c>
      <c r="AN152" s="59">
        <f ca="1">AVERAGE(OFFSET($AM$3,0,0,'Données projet'!$E$10+1,1))-AVERAGE(OFFSET($H$3,0,0,'Données projet'!$E$10+1,1))</f>
        <v>279.20364724206644</v>
      </c>
      <c r="AO152" s="59">
        <f t="shared" si="144"/>
        <v>173.99850582760712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0</v>
      </c>
      <c r="AV152" s="21">
        <f>EXP(-LN(2)/25)*AV151+(1-EXP(-LN(2)/25))/(LN(2)/25)*Calculateur!AQ152*Calculateur!AS152*VLOOKUP('Données projet'!$B$10,Paramètres!$A$1:$I$89,3,0)*0.475*44/12</f>
        <v>0.12846221026761218</v>
      </c>
      <c r="AW152" s="21">
        <f>EXP(-LN(2)/2)*AW151+(1-EXP(-LN(2)/2))/(LN(2)/2)*AQ152*AT152*VLOOKUP('Données projet'!$B$10,Paramètres!$A$1:$I$89,3,0)*0.475*44/12</f>
        <v>8.5083532513006993E-18</v>
      </c>
      <c r="AX152" s="21">
        <f t="shared" si="114"/>
        <v>0.12846221026761218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-1.1368683772161603E-13</v>
      </c>
      <c r="BE152" s="13">
        <f>BD152*VLOOKUP('Données projet'!$B$11,Paramètres!$A$1:$I$89,3,0)*VLOOKUP('Données projet'!$B$11,Paramètres!$A$1:$I$89,5,0)</f>
        <v>-5.3205440053716299E-14</v>
      </c>
      <c r="BF152" s="13" t="e">
        <f t="shared" si="145"/>
        <v>#NUM!</v>
      </c>
      <c r="BG152" s="20" t="e">
        <f t="shared" si="115"/>
        <v>#NUM!</v>
      </c>
      <c r="BH152" s="59" t="e">
        <f t="shared" si="116"/>
        <v>#NUM!</v>
      </c>
      <c r="BI152" s="59">
        <f ca="1">AVERAGE(OFFSET($BH$3,0,0,'Données projet'!$E$11+1,1))-AVERAGE(OFFSET($H$3,0,0,'Données projet'!$E$11+1,1))</f>
        <v>215.23235148064941</v>
      </c>
      <c r="BJ152" s="59">
        <f t="shared" si="146"/>
        <v>184.07239726900434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0.29694607893489128</v>
      </c>
      <c r="BQ152" s="21">
        <f>EXP(-LN(2)/25)*BQ151+(1-EXP(-LN(2)/25))/(LN(2)/25)*Calculateur!BL152*Calculateur!BN152*VLOOKUP('Données projet'!$B$11,Paramètres!$A$1:$I$89,3,0)*0.475*44/12</f>
        <v>0.28991392981835212</v>
      </c>
      <c r="BR152" s="21">
        <f>EXP(-LN(2)/2)*BR151+(1-EXP(-LN(2)/2))/(LN(2)/2)*BL152*BO152*VLOOKUP('Données projet'!$B$11,Paramètres!$A$1:$I$89,3,0)*0.475*44/12</f>
        <v>1.2060489175125562E-17</v>
      </c>
      <c r="BS152" s="22">
        <f t="shared" si="117"/>
        <v>0.5868600087532434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 t="e">
        <f>BY152*VLOOKUP('Données projet'!$B$12,Paramètres!$A$1:$I$89,3,0)*VLOOKUP('Données projet'!$B$12,Paramètres!$A$1:$I$89,5,0)</f>
        <v>#N/A</v>
      </c>
      <c r="CA152" s="13" t="e">
        <f t="shared" si="147"/>
        <v>#N/A</v>
      </c>
      <c r="CB152" s="20" t="e">
        <f t="shared" si="118"/>
        <v>#N/A</v>
      </c>
      <c r="CC152" s="59" t="e">
        <f t="shared" si="119"/>
        <v>#N/A</v>
      </c>
      <c r="CD152" s="59" t="e">
        <f ca="1">AVERAGE(OFFSET($CC$3,0,0,'Données projet'!$E$12+1,1))-AVERAGE(OFFSET($H$3,0,0,'Données projet'!$E$12+1,1))</f>
        <v>#N/A</v>
      </c>
      <c r="CE152" s="59" t="e">
        <f t="shared" si="148"/>
        <v>#N/A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 t="e">
        <f>EXP(-LN(2)/35)*CK151+(1-EXP(-LN(2)/35))/(LN(2)/35)*CG152*CH152*VLOOKUP('Données projet'!$B$12,Paramètres!$A$1:$I$89,3,0)*0.475*44/12</f>
        <v>#N/A</v>
      </c>
      <c r="CL152" s="21" t="e">
        <f>EXP(-LN(2)/25)*CL151+(1-EXP(-LN(2)/25))/(LN(2)/25)*Calculateur!CG152*Calculateur!CI152*VLOOKUP('Données projet'!$B$12,Paramètres!$A$1:$I$89,3,0)*0.475*44/12</f>
        <v>#N/A</v>
      </c>
      <c r="CM152" s="21" t="e">
        <f>EXP(-LN(2)/2)*CM151+(1-EXP(-LN(2)/2))/(LN(2)/2)*CG152*CJ152*VLOOKUP('Données projet'!$B$12,Paramètres!$A$1:$I$89,3,0)*0.475*44/12</f>
        <v>#N/A</v>
      </c>
      <c r="CN152" s="22" t="e">
        <f t="shared" si="120"/>
        <v>#N/A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25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133.38000000000017</v>
      </c>
      <c r="D153" s="11">
        <f t="shared" si="140"/>
        <v>34.776207535549027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10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1298.0479178182745</v>
      </c>
      <c r="H153" s="67">
        <f t="shared" si="110"/>
        <v>586.20539479108152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-3.4106051316484809E-13</v>
      </c>
      <c r="O153" s="13">
        <f>N153*VLOOKUP('Données projet'!$B$9,Paramètres!$A$1:$I$89,3,0)*VLOOKUP('Données projet'!$B$9,Paramètres!$A$1:$I$89,5,0)</f>
        <v>-1.9065282685915009E-13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279.98352834501759</v>
      </c>
      <c r="T153" s="59">
        <f t="shared" si="142"/>
        <v>281.30062655265488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0.3712154875751319</v>
      </c>
      <c r="AA153" s="21">
        <f>EXP(-LN(2)/25)*AA152+(1-EXP(-LN(2)/25))/(LN(2)/25)*Calculateur!V153*Calculateur!X153*VLOOKUP('Données projet'!$B$9,Paramètres!$A$1:$I$89,3,0)*0.475*44/12</f>
        <v>0.86967044856349152</v>
      </c>
      <c r="AB153" s="21">
        <f>EXP(-LN(2)/2)*AB152+(1-EXP(-LN(2)/2))/(LN(2)/2)*V153*Y153*VLOOKUP('Données projet'!$B$9,Paramètres!$A$1:$I$89,3,0)*0.475*44/12</f>
        <v>2.456120409122825E-17</v>
      </c>
      <c r="AC153" s="22">
        <f t="shared" si="111"/>
        <v>1.2408859361386235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-1.1368683772161603E-13</v>
      </c>
      <c r="AJ153" s="13">
        <f>AI153*VLOOKUP('Données projet'!$B$10,Paramètres!$A$1:$I$89,3,0)*VLOOKUP('Données projet'!$B$10,Paramètres!$A$1:$I$89,5,0)</f>
        <v>-1.1527845344971866E-13</v>
      </c>
      <c r="AK153" s="13" t="e">
        <f t="shared" si="143"/>
        <v>#NUM!</v>
      </c>
      <c r="AL153" s="20" t="e">
        <f t="shared" si="112"/>
        <v>#NUM!</v>
      </c>
      <c r="AM153" s="59" t="e">
        <f t="shared" si="113"/>
        <v>#NUM!</v>
      </c>
      <c r="AN153" s="59">
        <f ca="1">AVERAGE(OFFSET($AM$3,0,0,'Données projet'!$E$10+1,1))-AVERAGE(OFFSET($H$3,0,0,'Données projet'!$E$10+1,1))</f>
        <v>279.20364724206644</v>
      </c>
      <c r="AO153" s="59">
        <f t="shared" si="144"/>
        <v>173.99850582760712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0</v>
      </c>
      <c r="AV153" s="21">
        <f>EXP(-LN(2)/25)*AV152+(1-EXP(-LN(2)/25))/(LN(2)/25)*Calculateur!AQ153*Calculateur!AS153*VLOOKUP('Données projet'!$B$10,Paramètres!$A$1:$I$89,3,0)*0.475*44/12</f>
        <v>0.12494940437231029</v>
      </c>
      <c r="AW153" s="21">
        <f>EXP(-LN(2)/2)*AW152+(1-EXP(-LN(2)/2))/(LN(2)/2)*AQ153*AT153*VLOOKUP('Données projet'!$B$10,Paramètres!$A$1:$I$89,3,0)*0.475*44/12</f>
        <v>6.0163142807253338E-18</v>
      </c>
      <c r="AX153" s="21">
        <f t="shared" si="114"/>
        <v>0.12494940437231029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-1.1368683772161603E-13</v>
      </c>
      <c r="BE153" s="13">
        <f>BD153*VLOOKUP('Données projet'!$B$11,Paramètres!$A$1:$I$89,3,0)*VLOOKUP('Données projet'!$B$11,Paramètres!$A$1:$I$89,5,0)</f>
        <v>-5.3205440053716299E-14</v>
      </c>
      <c r="BF153" s="13" t="e">
        <f t="shared" si="145"/>
        <v>#NUM!</v>
      </c>
      <c r="BG153" s="20" t="e">
        <f t="shared" si="115"/>
        <v>#NUM!</v>
      </c>
      <c r="BH153" s="59" t="e">
        <f t="shared" si="116"/>
        <v>#NUM!</v>
      </c>
      <c r="BI153" s="59">
        <f ca="1">AVERAGE(OFFSET($BH$3,0,0,'Données projet'!$E$11+1,1))-AVERAGE(OFFSET($H$3,0,0,'Données projet'!$E$11+1,1))</f>
        <v>215.23235148064941</v>
      </c>
      <c r="BJ153" s="59">
        <f t="shared" si="146"/>
        <v>184.07239726900434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0.29112314744620216</v>
      </c>
      <c r="BQ153" s="21">
        <f>EXP(-LN(2)/25)*BQ152+(1-EXP(-LN(2)/25))/(LN(2)/25)*Calculateur!BL153*Calculateur!BN153*VLOOKUP('Données projet'!$B$11,Paramètres!$A$1:$I$89,3,0)*0.475*44/12</f>
        <v>0.28198621816155833</v>
      </c>
      <c r="BR153" s="21">
        <f>EXP(-LN(2)/2)*BR152+(1-EXP(-LN(2)/2))/(LN(2)/2)*BL153*BO153*VLOOKUP('Données projet'!$B$11,Paramètres!$A$1:$I$89,3,0)*0.475*44/12</f>
        <v>8.5280536801582359E-18</v>
      </c>
      <c r="BS153" s="22">
        <f t="shared" si="117"/>
        <v>0.57310936560776049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 t="e">
        <f>BY153*VLOOKUP('Données projet'!$B$12,Paramètres!$A$1:$I$89,3,0)*VLOOKUP('Données projet'!$B$12,Paramètres!$A$1:$I$89,5,0)</f>
        <v>#N/A</v>
      </c>
      <c r="CA153" s="13" t="e">
        <f t="shared" si="147"/>
        <v>#N/A</v>
      </c>
      <c r="CB153" s="20" t="e">
        <f t="shared" si="118"/>
        <v>#N/A</v>
      </c>
      <c r="CC153" s="59" t="e">
        <f t="shared" si="119"/>
        <v>#N/A</v>
      </c>
      <c r="CD153" s="59" t="e">
        <f ca="1">AVERAGE(OFFSET($CC$3,0,0,'Données projet'!$E$12+1,1))-AVERAGE(OFFSET($H$3,0,0,'Données projet'!$E$12+1,1))</f>
        <v>#N/A</v>
      </c>
      <c r="CE153" s="59" t="e">
        <f t="shared" si="148"/>
        <v>#N/A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 t="e">
        <f>EXP(-LN(2)/35)*CK152+(1-EXP(-LN(2)/35))/(LN(2)/35)*CG153*CH153*VLOOKUP('Données projet'!$B$12,Paramètres!$A$1:$I$89,3,0)*0.475*44/12</f>
        <v>#N/A</v>
      </c>
      <c r="CL153" s="21" t="e">
        <f>EXP(-LN(2)/25)*CL152+(1-EXP(-LN(2)/25))/(LN(2)/25)*Calculateur!CG153*Calculateur!CI153*VLOOKUP('Données projet'!$B$12,Paramètres!$A$1:$I$89,3,0)*0.475*44/12</f>
        <v>#N/A</v>
      </c>
      <c r="CM153" s="21" t="e">
        <f>EXP(-LN(2)/2)*CM152+(1-EXP(-LN(2)/2))/(LN(2)/2)*CG153*CJ153*VLOOKUP('Données projet'!$B$12,Paramètres!$A$1:$I$89,3,0)*0.475*44/12</f>
        <v>#N/A</v>
      </c>
      <c r="CN153" s="22" t="e">
        <f t="shared" si="120"/>
        <v>#N/A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25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134.26920000000015</v>
      </c>
      <c r="D154" s="11">
        <f t="shared" si="140"/>
        <v>34.980983294811438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10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1306.492642977493</v>
      </c>
      <c r="H154" s="67">
        <f t="shared" si="110"/>
        <v>588.11073590513013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-3.4106051316484809E-13</v>
      </c>
      <c r="O154" s="13">
        <f>N154*VLOOKUP('Données projet'!$B$9,Paramètres!$A$1:$I$89,3,0)*VLOOKUP('Données projet'!$B$9,Paramètres!$A$1:$I$89,5,0)</f>
        <v>-1.9065282685915009E-13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279.98352834501759</v>
      </c>
      <c r="T154" s="59">
        <f t="shared" si="142"/>
        <v>281.30062655265488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0.36393617828287395</v>
      </c>
      <c r="AA154" s="21">
        <f>EXP(-LN(2)/25)*AA153+(1-EXP(-LN(2)/25))/(LN(2)/25)*Calculateur!V154*Calculateur!X154*VLOOKUP('Données projet'!$B$9,Paramètres!$A$1:$I$89,3,0)*0.475*44/12</f>
        <v>0.84588926441354162</v>
      </c>
      <c r="AB154" s="21">
        <f>EXP(-LN(2)/2)*AB153+(1-EXP(-LN(2)/2))/(LN(2)/2)*V154*Y154*VLOOKUP('Données projet'!$B$9,Paramètres!$A$1:$I$89,3,0)*0.475*44/12</f>
        <v>1.736739396701427E-17</v>
      </c>
      <c r="AC154" s="22">
        <f t="shared" ref="AC154:AC203" si="163">SUM(Z154:AB154)</f>
        <v>1.2098254426964155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-1.1368683772161603E-13</v>
      </c>
      <c r="AJ154" s="13">
        <f>AI154*VLOOKUP('Données projet'!$B$10,Paramètres!$A$1:$I$89,3,0)*VLOOKUP('Données projet'!$B$10,Paramètres!$A$1:$I$89,5,0)</f>
        <v>-1.1527845344971866E-13</v>
      </c>
      <c r="AK154" s="13" t="e">
        <f t="shared" ref="AK154:AK203" si="164">EXP(-1.0587+0.8836*LN(AJ154)+0.284)</f>
        <v>#NUM!</v>
      </c>
      <c r="AL154" s="20" t="e">
        <f t="shared" ref="AL154:AL203" si="165">(AJ154+AK154)*0.475*44/12</f>
        <v>#NUM!</v>
      </c>
      <c r="AM154" s="59" t="e">
        <f t="shared" si="113"/>
        <v>#NUM!</v>
      </c>
      <c r="AN154" s="59">
        <f ca="1">AVERAGE(OFFSET($AM$3,0,0,'Données projet'!$E$10+1,1))-AVERAGE(OFFSET($H$3,0,0,'Données projet'!$E$10+1,1))</f>
        <v>279.20364724206644</v>
      </c>
      <c r="AO154" s="59">
        <f t="shared" si="144"/>
        <v>173.99850582760712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0</v>
      </c>
      <c r="AV154" s="21">
        <f>EXP(-LN(2)/25)*AV153+(1-EXP(-LN(2)/25))/(LN(2)/25)*Calculateur!AQ154*Calculateur!AS154*VLOOKUP('Données projet'!$B$10,Paramètres!$A$1:$I$89,3,0)*0.475*44/12</f>
        <v>0.12153265633894587</v>
      </c>
      <c r="AW154" s="21">
        <f>EXP(-LN(2)/2)*AW153+(1-EXP(-LN(2)/2))/(LN(2)/2)*AQ154*AT154*VLOOKUP('Données projet'!$B$10,Paramètres!$A$1:$I$89,3,0)*0.475*44/12</f>
        <v>4.2541766256503497E-18</v>
      </c>
      <c r="AX154" s="21">
        <f t="shared" ref="AX154:AX203" si="166">SUM(AU154:AW154)</f>
        <v>0.12153265633894587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-1.1368683772161603E-13</v>
      </c>
      <c r="BE154" s="13">
        <f>BD154*VLOOKUP('Données projet'!$B$11,Paramètres!$A$1:$I$89,3,0)*VLOOKUP('Données projet'!$B$11,Paramètres!$A$1:$I$89,5,0)</f>
        <v>-5.3205440053716299E-14</v>
      </c>
      <c r="BF154" s="13" t="e">
        <f t="shared" ref="BF154:BF203" si="167">EXP(-1.0587+0.8836*LN(BE154)+0.284)</f>
        <v>#NUM!</v>
      </c>
      <c r="BG154" s="20" t="e">
        <f t="shared" ref="BG154:BG203" si="168">(BE154+BF154)*0.475*44/12</f>
        <v>#NUM!</v>
      </c>
      <c r="BH154" s="59" t="e">
        <f t="shared" si="116"/>
        <v>#NUM!</v>
      </c>
      <c r="BI154" s="59">
        <f ca="1">AVERAGE(OFFSET($BH$3,0,0,'Données projet'!$E$11+1,1))-AVERAGE(OFFSET($H$3,0,0,'Données projet'!$E$11+1,1))</f>
        <v>215.23235148064941</v>
      </c>
      <c r="BJ154" s="59">
        <f t="shared" si="146"/>
        <v>184.07239726900434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0.28541440009236874</v>
      </c>
      <c r="BQ154" s="21">
        <f>EXP(-LN(2)/25)*BQ153+(1-EXP(-LN(2)/25))/(LN(2)/25)*Calculateur!BL154*Calculateur!BN154*VLOOKUP('Données projet'!$B$11,Paramètres!$A$1:$I$89,3,0)*0.475*44/12</f>
        <v>0.27427529019691982</v>
      </c>
      <c r="BR154" s="21">
        <f>EXP(-LN(2)/2)*BR153+(1-EXP(-LN(2)/2))/(LN(2)/2)*BL154*BO154*VLOOKUP('Données projet'!$B$11,Paramètres!$A$1:$I$89,3,0)*0.475*44/12</f>
        <v>6.0302445875627812E-18</v>
      </c>
      <c r="BS154" s="22">
        <f t="shared" ref="BS154:BS203" si="169">SUM(BP154:BR154)</f>
        <v>0.5596896902892885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 t="e">
        <f>BY154*VLOOKUP('Données projet'!$B$12,Paramètres!$A$1:$I$89,3,0)*VLOOKUP('Données projet'!$B$12,Paramètres!$A$1:$I$89,5,0)</f>
        <v>#N/A</v>
      </c>
      <c r="CA154" s="13" t="e">
        <f t="shared" ref="CA154:CA203" si="170">EXP(-1.0587+0.8836*LN(BZ154)+0.284)</f>
        <v>#N/A</v>
      </c>
      <c r="CB154" s="20" t="e">
        <f t="shared" ref="CB154:CB203" si="171">(BZ154+CA154)*0.475*44/12</f>
        <v>#N/A</v>
      </c>
      <c r="CC154" s="59" t="e">
        <f t="shared" si="119"/>
        <v>#N/A</v>
      </c>
      <c r="CD154" s="59" t="e">
        <f ca="1">AVERAGE(OFFSET($CC$3,0,0,'Données projet'!$E$12+1,1))-AVERAGE(OFFSET($H$3,0,0,'Données projet'!$E$12+1,1))</f>
        <v>#N/A</v>
      </c>
      <c r="CE154" s="59" t="e">
        <f t="shared" si="148"/>
        <v>#N/A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 t="e">
        <f>EXP(-LN(2)/35)*CK153+(1-EXP(-LN(2)/35))/(LN(2)/35)*CG154*CH154*VLOOKUP('Données projet'!$B$12,Paramètres!$A$1:$I$89,3,0)*0.475*44/12</f>
        <v>#N/A</v>
      </c>
      <c r="CL154" s="21" t="e">
        <f>EXP(-LN(2)/25)*CL153+(1-EXP(-LN(2)/25))/(LN(2)/25)*Calculateur!CG154*Calculateur!CI154*VLOOKUP('Données projet'!$B$12,Paramètres!$A$1:$I$89,3,0)*0.475*44/12</f>
        <v>#N/A</v>
      </c>
      <c r="CM154" s="21" t="e">
        <f>EXP(-LN(2)/2)*CM153+(1-EXP(-LN(2)/2))/(LN(2)/2)*CG154*CJ154*VLOOKUP('Données projet'!$B$12,Paramètres!$A$1:$I$89,3,0)*0.475*44/12</f>
        <v>#N/A</v>
      </c>
      <c r="CN154" s="22" t="e">
        <f t="shared" ref="CN154:CN203" si="172">SUM(CK154:CM154)</f>
        <v>#N/A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25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135.15840000000014</v>
      </c>
      <c r="D155" s="11">
        <f t="shared" si="140"/>
        <v>35.185601260048031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10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1314.9361500775651</v>
      </c>
      <c r="H155" s="67">
        <f t="shared" si="110"/>
        <v>590.0158021945839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-3.4106051316484809E-13</v>
      </c>
      <c r="O155" s="13">
        <f>N155*VLOOKUP('Données projet'!$B$9,Paramètres!$A$1:$I$89,3,0)*VLOOKUP('Données projet'!$B$9,Paramètres!$A$1:$I$89,5,0)</f>
        <v>-1.9065282685915009E-13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279.98352834501759</v>
      </c>
      <c r="T155" s="59">
        <f t="shared" si="142"/>
        <v>281.30062655265488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0.35679961180589692</v>
      </c>
      <c r="AA155" s="21">
        <f>EXP(-LN(2)/25)*AA154+(1-EXP(-LN(2)/25))/(LN(2)/25)*Calculateur!V155*Calculateur!X155*VLOOKUP('Données projet'!$B$9,Paramètres!$A$1:$I$89,3,0)*0.475*44/12</f>
        <v>0.82275837799477025</v>
      </c>
      <c r="AB155" s="21">
        <f>EXP(-LN(2)/2)*AB154+(1-EXP(-LN(2)/2))/(LN(2)/2)*V155*Y155*VLOOKUP('Données projet'!$B$9,Paramètres!$A$1:$I$89,3,0)*0.475*44/12</f>
        <v>1.2280602045614125E-17</v>
      </c>
      <c r="AC155" s="22">
        <f t="shared" si="163"/>
        <v>1.1795579898006672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-1.1368683772161603E-13</v>
      </c>
      <c r="AJ155" s="13">
        <f>AI155*VLOOKUP('Données projet'!$B$10,Paramètres!$A$1:$I$89,3,0)*VLOOKUP('Données projet'!$B$10,Paramètres!$A$1:$I$89,5,0)</f>
        <v>-1.1527845344971866E-13</v>
      </c>
      <c r="AK155" s="13" t="e">
        <f t="shared" si="164"/>
        <v>#NUM!</v>
      </c>
      <c r="AL155" s="20" t="e">
        <f t="shared" si="165"/>
        <v>#NUM!</v>
      </c>
      <c r="AM155" s="59" t="e">
        <f t="shared" si="113"/>
        <v>#NUM!</v>
      </c>
      <c r="AN155" s="59">
        <f ca="1">AVERAGE(OFFSET($AM$3,0,0,'Données projet'!$E$10+1,1))-AVERAGE(OFFSET($H$3,0,0,'Données projet'!$E$10+1,1))</f>
        <v>279.20364724206644</v>
      </c>
      <c r="AO155" s="59">
        <f t="shared" si="144"/>
        <v>173.99850582760712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0</v>
      </c>
      <c r="AV155" s="21">
        <f>EXP(-LN(2)/25)*AV154+(1-EXP(-LN(2)/25))/(LN(2)/25)*Calculateur!AQ155*Calculateur!AS155*VLOOKUP('Données projet'!$B$10,Paramètres!$A$1:$I$89,3,0)*0.475*44/12</f>
        <v>0.11820933946023277</v>
      </c>
      <c r="AW155" s="21">
        <f>EXP(-LN(2)/2)*AW154+(1-EXP(-LN(2)/2))/(LN(2)/2)*AQ155*AT155*VLOOKUP('Données projet'!$B$10,Paramètres!$A$1:$I$89,3,0)*0.475*44/12</f>
        <v>3.0081571403626669E-18</v>
      </c>
      <c r="AX155" s="21">
        <f t="shared" si="166"/>
        <v>0.11820933946023277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-1.1368683772161603E-13</v>
      </c>
      <c r="BE155" s="13">
        <f>BD155*VLOOKUP('Données projet'!$B$11,Paramètres!$A$1:$I$89,3,0)*VLOOKUP('Données projet'!$B$11,Paramètres!$A$1:$I$89,5,0)</f>
        <v>-5.3205440053716299E-14</v>
      </c>
      <c r="BF155" s="13" t="e">
        <f t="shared" si="167"/>
        <v>#NUM!</v>
      </c>
      <c r="BG155" s="20" t="e">
        <f t="shared" si="168"/>
        <v>#NUM!</v>
      </c>
      <c r="BH155" s="59" t="e">
        <f t="shared" si="116"/>
        <v>#NUM!</v>
      </c>
      <c r="BI155" s="59">
        <f ca="1">AVERAGE(OFFSET($BH$3,0,0,'Données projet'!$E$11+1,1))-AVERAGE(OFFSET($H$3,0,0,'Données projet'!$E$11+1,1))</f>
        <v>215.23235148064941</v>
      </c>
      <c r="BJ155" s="59">
        <f t="shared" si="146"/>
        <v>184.07239726900434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0.27981759779215193</v>
      </c>
      <c r="BQ155" s="21">
        <f>EXP(-LN(2)/25)*BQ154+(1-EXP(-LN(2)/25))/(LN(2)/25)*Calculateur!BL155*Calculateur!BN155*VLOOKUP('Données projet'!$B$11,Paramètres!$A$1:$I$89,3,0)*0.475*44/12</f>
        <v>0.26677521796297438</v>
      </c>
      <c r="BR155" s="21">
        <f>EXP(-LN(2)/2)*BR154+(1-EXP(-LN(2)/2))/(LN(2)/2)*BL155*BO155*VLOOKUP('Données projet'!$B$11,Paramètres!$A$1:$I$89,3,0)*0.475*44/12</f>
        <v>4.264026840079118E-18</v>
      </c>
      <c r="BS155" s="22">
        <f t="shared" si="169"/>
        <v>0.5465928157551263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 t="e">
        <f>BY155*VLOOKUP('Données projet'!$B$12,Paramètres!$A$1:$I$89,3,0)*VLOOKUP('Données projet'!$B$12,Paramètres!$A$1:$I$89,5,0)</f>
        <v>#N/A</v>
      </c>
      <c r="CA155" s="13" t="e">
        <f t="shared" si="170"/>
        <v>#N/A</v>
      </c>
      <c r="CB155" s="20" t="e">
        <f t="shared" si="171"/>
        <v>#N/A</v>
      </c>
      <c r="CC155" s="59" t="e">
        <f t="shared" si="119"/>
        <v>#N/A</v>
      </c>
      <c r="CD155" s="59" t="e">
        <f ca="1">AVERAGE(OFFSET($CC$3,0,0,'Données projet'!$E$12+1,1))-AVERAGE(OFFSET($H$3,0,0,'Données projet'!$E$12+1,1))</f>
        <v>#N/A</v>
      </c>
      <c r="CE155" s="59" t="e">
        <f t="shared" si="148"/>
        <v>#N/A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 t="e">
        <f>EXP(-LN(2)/35)*CK154+(1-EXP(-LN(2)/35))/(LN(2)/35)*CG155*CH155*VLOOKUP('Données projet'!$B$12,Paramètres!$A$1:$I$89,3,0)*0.475*44/12</f>
        <v>#N/A</v>
      </c>
      <c r="CL155" s="21" t="e">
        <f>EXP(-LN(2)/25)*CL154+(1-EXP(-LN(2)/25))/(LN(2)/25)*Calculateur!CG155*Calculateur!CI155*VLOOKUP('Données projet'!$B$12,Paramètres!$A$1:$I$89,3,0)*0.475*44/12</f>
        <v>#N/A</v>
      </c>
      <c r="CM155" s="21" t="e">
        <f>EXP(-LN(2)/2)*CM154+(1-EXP(-LN(2)/2))/(LN(2)/2)*CG155*CJ155*VLOOKUP('Données projet'!$B$12,Paramètres!$A$1:$I$89,3,0)*0.475*44/12</f>
        <v>#N/A</v>
      </c>
      <c r="CN155" s="22" t="e">
        <f t="shared" si="172"/>
        <v>#N/A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25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136.04760000000013</v>
      </c>
      <c r="D156" s="11">
        <f t="shared" si="140"/>
        <v>35.390062589787611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10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1323.3784480615195</v>
      </c>
      <c r="H156" s="67">
        <f t="shared" si="110"/>
        <v>591.92059567721367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-3.4106051316484809E-13</v>
      </c>
      <c r="O156" s="13">
        <f>N156*VLOOKUP('Données projet'!$B$9,Paramètres!$A$1:$I$89,3,0)*VLOOKUP('Données projet'!$B$9,Paramètres!$A$1:$I$89,5,0)</f>
        <v>-1.9065282685915009E-13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279.98352834501759</v>
      </c>
      <c r="T156" s="59">
        <f t="shared" si="142"/>
        <v>281.30062655265488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0.34980298904465768</v>
      </c>
      <c r="AA156" s="21">
        <f>EXP(-LN(2)/25)*AA155+(1-EXP(-LN(2)/25))/(LN(2)/25)*Calculateur!V156*Calculateur!X156*VLOOKUP('Données projet'!$B$9,Paramètres!$A$1:$I$89,3,0)*0.475*44/12</f>
        <v>0.80026000688152055</v>
      </c>
      <c r="AB156" s="21">
        <f>EXP(-LN(2)/2)*AB155+(1-EXP(-LN(2)/2))/(LN(2)/2)*V156*Y156*VLOOKUP('Données projet'!$B$9,Paramètres!$A$1:$I$89,3,0)*0.475*44/12</f>
        <v>8.683696983507135E-18</v>
      </c>
      <c r="AC156" s="22">
        <f t="shared" si="163"/>
        <v>1.1500629959261781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-1.1368683772161603E-13</v>
      </c>
      <c r="AJ156" s="13">
        <f>AI156*VLOOKUP('Données projet'!$B$10,Paramètres!$A$1:$I$89,3,0)*VLOOKUP('Données projet'!$B$10,Paramètres!$A$1:$I$89,5,0)</f>
        <v>-1.1527845344971866E-13</v>
      </c>
      <c r="AK156" s="13" t="e">
        <f t="shared" si="164"/>
        <v>#NUM!</v>
      </c>
      <c r="AL156" s="20" t="e">
        <f t="shared" si="165"/>
        <v>#NUM!</v>
      </c>
      <c r="AM156" s="59" t="e">
        <f t="shared" si="113"/>
        <v>#NUM!</v>
      </c>
      <c r="AN156" s="59">
        <f ca="1">AVERAGE(OFFSET($AM$3,0,0,'Données projet'!$E$10+1,1))-AVERAGE(OFFSET($H$3,0,0,'Données projet'!$E$10+1,1))</f>
        <v>279.20364724206644</v>
      </c>
      <c r="AO156" s="59">
        <f t="shared" si="144"/>
        <v>173.99850582760712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0</v>
      </c>
      <c r="AV156" s="21">
        <f>EXP(-LN(2)/25)*AV155+(1-EXP(-LN(2)/25))/(LN(2)/25)*Calculateur!AQ156*Calculateur!AS156*VLOOKUP('Données projet'!$B$10,Paramètres!$A$1:$I$89,3,0)*0.475*44/12</f>
        <v>0.11497689885633371</v>
      </c>
      <c r="AW156" s="21">
        <f>EXP(-LN(2)/2)*AW155+(1-EXP(-LN(2)/2))/(LN(2)/2)*AQ156*AT156*VLOOKUP('Données projet'!$B$10,Paramètres!$A$1:$I$89,3,0)*0.475*44/12</f>
        <v>2.1270883128251748E-18</v>
      </c>
      <c r="AX156" s="21">
        <f t="shared" si="166"/>
        <v>0.11497689885633371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-1.1368683772161603E-13</v>
      </c>
      <c r="BE156" s="13">
        <f>BD156*VLOOKUP('Données projet'!$B$11,Paramètres!$A$1:$I$89,3,0)*VLOOKUP('Données projet'!$B$11,Paramètres!$A$1:$I$89,5,0)</f>
        <v>-5.3205440053716299E-14</v>
      </c>
      <c r="BF156" s="13" t="e">
        <f t="shared" si="167"/>
        <v>#NUM!</v>
      </c>
      <c r="BG156" s="20" t="e">
        <f t="shared" si="168"/>
        <v>#NUM!</v>
      </c>
      <c r="BH156" s="59" t="e">
        <f t="shared" si="116"/>
        <v>#NUM!</v>
      </c>
      <c r="BI156" s="59">
        <f ca="1">AVERAGE(OFFSET($BH$3,0,0,'Données projet'!$E$11+1,1))-AVERAGE(OFFSET($H$3,0,0,'Données projet'!$E$11+1,1))</f>
        <v>215.23235148064941</v>
      </c>
      <c r="BJ156" s="59">
        <f t="shared" si="146"/>
        <v>184.07239726900434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0.27433054537133006</v>
      </c>
      <c r="BQ156" s="21">
        <f>EXP(-LN(2)/25)*BQ155+(1-EXP(-LN(2)/25))/(LN(2)/25)*Calculateur!BL156*Calculateur!BN156*VLOOKUP('Données projet'!$B$11,Paramètres!$A$1:$I$89,3,0)*0.475*44/12</f>
        <v>0.25948023559867783</v>
      </c>
      <c r="BR156" s="21">
        <f>EXP(-LN(2)/2)*BR155+(1-EXP(-LN(2)/2))/(LN(2)/2)*BL156*BO156*VLOOKUP('Données projet'!$B$11,Paramètres!$A$1:$I$89,3,0)*0.475*44/12</f>
        <v>3.0151222937813906E-18</v>
      </c>
      <c r="BS156" s="22">
        <f t="shared" si="169"/>
        <v>0.53381078097000789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 t="e">
        <f>BY156*VLOOKUP('Données projet'!$B$12,Paramètres!$A$1:$I$89,3,0)*VLOOKUP('Données projet'!$B$12,Paramètres!$A$1:$I$89,5,0)</f>
        <v>#N/A</v>
      </c>
      <c r="CA156" s="13" t="e">
        <f t="shared" si="170"/>
        <v>#N/A</v>
      </c>
      <c r="CB156" s="20" t="e">
        <f t="shared" si="171"/>
        <v>#N/A</v>
      </c>
      <c r="CC156" s="59" t="e">
        <f t="shared" si="119"/>
        <v>#N/A</v>
      </c>
      <c r="CD156" s="59" t="e">
        <f ca="1">AVERAGE(OFFSET($CC$3,0,0,'Données projet'!$E$12+1,1))-AVERAGE(OFFSET($H$3,0,0,'Données projet'!$E$12+1,1))</f>
        <v>#N/A</v>
      </c>
      <c r="CE156" s="59" t="e">
        <f t="shared" si="148"/>
        <v>#N/A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 t="e">
        <f>EXP(-LN(2)/35)*CK155+(1-EXP(-LN(2)/35))/(LN(2)/35)*CG156*CH156*VLOOKUP('Données projet'!$B$12,Paramètres!$A$1:$I$89,3,0)*0.475*44/12</f>
        <v>#N/A</v>
      </c>
      <c r="CL156" s="21" t="e">
        <f>EXP(-LN(2)/25)*CL155+(1-EXP(-LN(2)/25))/(LN(2)/25)*Calculateur!CG156*Calculateur!CI156*VLOOKUP('Données projet'!$B$12,Paramètres!$A$1:$I$89,3,0)*0.475*44/12</f>
        <v>#N/A</v>
      </c>
      <c r="CM156" s="21" t="e">
        <f>EXP(-LN(2)/2)*CM155+(1-EXP(-LN(2)/2))/(LN(2)/2)*CG156*CJ156*VLOOKUP('Données projet'!$B$12,Paramètres!$A$1:$I$89,3,0)*0.475*44/12</f>
        <v>#N/A</v>
      </c>
      <c r="CN156" s="22" t="e">
        <f t="shared" si="172"/>
        <v>#N/A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25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136.93680000000012</v>
      </c>
      <c r="D157" s="11">
        <f t="shared" si="140"/>
        <v>35.594368426539035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10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1331.8195457487234</v>
      </c>
      <c r="H157" s="67">
        <f t="shared" si="110"/>
        <v>593.82511834288903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-3.4106051316484809E-13</v>
      </c>
      <c r="O157" s="13">
        <f>N157*VLOOKUP('Données projet'!$B$9,Paramètres!$A$1:$I$89,3,0)*VLOOKUP('Données projet'!$B$9,Paramètres!$A$1:$I$89,5,0)</f>
        <v>-1.9065282685915009E-13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279.98352834501759</v>
      </c>
      <c r="T157" s="59">
        <f t="shared" si="142"/>
        <v>281.30062655265488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0.34294356578824781</v>
      </c>
      <c r="AA157" s="21">
        <f>EXP(-LN(2)/25)*AA156+(1-EXP(-LN(2)/25))/(LN(2)/25)*Calculateur!V157*Calculateur!X157*VLOOKUP('Données projet'!$B$9,Paramètres!$A$1:$I$89,3,0)*0.475*44/12</f>
        <v>0.77837685490950059</v>
      </c>
      <c r="AB157" s="21">
        <f>EXP(-LN(2)/2)*AB156+(1-EXP(-LN(2)/2))/(LN(2)/2)*V157*Y157*VLOOKUP('Données projet'!$B$9,Paramètres!$A$1:$I$89,3,0)*0.475*44/12</f>
        <v>6.1403010228070626E-18</v>
      </c>
      <c r="AC157" s="22">
        <f t="shared" si="163"/>
        <v>1.1213204206977485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-1.1368683772161603E-13</v>
      </c>
      <c r="AJ157" s="13">
        <f>AI157*VLOOKUP('Données projet'!$B$10,Paramètres!$A$1:$I$89,3,0)*VLOOKUP('Données projet'!$B$10,Paramètres!$A$1:$I$89,5,0)</f>
        <v>-1.1527845344971866E-13</v>
      </c>
      <c r="AK157" s="13" t="e">
        <f t="shared" si="164"/>
        <v>#NUM!</v>
      </c>
      <c r="AL157" s="20" t="e">
        <f t="shared" si="165"/>
        <v>#NUM!</v>
      </c>
      <c r="AM157" s="59" t="e">
        <f t="shared" si="113"/>
        <v>#NUM!</v>
      </c>
      <c r="AN157" s="59">
        <f ca="1">AVERAGE(OFFSET($AM$3,0,0,'Données projet'!$E$10+1,1))-AVERAGE(OFFSET($H$3,0,0,'Données projet'!$E$10+1,1))</f>
        <v>279.20364724206644</v>
      </c>
      <c r="AO157" s="59">
        <f t="shared" si="144"/>
        <v>173.99850582760712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0</v>
      </c>
      <c r="AV157" s="21">
        <f>EXP(-LN(2)/25)*AV156+(1-EXP(-LN(2)/25))/(LN(2)/25)*Calculateur!AQ157*Calculateur!AS157*VLOOKUP('Données projet'!$B$10,Paramètres!$A$1:$I$89,3,0)*0.475*44/12</f>
        <v>0.11183284951073494</v>
      </c>
      <c r="AW157" s="21">
        <f>EXP(-LN(2)/2)*AW156+(1-EXP(-LN(2)/2))/(LN(2)/2)*AQ157*AT157*VLOOKUP('Données projet'!$B$10,Paramètres!$A$1:$I$89,3,0)*0.475*44/12</f>
        <v>1.5040785701813335E-18</v>
      </c>
      <c r="AX157" s="21">
        <f t="shared" si="166"/>
        <v>0.11183284951073494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-1.1368683772161603E-13</v>
      </c>
      <c r="BE157" s="13">
        <f>BD157*VLOOKUP('Données projet'!$B$11,Paramètres!$A$1:$I$89,3,0)*VLOOKUP('Données projet'!$B$11,Paramètres!$A$1:$I$89,5,0)</f>
        <v>-5.3205440053716299E-14</v>
      </c>
      <c r="BF157" s="13" t="e">
        <f t="shared" si="167"/>
        <v>#NUM!</v>
      </c>
      <c r="BG157" s="20" t="e">
        <f t="shared" si="168"/>
        <v>#NUM!</v>
      </c>
      <c r="BH157" s="59" t="e">
        <f t="shared" si="116"/>
        <v>#NUM!</v>
      </c>
      <c r="BI157" s="59">
        <f ca="1">AVERAGE(OFFSET($BH$3,0,0,'Données projet'!$E$11+1,1))-AVERAGE(OFFSET($H$3,0,0,'Données projet'!$E$11+1,1))</f>
        <v>215.23235148064941</v>
      </c>
      <c r="BJ157" s="59">
        <f t="shared" si="146"/>
        <v>184.07239726900434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0.26895109070170897</v>
      </c>
      <c r="BQ157" s="21">
        <f>EXP(-LN(2)/25)*BQ156+(1-EXP(-LN(2)/25))/(LN(2)/25)*Calculateur!BL157*Calculateur!BN157*VLOOKUP('Données projet'!$B$11,Paramètres!$A$1:$I$89,3,0)*0.475*44/12</f>
        <v>0.25238473491075947</v>
      </c>
      <c r="BR157" s="21">
        <f>EXP(-LN(2)/2)*BR156+(1-EXP(-LN(2)/2))/(LN(2)/2)*BL157*BO157*VLOOKUP('Données projet'!$B$11,Paramètres!$A$1:$I$89,3,0)*0.475*44/12</f>
        <v>2.132013420039559E-18</v>
      </c>
      <c r="BS157" s="22">
        <f t="shared" si="169"/>
        <v>0.5213358256124685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 t="e">
        <f>BY157*VLOOKUP('Données projet'!$B$12,Paramètres!$A$1:$I$89,3,0)*VLOOKUP('Données projet'!$B$12,Paramètres!$A$1:$I$89,5,0)</f>
        <v>#N/A</v>
      </c>
      <c r="CA157" s="13" t="e">
        <f t="shared" si="170"/>
        <v>#N/A</v>
      </c>
      <c r="CB157" s="20" t="e">
        <f t="shared" si="171"/>
        <v>#N/A</v>
      </c>
      <c r="CC157" s="59" t="e">
        <f t="shared" si="119"/>
        <v>#N/A</v>
      </c>
      <c r="CD157" s="59" t="e">
        <f ca="1">AVERAGE(OFFSET($CC$3,0,0,'Données projet'!$E$12+1,1))-AVERAGE(OFFSET($H$3,0,0,'Données projet'!$E$12+1,1))</f>
        <v>#N/A</v>
      </c>
      <c r="CE157" s="59" t="e">
        <f t="shared" si="148"/>
        <v>#N/A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 t="e">
        <f>EXP(-LN(2)/35)*CK156+(1-EXP(-LN(2)/35))/(LN(2)/35)*CG157*CH157*VLOOKUP('Données projet'!$B$12,Paramètres!$A$1:$I$89,3,0)*0.475*44/12</f>
        <v>#N/A</v>
      </c>
      <c r="CL157" s="21" t="e">
        <f>EXP(-LN(2)/25)*CL156+(1-EXP(-LN(2)/25))/(LN(2)/25)*Calculateur!CG157*Calculateur!CI157*VLOOKUP('Données projet'!$B$12,Paramètres!$A$1:$I$89,3,0)*0.475*44/12</f>
        <v>#N/A</v>
      </c>
      <c r="CM157" s="21" t="e">
        <f>EXP(-LN(2)/2)*CM156+(1-EXP(-LN(2)/2))/(LN(2)/2)*CG157*CJ157*VLOOKUP('Données projet'!$B$12,Paramètres!$A$1:$I$89,3,0)*0.475*44/12</f>
        <v>#N/A</v>
      </c>
      <c r="CN157" s="22" t="e">
        <f t="shared" si="172"/>
        <v>#N/A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25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137.82600000000011</v>
      </c>
      <c r="D158" s="11">
        <f t="shared" si="140"/>
        <v>35.798519897115533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10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1340.2594518373839</v>
      </c>
      <c r="H158" s="67">
        <f t="shared" si="110"/>
        <v>595.72937215414299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-3.4106051316484809E-13</v>
      </c>
      <c r="O158" s="13">
        <f>N158*VLOOKUP('Données projet'!$B$9,Paramètres!$A$1:$I$89,3,0)*VLOOKUP('Données projet'!$B$9,Paramètres!$A$1:$I$89,5,0)</f>
        <v>-1.9065282685915009E-13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279.98352834501759</v>
      </c>
      <c r="T158" s="59">
        <f t="shared" si="142"/>
        <v>281.30062655265488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0.33621865163806108</v>
      </c>
      <c r="AA158" s="21">
        <f>EXP(-LN(2)/25)*AA157+(1-EXP(-LN(2)/25))/(LN(2)/25)*Calculateur!V158*Calculateur!X158*VLOOKUP('Données projet'!$B$9,Paramètres!$A$1:$I$89,3,0)*0.475*44/12</f>
        <v>0.75709209887894047</v>
      </c>
      <c r="AB158" s="21">
        <f>EXP(-LN(2)/2)*AB157+(1-EXP(-LN(2)/2))/(LN(2)/2)*V158*Y158*VLOOKUP('Données projet'!$B$9,Paramètres!$A$1:$I$89,3,0)*0.475*44/12</f>
        <v>4.3418484917535675E-18</v>
      </c>
      <c r="AC158" s="22">
        <f t="shared" si="163"/>
        <v>1.0933107505170017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-1.1368683772161603E-13</v>
      </c>
      <c r="AJ158" s="13">
        <f>AI158*VLOOKUP('Données projet'!$B$10,Paramètres!$A$1:$I$89,3,0)*VLOOKUP('Données projet'!$B$10,Paramètres!$A$1:$I$89,5,0)</f>
        <v>-1.1527845344971866E-13</v>
      </c>
      <c r="AK158" s="13" t="e">
        <f t="shared" si="164"/>
        <v>#NUM!</v>
      </c>
      <c r="AL158" s="20" t="e">
        <f t="shared" si="165"/>
        <v>#NUM!</v>
      </c>
      <c r="AM158" s="59" t="e">
        <f t="shared" si="113"/>
        <v>#NUM!</v>
      </c>
      <c r="AN158" s="59">
        <f ca="1">AVERAGE(OFFSET($AM$3,0,0,'Données projet'!$E$10+1,1))-AVERAGE(OFFSET($H$3,0,0,'Données projet'!$E$10+1,1))</f>
        <v>279.20364724206644</v>
      </c>
      <c r="AO158" s="59">
        <f t="shared" si="144"/>
        <v>173.99850582760712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0</v>
      </c>
      <c r="AV158" s="21">
        <f>EXP(-LN(2)/25)*AV157+(1-EXP(-LN(2)/25))/(LN(2)/25)*Calculateur!AQ158*Calculateur!AS158*VLOOKUP('Données projet'!$B$10,Paramètres!$A$1:$I$89,3,0)*0.475*44/12</f>
        <v>0.10877477435982993</v>
      </c>
      <c r="AW158" s="21">
        <f>EXP(-LN(2)/2)*AW157+(1-EXP(-LN(2)/2))/(LN(2)/2)*AQ158*AT158*VLOOKUP('Données projet'!$B$10,Paramètres!$A$1:$I$89,3,0)*0.475*44/12</f>
        <v>1.0635441564125874E-18</v>
      </c>
      <c r="AX158" s="21">
        <f t="shared" si="166"/>
        <v>0.10877477435982993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-1.1368683772161603E-13</v>
      </c>
      <c r="BE158" s="13">
        <f>BD158*VLOOKUP('Données projet'!$B$11,Paramètres!$A$1:$I$89,3,0)*VLOOKUP('Données projet'!$B$11,Paramètres!$A$1:$I$89,5,0)</f>
        <v>-5.3205440053716299E-14</v>
      </c>
      <c r="BF158" s="13" t="e">
        <f t="shared" si="167"/>
        <v>#NUM!</v>
      </c>
      <c r="BG158" s="20" t="e">
        <f t="shared" si="168"/>
        <v>#NUM!</v>
      </c>
      <c r="BH158" s="59" t="e">
        <f t="shared" si="116"/>
        <v>#NUM!</v>
      </c>
      <c r="BI158" s="59">
        <f ca="1">AVERAGE(OFFSET($BH$3,0,0,'Données projet'!$E$11+1,1))-AVERAGE(OFFSET($H$3,0,0,'Données projet'!$E$11+1,1))</f>
        <v>215.23235148064941</v>
      </c>
      <c r="BJ158" s="59">
        <f t="shared" si="146"/>
        <v>184.07239726900434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0.2636771238570158</v>
      </c>
      <c r="BQ158" s="21">
        <f>EXP(-LN(2)/25)*BQ157+(1-EXP(-LN(2)/25))/(LN(2)/25)*Calculateur!BL158*Calculateur!BN158*VLOOKUP('Données projet'!$B$11,Paramètres!$A$1:$I$89,3,0)*0.475*44/12</f>
        <v>0.24548326106228838</v>
      </c>
      <c r="BR158" s="21">
        <f>EXP(-LN(2)/2)*BR157+(1-EXP(-LN(2)/2))/(LN(2)/2)*BL158*BO158*VLOOKUP('Données projet'!$B$11,Paramètres!$A$1:$I$89,3,0)*0.475*44/12</f>
        <v>1.5075611468906953E-18</v>
      </c>
      <c r="BS158" s="22">
        <f t="shared" si="169"/>
        <v>0.50916038491930415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 t="e">
        <f>BY158*VLOOKUP('Données projet'!$B$12,Paramètres!$A$1:$I$89,3,0)*VLOOKUP('Données projet'!$B$12,Paramètres!$A$1:$I$89,5,0)</f>
        <v>#N/A</v>
      </c>
      <c r="CA158" s="13" t="e">
        <f t="shared" si="170"/>
        <v>#N/A</v>
      </c>
      <c r="CB158" s="20" t="e">
        <f t="shared" si="171"/>
        <v>#N/A</v>
      </c>
      <c r="CC158" s="59" t="e">
        <f t="shared" si="119"/>
        <v>#N/A</v>
      </c>
      <c r="CD158" s="59" t="e">
        <f ca="1">AVERAGE(OFFSET($CC$3,0,0,'Données projet'!$E$12+1,1))-AVERAGE(OFFSET($H$3,0,0,'Données projet'!$E$12+1,1))</f>
        <v>#N/A</v>
      </c>
      <c r="CE158" s="59" t="e">
        <f t="shared" si="148"/>
        <v>#N/A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 t="e">
        <f>EXP(-LN(2)/35)*CK157+(1-EXP(-LN(2)/35))/(LN(2)/35)*CG158*CH158*VLOOKUP('Données projet'!$B$12,Paramètres!$A$1:$I$89,3,0)*0.475*44/12</f>
        <v>#N/A</v>
      </c>
      <c r="CL158" s="21" t="e">
        <f>EXP(-LN(2)/25)*CL157+(1-EXP(-LN(2)/25))/(LN(2)/25)*Calculateur!CG158*Calculateur!CI158*VLOOKUP('Données projet'!$B$12,Paramètres!$A$1:$I$89,3,0)*0.475*44/12</f>
        <v>#N/A</v>
      </c>
      <c r="CM158" s="21" t="e">
        <f>EXP(-LN(2)/2)*CM157+(1-EXP(-LN(2)/2))/(LN(2)/2)*CG158*CJ158*VLOOKUP('Données projet'!$B$12,Paramètres!$A$1:$I$89,3,0)*0.475*44/12</f>
        <v>#N/A</v>
      </c>
      <c r="CN158" s="22" t="e">
        <f t="shared" si="172"/>
        <v>#N/A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25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138.7152000000001</v>
      </c>
      <c r="D159" s="11">
        <f t="shared" si="140"/>
        <v>36.002518112950014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10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1348.6981749069832</v>
      </c>
      <c r="H159" s="67">
        <f t="shared" si="110"/>
        <v>597.63335904672135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-3.4106051316484809E-13</v>
      </c>
      <c r="O159" s="13">
        <f>N159*VLOOKUP('Données projet'!$B$9,Paramètres!$A$1:$I$89,3,0)*VLOOKUP('Données projet'!$B$9,Paramètres!$A$1:$I$89,5,0)</f>
        <v>-1.9065282685915009E-13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279.98352834501759</v>
      </c>
      <c r="T159" s="59">
        <f t="shared" si="142"/>
        <v>281.30062655265488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0.32962560895256693</v>
      </c>
      <c r="AA159" s="21">
        <f>EXP(-LN(2)/25)*AA158+(1-EXP(-LN(2)/25))/(LN(2)/25)*Calculateur!V159*Calculateur!X159*VLOOKUP('Données projet'!$B$9,Paramètres!$A$1:$I$89,3,0)*0.475*44/12</f>
        <v>0.73638937562135276</v>
      </c>
      <c r="AB159" s="21">
        <f>EXP(-LN(2)/2)*AB158+(1-EXP(-LN(2)/2))/(LN(2)/2)*V159*Y159*VLOOKUP('Données projet'!$B$9,Paramètres!$A$1:$I$89,3,0)*0.475*44/12</f>
        <v>3.0701505114035313E-18</v>
      </c>
      <c r="AC159" s="22">
        <f t="shared" si="163"/>
        <v>1.0660149845739197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-1.1368683772161603E-13</v>
      </c>
      <c r="AJ159" s="13">
        <f>AI159*VLOOKUP('Données projet'!$B$10,Paramètres!$A$1:$I$89,3,0)*VLOOKUP('Données projet'!$B$10,Paramètres!$A$1:$I$89,5,0)</f>
        <v>-1.1527845344971866E-13</v>
      </c>
      <c r="AK159" s="13" t="e">
        <f t="shared" si="164"/>
        <v>#NUM!</v>
      </c>
      <c r="AL159" s="20" t="e">
        <f t="shared" si="165"/>
        <v>#NUM!</v>
      </c>
      <c r="AM159" s="59" t="e">
        <f t="shared" si="113"/>
        <v>#NUM!</v>
      </c>
      <c r="AN159" s="59">
        <f ca="1">AVERAGE(OFFSET($AM$3,0,0,'Données projet'!$E$10+1,1))-AVERAGE(OFFSET($H$3,0,0,'Données projet'!$E$10+1,1))</f>
        <v>279.20364724206644</v>
      </c>
      <c r="AO159" s="59">
        <f t="shared" si="144"/>
        <v>173.99850582760712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0</v>
      </c>
      <c r="AV159" s="21">
        <f>EXP(-LN(2)/25)*AV158+(1-EXP(-LN(2)/25))/(LN(2)/25)*Calculateur!AQ159*Calculateur!AS159*VLOOKUP('Données projet'!$B$10,Paramètres!$A$1:$I$89,3,0)*0.475*44/12</f>
        <v>0.1058003224347436</v>
      </c>
      <c r="AW159" s="21">
        <f>EXP(-LN(2)/2)*AW158+(1-EXP(-LN(2)/2))/(LN(2)/2)*AQ159*AT159*VLOOKUP('Données projet'!$B$10,Paramètres!$A$1:$I$89,3,0)*0.475*44/12</f>
        <v>7.5203928509066673E-19</v>
      </c>
      <c r="AX159" s="21">
        <f t="shared" si="166"/>
        <v>0.1058003224347436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-1.1368683772161603E-13</v>
      </c>
      <c r="BE159" s="13">
        <f>BD159*VLOOKUP('Données projet'!$B$11,Paramètres!$A$1:$I$89,3,0)*VLOOKUP('Données projet'!$B$11,Paramètres!$A$1:$I$89,5,0)</f>
        <v>-5.3205440053716299E-14</v>
      </c>
      <c r="BF159" s="13" t="e">
        <f t="shared" si="167"/>
        <v>#NUM!</v>
      </c>
      <c r="BG159" s="20" t="e">
        <f t="shared" si="168"/>
        <v>#NUM!</v>
      </c>
      <c r="BH159" s="59" t="e">
        <f t="shared" si="116"/>
        <v>#NUM!</v>
      </c>
      <c r="BI159" s="59">
        <f ca="1">AVERAGE(OFFSET($BH$3,0,0,'Données projet'!$E$11+1,1))-AVERAGE(OFFSET($H$3,0,0,'Données projet'!$E$11+1,1))</f>
        <v>215.23235148064941</v>
      </c>
      <c r="BJ159" s="59">
        <f t="shared" si="146"/>
        <v>184.07239726900434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0.2585065762853449</v>
      </c>
      <c r="BQ159" s="21">
        <f>EXP(-LN(2)/25)*BQ158+(1-EXP(-LN(2)/25))/(LN(2)/25)*Calculateur!BL159*Calculateur!BN159*VLOOKUP('Données projet'!$B$11,Paramètres!$A$1:$I$89,3,0)*0.475*44/12</f>
        <v>0.23877050837913646</v>
      </c>
      <c r="BR159" s="21">
        <f>EXP(-LN(2)/2)*BR158+(1-EXP(-LN(2)/2))/(LN(2)/2)*BL159*BO159*VLOOKUP('Données projet'!$B$11,Paramètres!$A$1:$I$89,3,0)*0.475*44/12</f>
        <v>1.0660067100197795E-18</v>
      </c>
      <c r="BS159" s="22">
        <f t="shared" si="169"/>
        <v>0.49727708466448139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 t="e">
        <f>BY159*VLOOKUP('Données projet'!$B$12,Paramètres!$A$1:$I$89,3,0)*VLOOKUP('Données projet'!$B$12,Paramètres!$A$1:$I$89,5,0)</f>
        <v>#N/A</v>
      </c>
      <c r="CA159" s="13" t="e">
        <f t="shared" si="170"/>
        <v>#N/A</v>
      </c>
      <c r="CB159" s="20" t="e">
        <f t="shared" si="171"/>
        <v>#N/A</v>
      </c>
      <c r="CC159" s="59" t="e">
        <f t="shared" si="119"/>
        <v>#N/A</v>
      </c>
      <c r="CD159" s="59" t="e">
        <f ca="1">AVERAGE(OFFSET($CC$3,0,0,'Données projet'!$E$12+1,1))-AVERAGE(OFFSET($H$3,0,0,'Données projet'!$E$12+1,1))</f>
        <v>#N/A</v>
      </c>
      <c r="CE159" s="59" t="e">
        <f t="shared" si="148"/>
        <v>#N/A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 t="e">
        <f>EXP(-LN(2)/35)*CK158+(1-EXP(-LN(2)/35))/(LN(2)/35)*CG159*CH159*VLOOKUP('Données projet'!$B$12,Paramètres!$A$1:$I$89,3,0)*0.475*44/12</f>
        <v>#N/A</v>
      </c>
      <c r="CL159" s="21" t="e">
        <f>EXP(-LN(2)/25)*CL158+(1-EXP(-LN(2)/25))/(LN(2)/25)*Calculateur!CG159*Calculateur!CI159*VLOOKUP('Données projet'!$B$12,Paramètres!$A$1:$I$89,3,0)*0.475*44/12</f>
        <v>#N/A</v>
      </c>
      <c r="CM159" s="21" t="e">
        <f>EXP(-LN(2)/2)*CM158+(1-EXP(-LN(2)/2))/(LN(2)/2)*CG159*CJ159*VLOOKUP('Données projet'!$B$12,Paramètres!$A$1:$I$89,3,0)*0.475*44/12</f>
        <v>#N/A</v>
      </c>
      <c r="CN159" s="22" t="e">
        <f t="shared" si="172"/>
        <v>#N/A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25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139.60440000000008</v>
      </c>
      <c r="D160" s="11">
        <f t="shared" si="140"/>
        <v>36.206364170402217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10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1357.1357234206496</v>
      </c>
      <c r="H160" s="67">
        <f t="shared" si="110"/>
        <v>599.53708093011733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-3.4106051316484809E-13</v>
      </c>
      <c r="O160" s="13">
        <f>N160*VLOOKUP('Données projet'!$B$9,Paramètres!$A$1:$I$89,3,0)*VLOOKUP('Données projet'!$B$9,Paramètres!$A$1:$I$89,5,0)</f>
        <v>-1.9065282685915009E-13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279.98352834501759</v>
      </c>
      <c r="T160" s="59">
        <f t="shared" si="142"/>
        <v>281.30062655265488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0.32316185181277635</v>
      </c>
      <c r="AA160" s="21">
        <f>EXP(-LN(2)/25)*AA159+(1-EXP(-LN(2)/25))/(LN(2)/25)*Calculateur!V160*Calculateur!X160*VLOOKUP('Données projet'!$B$9,Paramètres!$A$1:$I$89,3,0)*0.475*44/12</f>
        <v>0.71625276941995264</v>
      </c>
      <c r="AB160" s="21">
        <f>EXP(-LN(2)/2)*AB159+(1-EXP(-LN(2)/2))/(LN(2)/2)*V160*Y160*VLOOKUP('Données projet'!$B$9,Paramètres!$A$1:$I$89,3,0)*0.475*44/12</f>
        <v>2.1709242458767838E-18</v>
      </c>
      <c r="AC160" s="22">
        <f t="shared" si="163"/>
        <v>1.0394146212327291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-1.1368683772161603E-13</v>
      </c>
      <c r="AJ160" s="13">
        <f>AI160*VLOOKUP('Données projet'!$B$10,Paramètres!$A$1:$I$89,3,0)*VLOOKUP('Données projet'!$B$10,Paramètres!$A$1:$I$89,5,0)</f>
        <v>-1.1527845344971866E-13</v>
      </c>
      <c r="AK160" s="13" t="e">
        <f t="shared" si="164"/>
        <v>#NUM!</v>
      </c>
      <c r="AL160" s="20" t="e">
        <f t="shared" si="165"/>
        <v>#NUM!</v>
      </c>
      <c r="AM160" s="59" t="e">
        <f t="shared" si="113"/>
        <v>#NUM!</v>
      </c>
      <c r="AN160" s="59">
        <f ca="1">AVERAGE(OFFSET($AM$3,0,0,'Données projet'!$E$10+1,1))-AVERAGE(OFFSET($H$3,0,0,'Données projet'!$E$10+1,1))</f>
        <v>279.20364724206644</v>
      </c>
      <c r="AO160" s="59">
        <f t="shared" si="144"/>
        <v>173.99850582760712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0</v>
      </c>
      <c r="AV160" s="21">
        <f>EXP(-LN(2)/25)*AV159+(1-EXP(-LN(2)/25))/(LN(2)/25)*Calculateur!AQ160*Calculateur!AS160*VLOOKUP('Données projet'!$B$10,Paramètres!$A$1:$I$89,3,0)*0.475*44/12</f>
        <v>0.1029072070539684</v>
      </c>
      <c r="AW160" s="21">
        <f>EXP(-LN(2)/2)*AW159+(1-EXP(-LN(2)/2))/(LN(2)/2)*AQ160*AT160*VLOOKUP('Données projet'!$B$10,Paramètres!$A$1:$I$89,3,0)*0.475*44/12</f>
        <v>5.3177207820629371E-19</v>
      </c>
      <c r="AX160" s="21">
        <f t="shared" si="166"/>
        <v>0.1029072070539684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-1.1368683772161603E-13</v>
      </c>
      <c r="BE160" s="13">
        <f>BD160*VLOOKUP('Données projet'!$B$11,Paramètres!$A$1:$I$89,3,0)*VLOOKUP('Données projet'!$B$11,Paramètres!$A$1:$I$89,5,0)</f>
        <v>-5.3205440053716299E-14</v>
      </c>
      <c r="BF160" s="13" t="e">
        <f t="shared" si="167"/>
        <v>#NUM!</v>
      </c>
      <c r="BG160" s="20" t="e">
        <f t="shared" si="168"/>
        <v>#NUM!</v>
      </c>
      <c r="BH160" s="59" t="e">
        <f t="shared" si="116"/>
        <v>#NUM!</v>
      </c>
      <c r="BI160" s="59">
        <f ca="1">AVERAGE(OFFSET($BH$3,0,0,'Données projet'!$E$11+1,1))-AVERAGE(OFFSET($H$3,0,0,'Données projet'!$E$11+1,1))</f>
        <v>215.23235148064941</v>
      </c>
      <c r="BJ160" s="59">
        <f t="shared" si="146"/>
        <v>184.07239726900434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0.25343741999783187</v>
      </c>
      <c r="BQ160" s="21">
        <f>EXP(-LN(2)/25)*BQ159+(1-EXP(-LN(2)/25))/(LN(2)/25)*Calculateur!BL160*Calculateur!BN160*VLOOKUP('Données projet'!$B$11,Paramètres!$A$1:$I$89,3,0)*0.475*44/12</f>
        <v>0.23224131627111366</v>
      </c>
      <c r="BR160" s="21">
        <f>EXP(-LN(2)/2)*BR159+(1-EXP(-LN(2)/2))/(LN(2)/2)*BL160*BO160*VLOOKUP('Données projet'!$B$11,Paramètres!$A$1:$I$89,3,0)*0.475*44/12</f>
        <v>7.5378057344534765E-19</v>
      </c>
      <c r="BS160" s="22">
        <f t="shared" si="169"/>
        <v>0.48567873626894553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 t="e">
        <f>BY160*VLOOKUP('Données projet'!$B$12,Paramètres!$A$1:$I$89,3,0)*VLOOKUP('Données projet'!$B$12,Paramètres!$A$1:$I$89,5,0)</f>
        <v>#N/A</v>
      </c>
      <c r="CA160" s="13" t="e">
        <f t="shared" si="170"/>
        <v>#N/A</v>
      </c>
      <c r="CB160" s="20" t="e">
        <f t="shared" si="171"/>
        <v>#N/A</v>
      </c>
      <c r="CC160" s="59" t="e">
        <f t="shared" si="119"/>
        <v>#N/A</v>
      </c>
      <c r="CD160" s="59" t="e">
        <f ca="1">AVERAGE(OFFSET($CC$3,0,0,'Données projet'!$E$12+1,1))-AVERAGE(OFFSET($H$3,0,0,'Données projet'!$E$12+1,1))</f>
        <v>#N/A</v>
      </c>
      <c r="CE160" s="59" t="e">
        <f t="shared" si="148"/>
        <v>#N/A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 t="e">
        <f>EXP(-LN(2)/35)*CK159+(1-EXP(-LN(2)/35))/(LN(2)/35)*CG160*CH160*VLOOKUP('Données projet'!$B$12,Paramètres!$A$1:$I$89,3,0)*0.475*44/12</f>
        <v>#N/A</v>
      </c>
      <c r="CL160" s="21" t="e">
        <f>EXP(-LN(2)/25)*CL159+(1-EXP(-LN(2)/25))/(LN(2)/25)*Calculateur!CG160*Calculateur!CI160*VLOOKUP('Données projet'!$B$12,Paramètres!$A$1:$I$89,3,0)*0.475*44/12</f>
        <v>#N/A</v>
      </c>
      <c r="CM160" s="21" t="e">
        <f>EXP(-LN(2)/2)*CM159+(1-EXP(-LN(2)/2))/(LN(2)/2)*CG160*CJ160*VLOOKUP('Données projet'!$B$12,Paramètres!$A$1:$I$89,3,0)*0.475*44/12</f>
        <v>#N/A</v>
      </c>
      <c r="CN160" s="22" t="e">
        <f t="shared" si="172"/>
        <v>#N/A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25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140.49360000000007</v>
      </c>
      <c r="D161" s="11">
        <f t="shared" si="140"/>
        <v>36.410059151057943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10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1365.5721057274657</v>
      </c>
      <c r="H161" s="67">
        <f t="shared" si="110"/>
        <v>601.44053968809271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-3.4106051316484809E-13</v>
      </c>
      <c r="O161" s="13">
        <f>N161*VLOOKUP('Données projet'!$B$9,Paramètres!$A$1:$I$89,3,0)*VLOOKUP('Données projet'!$B$9,Paramètres!$A$1:$I$89,5,0)</f>
        <v>-1.9065282685915009E-13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279.98352834501759</v>
      </c>
      <c r="T161" s="59">
        <f t="shared" si="142"/>
        <v>281.30062655265488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0.31682484500799446</v>
      </c>
      <c r="AA161" s="21">
        <f>EXP(-LN(2)/25)*AA160+(1-EXP(-LN(2)/25))/(LN(2)/25)*Calculateur!V161*Calculateur!X161*VLOOKUP('Données projet'!$B$9,Paramètres!$A$1:$I$89,3,0)*0.475*44/12</f>
        <v>0.69666679977406787</v>
      </c>
      <c r="AB161" s="21">
        <f>EXP(-LN(2)/2)*AB160+(1-EXP(-LN(2)/2))/(LN(2)/2)*V161*Y161*VLOOKUP('Données projet'!$B$9,Paramètres!$A$1:$I$89,3,0)*0.475*44/12</f>
        <v>1.5350752557017656E-18</v>
      </c>
      <c r="AC161" s="22">
        <f t="shared" si="163"/>
        <v>1.0134916447820623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-1.1368683772161603E-13</v>
      </c>
      <c r="AJ161" s="13">
        <f>AI161*VLOOKUP('Données projet'!$B$10,Paramètres!$A$1:$I$89,3,0)*VLOOKUP('Données projet'!$B$10,Paramètres!$A$1:$I$89,5,0)</f>
        <v>-1.1527845344971866E-13</v>
      </c>
      <c r="AK161" s="13" t="e">
        <f t="shared" si="164"/>
        <v>#NUM!</v>
      </c>
      <c r="AL161" s="20" t="e">
        <f t="shared" si="165"/>
        <v>#NUM!</v>
      </c>
      <c r="AM161" s="59" t="e">
        <f t="shared" si="113"/>
        <v>#NUM!</v>
      </c>
      <c r="AN161" s="59">
        <f ca="1">AVERAGE(OFFSET($AM$3,0,0,'Données projet'!$E$10+1,1))-AVERAGE(OFFSET($H$3,0,0,'Données projet'!$E$10+1,1))</f>
        <v>279.20364724206644</v>
      </c>
      <c r="AO161" s="59">
        <f t="shared" si="144"/>
        <v>173.99850582760712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0</v>
      </c>
      <c r="AV161" s="21">
        <f>EXP(-LN(2)/25)*AV160+(1-EXP(-LN(2)/25))/(LN(2)/25)*Calculateur!AQ161*Calculateur!AS161*VLOOKUP('Données projet'!$B$10,Paramètres!$A$1:$I$89,3,0)*0.475*44/12</f>
        <v>0.10009320406542281</v>
      </c>
      <c r="AW161" s="21">
        <f>EXP(-LN(2)/2)*AW160+(1-EXP(-LN(2)/2))/(LN(2)/2)*AQ161*AT161*VLOOKUP('Données projet'!$B$10,Paramètres!$A$1:$I$89,3,0)*0.475*44/12</f>
        <v>3.7601964254533337E-19</v>
      </c>
      <c r="AX161" s="21">
        <f t="shared" si="166"/>
        <v>0.10009320406542281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-1.1368683772161603E-13</v>
      </c>
      <c r="BE161" s="13">
        <f>BD161*VLOOKUP('Données projet'!$B$11,Paramètres!$A$1:$I$89,3,0)*VLOOKUP('Données projet'!$B$11,Paramètres!$A$1:$I$89,5,0)</f>
        <v>-5.3205440053716299E-14</v>
      </c>
      <c r="BF161" s="13" t="e">
        <f t="shared" si="167"/>
        <v>#NUM!</v>
      </c>
      <c r="BG161" s="20" t="e">
        <f t="shared" si="168"/>
        <v>#NUM!</v>
      </c>
      <c r="BH161" s="59" t="e">
        <f t="shared" si="116"/>
        <v>#NUM!</v>
      </c>
      <c r="BI161" s="59">
        <f ca="1">AVERAGE(OFFSET($BH$3,0,0,'Données projet'!$E$11+1,1))-AVERAGE(OFFSET($H$3,0,0,'Données projet'!$E$11+1,1))</f>
        <v>215.23235148064941</v>
      </c>
      <c r="BJ161" s="59">
        <f t="shared" si="146"/>
        <v>184.07239726900434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0.24846766677323692</v>
      </c>
      <c r="BQ161" s="21">
        <f>EXP(-LN(2)/25)*BQ160+(1-EXP(-LN(2)/25))/(LN(2)/25)*Calculateur!BL161*Calculateur!BN161*VLOOKUP('Données projet'!$B$11,Paramètres!$A$1:$I$89,3,0)*0.475*44/12</f>
        <v>0.22589066526464002</v>
      </c>
      <c r="BR161" s="21">
        <f>EXP(-LN(2)/2)*BR160+(1-EXP(-LN(2)/2))/(LN(2)/2)*BL161*BO161*VLOOKUP('Données projet'!$B$11,Paramètres!$A$1:$I$89,3,0)*0.475*44/12</f>
        <v>5.3300335500988974E-19</v>
      </c>
      <c r="BS161" s="22">
        <f t="shared" si="169"/>
        <v>0.47435833203787692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 t="e">
        <f>BY161*VLOOKUP('Données projet'!$B$12,Paramètres!$A$1:$I$89,3,0)*VLOOKUP('Données projet'!$B$12,Paramètres!$A$1:$I$89,5,0)</f>
        <v>#N/A</v>
      </c>
      <c r="CA161" s="13" t="e">
        <f t="shared" si="170"/>
        <v>#N/A</v>
      </c>
      <c r="CB161" s="20" t="e">
        <f t="shared" si="171"/>
        <v>#N/A</v>
      </c>
      <c r="CC161" s="59" t="e">
        <f t="shared" si="119"/>
        <v>#N/A</v>
      </c>
      <c r="CD161" s="59" t="e">
        <f ca="1">AVERAGE(OFFSET($CC$3,0,0,'Données projet'!$E$12+1,1))-AVERAGE(OFFSET($H$3,0,0,'Données projet'!$E$12+1,1))</f>
        <v>#N/A</v>
      </c>
      <c r="CE161" s="59" t="e">
        <f t="shared" si="148"/>
        <v>#N/A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 t="e">
        <f>EXP(-LN(2)/35)*CK160+(1-EXP(-LN(2)/35))/(LN(2)/35)*CG161*CH161*VLOOKUP('Données projet'!$B$12,Paramètres!$A$1:$I$89,3,0)*0.475*44/12</f>
        <v>#N/A</v>
      </c>
      <c r="CL161" s="21" t="e">
        <f>EXP(-LN(2)/25)*CL160+(1-EXP(-LN(2)/25))/(LN(2)/25)*Calculateur!CG161*Calculateur!CI161*VLOOKUP('Données projet'!$B$12,Paramètres!$A$1:$I$89,3,0)*0.475*44/12</f>
        <v>#N/A</v>
      </c>
      <c r="CM161" s="21" t="e">
        <f>EXP(-LN(2)/2)*CM160+(1-EXP(-LN(2)/2))/(LN(2)/2)*CG161*CJ161*VLOOKUP('Données projet'!$B$12,Paramètres!$A$1:$I$89,3,0)*0.475*44/12</f>
        <v>#N/A</v>
      </c>
      <c r="CN161" s="22" t="e">
        <f t="shared" si="172"/>
        <v>#N/A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25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141.38280000000006</v>
      </c>
      <c r="D162" s="11">
        <f t="shared" si="140"/>
        <v>36.613604122020263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10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1374.0073300647182</v>
      </c>
      <c r="H162" s="67">
        <f t="shared" si="110"/>
        <v>603.34373717918538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-3.4106051316484809E-13</v>
      </c>
      <c r="O162" s="13">
        <f>N162*VLOOKUP('Données projet'!$B$9,Paramètres!$A$1:$I$89,3,0)*VLOOKUP('Données projet'!$B$9,Paramètres!$A$1:$I$89,5,0)</f>
        <v>-1.9065282685915009E-13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279.98352834501759</v>
      </c>
      <c r="T162" s="59">
        <f t="shared" si="142"/>
        <v>281.30062655265488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0.31061210304146186</v>
      </c>
      <c r="AA162" s="21">
        <f>EXP(-LN(2)/25)*AA161+(1-EXP(-LN(2)/25))/(LN(2)/25)*Calculateur!V162*Calculateur!X162*VLOOKUP('Données projet'!$B$9,Paramètres!$A$1:$I$89,3,0)*0.475*44/12</f>
        <v>0.67761640949813129</v>
      </c>
      <c r="AB162" s="21">
        <f>EXP(-LN(2)/2)*AB161+(1-EXP(-LN(2)/2))/(LN(2)/2)*V162*Y162*VLOOKUP('Données projet'!$B$9,Paramètres!$A$1:$I$89,3,0)*0.475*44/12</f>
        <v>1.0854621229383919E-18</v>
      </c>
      <c r="AC162" s="22">
        <f t="shared" si="163"/>
        <v>0.9882285125395931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-1.1368683772161603E-13</v>
      </c>
      <c r="AJ162" s="13">
        <f>AI162*VLOOKUP('Données projet'!$B$10,Paramètres!$A$1:$I$89,3,0)*VLOOKUP('Données projet'!$B$10,Paramètres!$A$1:$I$89,5,0)</f>
        <v>-1.1527845344971866E-13</v>
      </c>
      <c r="AK162" s="13" t="e">
        <f t="shared" si="164"/>
        <v>#NUM!</v>
      </c>
      <c r="AL162" s="20" t="e">
        <f t="shared" si="165"/>
        <v>#NUM!</v>
      </c>
      <c r="AM162" s="59" t="e">
        <f t="shared" si="113"/>
        <v>#NUM!</v>
      </c>
      <c r="AN162" s="59">
        <f ca="1">AVERAGE(OFFSET($AM$3,0,0,'Données projet'!$E$10+1,1))-AVERAGE(OFFSET($H$3,0,0,'Données projet'!$E$10+1,1))</f>
        <v>279.20364724206644</v>
      </c>
      <c r="AO162" s="59">
        <f t="shared" si="144"/>
        <v>173.99850582760712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0</v>
      </c>
      <c r="AV162" s="21">
        <f>EXP(-LN(2)/25)*AV161+(1-EXP(-LN(2)/25))/(LN(2)/25)*Calculateur!AQ162*Calculateur!AS162*VLOOKUP('Données projet'!$B$10,Paramètres!$A$1:$I$89,3,0)*0.475*44/12</f>
        <v>9.7356150136580985E-2</v>
      </c>
      <c r="AW162" s="21">
        <f>EXP(-LN(2)/2)*AW161+(1-EXP(-LN(2)/2))/(LN(2)/2)*AQ162*AT162*VLOOKUP('Données projet'!$B$10,Paramètres!$A$1:$I$89,3,0)*0.475*44/12</f>
        <v>2.6588603910314685E-19</v>
      </c>
      <c r="AX162" s="21">
        <f t="shared" si="166"/>
        <v>9.7356150136580985E-2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-1.1368683772161603E-13</v>
      </c>
      <c r="BE162" s="13">
        <f>BD162*VLOOKUP('Données projet'!$B$11,Paramètres!$A$1:$I$89,3,0)*VLOOKUP('Données projet'!$B$11,Paramètres!$A$1:$I$89,5,0)</f>
        <v>-5.3205440053716299E-14</v>
      </c>
      <c r="BF162" s="13" t="e">
        <f t="shared" si="167"/>
        <v>#NUM!</v>
      </c>
      <c r="BG162" s="20" t="e">
        <f t="shared" si="168"/>
        <v>#NUM!</v>
      </c>
      <c r="BH162" s="59" t="e">
        <f t="shared" si="116"/>
        <v>#NUM!</v>
      </c>
      <c r="BI162" s="59">
        <f ca="1">AVERAGE(OFFSET($BH$3,0,0,'Données projet'!$E$11+1,1))-AVERAGE(OFFSET($H$3,0,0,'Données projet'!$E$11+1,1))</f>
        <v>215.23235148064941</v>
      </c>
      <c r="BJ162" s="59">
        <f t="shared" si="146"/>
        <v>184.07239726900434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0.24359536737812612</v>
      </c>
      <c r="BQ162" s="21">
        <f>EXP(-LN(2)/25)*BQ161+(1-EXP(-LN(2)/25))/(LN(2)/25)*Calculateur!BL162*Calculateur!BN162*VLOOKUP('Données projet'!$B$11,Paramètres!$A$1:$I$89,3,0)*0.475*44/12</f>
        <v>0.21971367314390464</v>
      </c>
      <c r="BR162" s="21">
        <f>EXP(-LN(2)/2)*BR161+(1-EXP(-LN(2)/2))/(LN(2)/2)*BL162*BO162*VLOOKUP('Données projet'!$B$11,Paramètres!$A$1:$I$89,3,0)*0.475*44/12</f>
        <v>3.7689028672267382E-19</v>
      </c>
      <c r="BS162" s="22">
        <f t="shared" si="169"/>
        <v>0.46330904052203076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 t="e">
        <f>BY162*VLOOKUP('Données projet'!$B$12,Paramètres!$A$1:$I$89,3,0)*VLOOKUP('Données projet'!$B$12,Paramètres!$A$1:$I$89,5,0)</f>
        <v>#N/A</v>
      </c>
      <c r="CA162" s="13" t="e">
        <f t="shared" si="170"/>
        <v>#N/A</v>
      </c>
      <c r="CB162" s="20" t="e">
        <f t="shared" si="171"/>
        <v>#N/A</v>
      </c>
      <c r="CC162" s="59" t="e">
        <f t="shared" si="119"/>
        <v>#N/A</v>
      </c>
      <c r="CD162" s="59" t="e">
        <f ca="1">AVERAGE(OFFSET($CC$3,0,0,'Données projet'!$E$12+1,1))-AVERAGE(OFFSET($H$3,0,0,'Données projet'!$E$12+1,1))</f>
        <v>#N/A</v>
      </c>
      <c r="CE162" s="59" t="e">
        <f t="shared" si="148"/>
        <v>#N/A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 t="e">
        <f>EXP(-LN(2)/35)*CK161+(1-EXP(-LN(2)/35))/(LN(2)/35)*CG162*CH162*VLOOKUP('Données projet'!$B$12,Paramètres!$A$1:$I$89,3,0)*0.475*44/12</f>
        <v>#N/A</v>
      </c>
      <c r="CL162" s="21" t="e">
        <f>EXP(-LN(2)/25)*CL161+(1-EXP(-LN(2)/25))/(LN(2)/25)*Calculateur!CG162*Calculateur!CI162*VLOOKUP('Données projet'!$B$12,Paramètres!$A$1:$I$89,3,0)*0.475*44/12</f>
        <v>#N/A</v>
      </c>
      <c r="CM162" s="21" t="e">
        <f>EXP(-LN(2)/2)*CM161+(1-EXP(-LN(2)/2))/(LN(2)/2)*CG162*CJ162*VLOOKUP('Données projet'!$B$12,Paramètres!$A$1:$I$89,3,0)*0.475*44/12</f>
        <v>#N/A</v>
      </c>
      <c r="CN162" s="22" t="e">
        <f t="shared" si="172"/>
        <v>#N/A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25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142.27200000000005</v>
      </c>
      <c r="D163" s="11">
        <f t="shared" si="140"/>
        <v>36.817000136193258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10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1382.4414045600888</v>
      </c>
      <c r="H163" s="67">
        <f t="shared" si="110"/>
        <v>605.24667523720336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-3.4106051316484809E-13</v>
      </c>
      <c r="O163" s="13">
        <f>N163*VLOOKUP('Données projet'!$B$9,Paramètres!$A$1:$I$89,3,0)*VLOOKUP('Données projet'!$B$9,Paramètres!$A$1:$I$89,5,0)</f>
        <v>-1.9065282685915009E-13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279.98352834501759</v>
      </c>
      <c r="T163" s="59">
        <f t="shared" si="142"/>
        <v>281.30062655265488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0.30452118915549453</v>
      </c>
      <c r="AA163" s="21">
        <f>EXP(-LN(2)/25)*AA162+(1-EXP(-LN(2)/25))/(LN(2)/25)*Calculateur!V163*Calculateur!X163*VLOOKUP('Données projet'!$B$9,Paramètres!$A$1:$I$89,3,0)*0.475*44/12</f>
        <v>0.65908695314610666</v>
      </c>
      <c r="AB163" s="21">
        <f>EXP(-LN(2)/2)*AB162+(1-EXP(-LN(2)/2))/(LN(2)/2)*V163*Y163*VLOOKUP('Données projet'!$B$9,Paramètres!$A$1:$I$89,3,0)*0.475*44/12</f>
        <v>7.6753762785088282E-19</v>
      </c>
      <c r="AC163" s="22">
        <f t="shared" si="163"/>
        <v>0.96360814230160119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-1.1368683772161603E-13</v>
      </c>
      <c r="AJ163" s="13">
        <f>AI163*VLOOKUP('Données projet'!$B$10,Paramètres!$A$1:$I$89,3,0)*VLOOKUP('Données projet'!$B$10,Paramètres!$A$1:$I$89,5,0)</f>
        <v>-1.1527845344971866E-13</v>
      </c>
      <c r="AK163" s="13" t="e">
        <f t="shared" si="164"/>
        <v>#NUM!</v>
      </c>
      <c r="AL163" s="20" t="e">
        <f t="shared" si="165"/>
        <v>#NUM!</v>
      </c>
      <c r="AM163" s="59" t="e">
        <f t="shared" si="113"/>
        <v>#NUM!</v>
      </c>
      <c r="AN163" s="59">
        <f ca="1">AVERAGE(OFFSET($AM$3,0,0,'Données projet'!$E$10+1,1))-AVERAGE(OFFSET($H$3,0,0,'Données projet'!$E$10+1,1))</f>
        <v>279.20364724206644</v>
      </c>
      <c r="AO163" s="59">
        <f t="shared" si="144"/>
        <v>173.99850582760712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0</v>
      </c>
      <c r="AV163" s="21">
        <f>EXP(-LN(2)/25)*AV162+(1-EXP(-LN(2)/25))/(LN(2)/25)*Calculateur!AQ163*Calculateur!AS163*VLOOKUP('Données projet'!$B$10,Paramètres!$A$1:$I$89,3,0)*0.475*44/12</f>
        <v>9.4693941091358758E-2</v>
      </c>
      <c r="AW163" s="21">
        <f>EXP(-LN(2)/2)*AW162+(1-EXP(-LN(2)/2))/(LN(2)/2)*AQ163*AT163*VLOOKUP('Données projet'!$B$10,Paramètres!$A$1:$I$89,3,0)*0.475*44/12</f>
        <v>1.8800982127266668E-19</v>
      </c>
      <c r="AX163" s="21">
        <f t="shared" si="166"/>
        <v>9.4693941091358758E-2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-1.1368683772161603E-13</v>
      </c>
      <c r="BE163" s="13">
        <f>BD163*VLOOKUP('Données projet'!$B$11,Paramètres!$A$1:$I$89,3,0)*VLOOKUP('Données projet'!$B$11,Paramètres!$A$1:$I$89,5,0)</f>
        <v>-5.3205440053716299E-14</v>
      </c>
      <c r="BF163" s="13" t="e">
        <f t="shared" si="167"/>
        <v>#NUM!</v>
      </c>
      <c r="BG163" s="20" t="e">
        <f t="shared" si="168"/>
        <v>#NUM!</v>
      </c>
      <c r="BH163" s="59" t="e">
        <f t="shared" si="116"/>
        <v>#NUM!</v>
      </c>
      <c r="BI163" s="59">
        <f ca="1">AVERAGE(OFFSET($BH$3,0,0,'Données projet'!$E$11+1,1))-AVERAGE(OFFSET($H$3,0,0,'Données projet'!$E$11+1,1))</f>
        <v>215.23235148064941</v>
      </c>
      <c r="BJ163" s="59">
        <f t="shared" si="146"/>
        <v>184.07239726900434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0.23881861080234426</v>
      </c>
      <c r="BQ163" s="21">
        <f>EXP(-LN(2)/25)*BQ162+(1-EXP(-LN(2)/25))/(LN(2)/25)*Calculateur!BL163*Calculateur!BN163*VLOOKUP('Données projet'!$B$11,Paramètres!$A$1:$I$89,3,0)*0.475*44/12</f>
        <v>0.21370559119754465</v>
      </c>
      <c r="BR163" s="21">
        <f>EXP(-LN(2)/2)*BR162+(1-EXP(-LN(2)/2))/(LN(2)/2)*BL163*BO163*VLOOKUP('Données projet'!$B$11,Paramètres!$A$1:$I$89,3,0)*0.475*44/12</f>
        <v>2.6650167750494487E-19</v>
      </c>
      <c r="BS163" s="22">
        <f t="shared" si="169"/>
        <v>0.45252420199988891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 t="e">
        <f>BY163*VLOOKUP('Données projet'!$B$12,Paramètres!$A$1:$I$89,3,0)*VLOOKUP('Données projet'!$B$12,Paramètres!$A$1:$I$89,5,0)</f>
        <v>#N/A</v>
      </c>
      <c r="CA163" s="13" t="e">
        <f t="shared" si="170"/>
        <v>#N/A</v>
      </c>
      <c r="CB163" s="20" t="e">
        <f t="shared" si="171"/>
        <v>#N/A</v>
      </c>
      <c r="CC163" s="59" t="e">
        <f t="shared" si="119"/>
        <v>#N/A</v>
      </c>
      <c r="CD163" s="59" t="e">
        <f ca="1">AVERAGE(OFFSET($CC$3,0,0,'Données projet'!$E$12+1,1))-AVERAGE(OFFSET($H$3,0,0,'Données projet'!$E$12+1,1))</f>
        <v>#N/A</v>
      </c>
      <c r="CE163" s="59" t="e">
        <f t="shared" si="148"/>
        <v>#N/A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 t="e">
        <f>EXP(-LN(2)/35)*CK162+(1-EXP(-LN(2)/35))/(LN(2)/35)*CG163*CH163*VLOOKUP('Données projet'!$B$12,Paramètres!$A$1:$I$89,3,0)*0.475*44/12</f>
        <v>#N/A</v>
      </c>
      <c r="CL163" s="21" t="e">
        <f>EXP(-LN(2)/25)*CL162+(1-EXP(-LN(2)/25))/(LN(2)/25)*Calculateur!CG163*Calculateur!CI163*VLOOKUP('Données projet'!$B$12,Paramètres!$A$1:$I$89,3,0)*0.475*44/12</f>
        <v>#N/A</v>
      </c>
      <c r="CM163" s="21" t="e">
        <f>EXP(-LN(2)/2)*CM162+(1-EXP(-LN(2)/2))/(LN(2)/2)*CG163*CJ163*VLOOKUP('Données projet'!$B$12,Paramètres!$A$1:$I$89,3,0)*0.475*44/12</f>
        <v>#N/A</v>
      </c>
      <c r="CN163" s="22" t="e">
        <f t="shared" si="172"/>
        <v>#N/A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25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143.16120000000004</v>
      </c>
      <c r="D164" s="11">
        <f t="shared" si="140"/>
        <v>37.020248232558458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10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1390.8743372337849</v>
      </c>
      <c r="H164" s="67">
        <f t="shared" si="110"/>
        <v>607.14935567170596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-3.4106051316484809E-13</v>
      </c>
      <c r="O164" s="13">
        <f>N164*VLOOKUP('Données projet'!$B$9,Paramètres!$A$1:$I$89,3,0)*VLOOKUP('Données projet'!$B$9,Paramètres!$A$1:$I$89,5,0)</f>
        <v>-1.9065282685915009E-13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279.98352834501759</v>
      </c>
      <c r="T164" s="59">
        <f t="shared" si="142"/>
        <v>281.30062655265488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0.2985497143757404</v>
      </c>
      <c r="AA164" s="21">
        <f>EXP(-LN(2)/25)*AA163+(1-EXP(-LN(2)/25))/(LN(2)/25)*Calculateur!V164*Calculateur!X164*VLOOKUP('Données projet'!$B$9,Paramètres!$A$1:$I$89,3,0)*0.475*44/12</f>
        <v>0.64106418575244983</v>
      </c>
      <c r="AB164" s="21">
        <f>EXP(-LN(2)/2)*AB163+(1-EXP(-LN(2)/2))/(LN(2)/2)*V164*Y164*VLOOKUP('Données projet'!$B$9,Paramètres!$A$1:$I$89,3,0)*0.475*44/12</f>
        <v>5.4273106146919594E-19</v>
      </c>
      <c r="AC164" s="22">
        <f t="shared" si="163"/>
        <v>0.93961390012819024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-1.1368683772161603E-13</v>
      </c>
      <c r="AJ164" s="13">
        <f>AI164*VLOOKUP('Données projet'!$B$10,Paramètres!$A$1:$I$89,3,0)*VLOOKUP('Données projet'!$B$10,Paramètres!$A$1:$I$89,5,0)</f>
        <v>-1.1527845344971866E-13</v>
      </c>
      <c r="AK164" s="13" t="e">
        <f t="shared" si="164"/>
        <v>#NUM!</v>
      </c>
      <c r="AL164" s="20" t="e">
        <f t="shared" si="165"/>
        <v>#NUM!</v>
      </c>
      <c r="AM164" s="59" t="e">
        <f t="shared" si="113"/>
        <v>#NUM!</v>
      </c>
      <c r="AN164" s="59">
        <f ca="1">AVERAGE(OFFSET($AM$3,0,0,'Données projet'!$E$10+1,1))-AVERAGE(OFFSET($H$3,0,0,'Données projet'!$E$10+1,1))</f>
        <v>279.20364724206644</v>
      </c>
      <c r="AO164" s="59">
        <f t="shared" si="144"/>
        <v>173.99850582760712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0</v>
      </c>
      <c r="AV164" s="21">
        <f>EXP(-LN(2)/25)*AV163+(1-EXP(-LN(2)/25))/(LN(2)/25)*Calculateur!AQ164*Calculateur!AS164*VLOOKUP('Données projet'!$B$10,Paramètres!$A$1:$I$89,3,0)*0.475*44/12</f>
        <v>9.2104530292477615E-2</v>
      </c>
      <c r="AW164" s="21">
        <f>EXP(-LN(2)/2)*AW163+(1-EXP(-LN(2)/2))/(LN(2)/2)*AQ164*AT164*VLOOKUP('Données projet'!$B$10,Paramètres!$A$1:$I$89,3,0)*0.475*44/12</f>
        <v>1.3294301955157343E-19</v>
      </c>
      <c r="AX164" s="21">
        <f t="shared" si="166"/>
        <v>9.2104530292477615E-2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-1.1368683772161603E-13</v>
      </c>
      <c r="BE164" s="13">
        <f>BD164*VLOOKUP('Données projet'!$B$11,Paramètres!$A$1:$I$89,3,0)*VLOOKUP('Données projet'!$B$11,Paramètres!$A$1:$I$89,5,0)</f>
        <v>-5.3205440053716299E-14</v>
      </c>
      <c r="BF164" s="13" t="e">
        <f t="shared" si="167"/>
        <v>#NUM!</v>
      </c>
      <c r="BG164" s="20" t="e">
        <f t="shared" si="168"/>
        <v>#NUM!</v>
      </c>
      <c r="BH164" s="59" t="e">
        <f t="shared" si="116"/>
        <v>#NUM!</v>
      </c>
      <c r="BI164" s="59">
        <f ca="1">AVERAGE(OFFSET($BH$3,0,0,'Données projet'!$E$11+1,1))-AVERAGE(OFFSET($H$3,0,0,'Données projet'!$E$11+1,1))</f>
        <v>215.23235148064941</v>
      </c>
      <c r="BJ164" s="59">
        <f t="shared" si="146"/>
        <v>184.07239726900434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0.23413552350947966</v>
      </c>
      <c r="BQ164" s="21">
        <f>EXP(-LN(2)/25)*BQ163+(1-EXP(-LN(2)/25))/(LN(2)/25)*Calculateur!BL164*Calculateur!BN164*VLOOKUP('Données projet'!$B$11,Paramètres!$A$1:$I$89,3,0)*0.475*44/12</f>
        <v>0.20786180056795917</v>
      </c>
      <c r="BR164" s="21">
        <f>EXP(-LN(2)/2)*BR163+(1-EXP(-LN(2)/2))/(LN(2)/2)*BL164*BO164*VLOOKUP('Données projet'!$B$11,Paramètres!$A$1:$I$89,3,0)*0.475*44/12</f>
        <v>1.8844514336133691E-19</v>
      </c>
      <c r="BS164" s="22">
        <f t="shared" si="169"/>
        <v>0.44199732407743886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 t="e">
        <f>BY164*VLOOKUP('Données projet'!$B$12,Paramètres!$A$1:$I$89,3,0)*VLOOKUP('Données projet'!$B$12,Paramètres!$A$1:$I$89,5,0)</f>
        <v>#N/A</v>
      </c>
      <c r="CA164" s="13" t="e">
        <f t="shared" si="170"/>
        <v>#N/A</v>
      </c>
      <c r="CB164" s="20" t="e">
        <f t="shared" si="171"/>
        <v>#N/A</v>
      </c>
      <c r="CC164" s="59" t="e">
        <f t="shared" si="119"/>
        <v>#N/A</v>
      </c>
      <c r="CD164" s="59" t="e">
        <f ca="1">AVERAGE(OFFSET($CC$3,0,0,'Données projet'!$E$12+1,1))-AVERAGE(OFFSET($H$3,0,0,'Données projet'!$E$12+1,1))</f>
        <v>#N/A</v>
      </c>
      <c r="CE164" s="59" t="e">
        <f t="shared" si="148"/>
        <v>#N/A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 t="e">
        <f>EXP(-LN(2)/35)*CK163+(1-EXP(-LN(2)/35))/(LN(2)/35)*CG164*CH164*VLOOKUP('Données projet'!$B$12,Paramètres!$A$1:$I$89,3,0)*0.475*44/12</f>
        <v>#N/A</v>
      </c>
      <c r="CL164" s="21" t="e">
        <f>EXP(-LN(2)/25)*CL163+(1-EXP(-LN(2)/25))/(LN(2)/25)*Calculateur!CG164*Calculateur!CI164*VLOOKUP('Données projet'!$B$12,Paramètres!$A$1:$I$89,3,0)*0.475*44/12</f>
        <v>#N/A</v>
      </c>
      <c r="CM164" s="21" t="e">
        <f>EXP(-LN(2)/2)*CM163+(1-EXP(-LN(2)/2))/(LN(2)/2)*CG164*CJ164*VLOOKUP('Données projet'!$B$12,Paramètres!$A$1:$I$89,3,0)*0.475*44/12</f>
        <v>#N/A</v>
      </c>
      <c r="CN164" s="22" t="e">
        <f t="shared" si="172"/>
        <v>#N/A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25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144.05040000000002</v>
      </c>
      <c r="D165" s="11">
        <f t="shared" si="140"/>
        <v>37.223349436444416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10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1399.3061360006238</v>
      </c>
      <c r="H165" s="67">
        <f t="shared" si="110"/>
        <v>609.05178026847398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-3.4106051316484809E-13</v>
      </c>
      <c r="O165" s="13">
        <f>N165*VLOOKUP('Données projet'!$B$9,Paramètres!$A$1:$I$89,3,0)*VLOOKUP('Données projet'!$B$9,Paramètres!$A$1:$I$89,5,0)</f>
        <v>-1.9065282685915009E-13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279.98352834501759</v>
      </c>
      <c r="T165" s="59">
        <f t="shared" si="142"/>
        <v>281.30062655265488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0.29269533657417729</v>
      </c>
      <c r="AA165" s="21">
        <f>EXP(-LN(2)/25)*AA164+(1-EXP(-LN(2)/25))/(LN(2)/25)*Calculateur!V165*Calculateur!X165*VLOOKUP('Données projet'!$B$9,Paramètres!$A$1:$I$89,3,0)*0.475*44/12</f>
        <v>0.62353425188094869</v>
      </c>
      <c r="AB165" s="21">
        <f>EXP(-LN(2)/2)*AB164+(1-EXP(-LN(2)/2))/(LN(2)/2)*V165*Y165*VLOOKUP('Données projet'!$B$9,Paramètres!$A$1:$I$89,3,0)*0.475*44/12</f>
        <v>3.8376881392544141E-19</v>
      </c>
      <c r="AC165" s="22">
        <f t="shared" si="163"/>
        <v>0.91622958845512592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-1.1368683772161603E-13</v>
      </c>
      <c r="AJ165" s="13">
        <f>AI165*VLOOKUP('Données projet'!$B$10,Paramètres!$A$1:$I$89,3,0)*VLOOKUP('Données projet'!$B$10,Paramètres!$A$1:$I$89,5,0)</f>
        <v>-1.1527845344971866E-13</v>
      </c>
      <c r="AK165" s="13" t="e">
        <f t="shared" si="164"/>
        <v>#NUM!</v>
      </c>
      <c r="AL165" s="20" t="e">
        <f t="shared" si="165"/>
        <v>#NUM!</v>
      </c>
      <c r="AM165" s="59" t="e">
        <f t="shared" si="113"/>
        <v>#NUM!</v>
      </c>
      <c r="AN165" s="59">
        <f ca="1">AVERAGE(OFFSET($AM$3,0,0,'Données projet'!$E$10+1,1))-AVERAGE(OFFSET($H$3,0,0,'Données projet'!$E$10+1,1))</f>
        <v>279.20364724206644</v>
      </c>
      <c r="AO165" s="59">
        <f t="shared" si="144"/>
        <v>173.99850582760712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0</v>
      </c>
      <c r="AV165" s="21">
        <f>EXP(-LN(2)/25)*AV164+(1-EXP(-LN(2)/25))/(LN(2)/25)*Calculateur!AQ165*Calculateur!AS165*VLOOKUP('Données projet'!$B$10,Paramètres!$A$1:$I$89,3,0)*0.475*44/12</f>
        <v>8.9585927068063079E-2</v>
      </c>
      <c r="AW165" s="21">
        <f>EXP(-LN(2)/2)*AW164+(1-EXP(-LN(2)/2))/(LN(2)/2)*AQ165*AT165*VLOOKUP('Données projet'!$B$10,Paramètres!$A$1:$I$89,3,0)*0.475*44/12</f>
        <v>9.4004910636333341E-20</v>
      </c>
      <c r="AX165" s="21">
        <f t="shared" si="166"/>
        <v>8.9585927068063079E-2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-1.1368683772161603E-13</v>
      </c>
      <c r="BE165" s="13">
        <f>BD165*VLOOKUP('Données projet'!$B$11,Paramètres!$A$1:$I$89,3,0)*VLOOKUP('Données projet'!$B$11,Paramètres!$A$1:$I$89,5,0)</f>
        <v>-5.3205440053716299E-14</v>
      </c>
      <c r="BF165" s="13" t="e">
        <f t="shared" si="167"/>
        <v>#NUM!</v>
      </c>
      <c r="BG165" s="20" t="e">
        <f t="shared" si="168"/>
        <v>#NUM!</v>
      </c>
      <c r="BH165" s="59" t="e">
        <f t="shared" si="116"/>
        <v>#NUM!</v>
      </c>
      <c r="BI165" s="59">
        <f ca="1">AVERAGE(OFFSET($BH$3,0,0,'Données projet'!$E$11+1,1))-AVERAGE(OFFSET($H$3,0,0,'Données projet'!$E$11+1,1))</f>
        <v>215.23235148064941</v>
      </c>
      <c r="BJ165" s="59">
        <f t="shared" si="146"/>
        <v>184.07239726900434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0.22954426870202693</v>
      </c>
      <c r="BQ165" s="21">
        <f>EXP(-LN(2)/25)*BQ164+(1-EXP(-LN(2)/25))/(LN(2)/25)*Calculateur!BL165*Calculateur!BN165*VLOOKUP('Données projet'!$B$11,Paramètres!$A$1:$I$89,3,0)*0.475*44/12</f>
        <v>0.20217780870045129</v>
      </c>
      <c r="BR165" s="21">
        <f>EXP(-LN(2)/2)*BR164+(1-EXP(-LN(2)/2))/(LN(2)/2)*BL165*BO165*VLOOKUP('Données projet'!$B$11,Paramètres!$A$1:$I$89,3,0)*0.475*44/12</f>
        <v>1.3325083875247244E-19</v>
      </c>
      <c r="BS165" s="22">
        <f t="shared" si="169"/>
        <v>0.43172207740247825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 t="e">
        <f>BY165*VLOOKUP('Données projet'!$B$12,Paramètres!$A$1:$I$89,3,0)*VLOOKUP('Données projet'!$B$12,Paramètres!$A$1:$I$89,5,0)</f>
        <v>#N/A</v>
      </c>
      <c r="CA165" s="13" t="e">
        <f t="shared" si="170"/>
        <v>#N/A</v>
      </c>
      <c r="CB165" s="20" t="e">
        <f t="shared" si="171"/>
        <v>#N/A</v>
      </c>
      <c r="CC165" s="59" t="e">
        <f t="shared" si="119"/>
        <v>#N/A</v>
      </c>
      <c r="CD165" s="59" t="e">
        <f ca="1">AVERAGE(OFFSET($CC$3,0,0,'Données projet'!$E$12+1,1))-AVERAGE(OFFSET($H$3,0,0,'Données projet'!$E$12+1,1))</f>
        <v>#N/A</v>
      </c>
      <c r="CE165" s="59" t="e">
        <f t="shared" si="148"/>
        <v>#N/A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 t="e">
        <f>EXP(-LN(2)/35)*CK164+(1-EXP(-LN(2)/35))/(LN(2)/35)*CG165*CH165*VLOOKUP('Données projet'!$B$12,Paramètres!$A$1:$I$89,3,0)*0.475*44/12</f>
        <v>#N/A</v>
      </c>
      <c r="CL165" s="21" t="e">
        <f>EXP(-LN(2)/25)*CL164+(1-EXP(-LN(2)/25))/(LN(2)/25)*Calculateur!CG165*Calculateur!CI165*VLOOKUP('Données projet'!$B$12,Paramètres!$A$1:$I$89,3,0)*0.475*44/12</f>
        <v>#N/A</v>
      </c>
      <c r="CM165" s="21" t="e">
        <f>EXP(-LN(2)/2)*CM164+(1-EXP(-LN(2)/2))/(LN(2)/2)*CG165*CJ165*VLOOKUP('Données projet'!$B$12,Paramètres!$A$1:$I$89,3,0)*0.475*44/12</f>
        <v>#N/A</v>
      </c>
      <c r="CN165" s="22" t="e">
        <f t="shared" si="172"/>
        <v>#N/A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25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144.93960000000001</v>
      </c>
      <c r="D166" s="11">
        <f t="shared" si="140"/>
        <v>37.426304759789126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10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1407.7368086720564</v>
      </c>
      <c r="H166" s="67">
        <f t="shared" si="110"/>
        <v>610.95395078996603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-3.4106051316484809E-13</v>
      </c>
      <c r="O166" s="13">
        <f>N166*VLOOKUP('Données projet'!$B$9,Paramètres!$A$1:$I$89,3,0)*VLOOKUP('Données projet'!$B$9,Paramètres!$A$1:$I$89,5,0)</f>
        <v>-1.9065282685915009E-13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279.98352834501759</v>
      </c>
      <c r="T166" s="59">
        <f t="shared" si="142"/>
        <v>281.30062655265488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0.28695575955048497</v>
      </c>
      <c r="AA166" s="21">
        <f>EXP(-LN(2)/25)*AA165+(1-EXP(-LN(2)/25))/(LN(2)/25)*Calculateur!V166*Calculateur!X166*VLOOKUP('Données projet'!$B$9,Paramètres!$A$1:$I$89,3,0)*0.475*44/12</f>
        <v>0.60648367497302291</v>
      </c>
      <c r="AB166" s="21">
        <f>EXP(-LN(2)/2)*AB165+(1-EXP(-LN(2)/2))/(LN(2)/2)*V166*Y166*VLOOKUP('Données projet'!$B$9,Paramètres!$A$1:$I$89,3,0)*0.475*44/12</f>
        <v>2.7136553073459797E-19</v>
      </c>
      <c r="AC166" s="22">
        <f t="shared" si="163"/>
        <v>0.89343943452350794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-1.1368683772161603E-13</v>
      </c>
      <c r="AJ166" s="13">
        <f>AI166*VLOOKUP('Données projet'!$B$10,Paramètres!$A$1:$I$89,3,0)*VLOOKUP('Données projet'!$B$10,Paramètres!$A$1:$I$89,5,0)</f>
        <v>-1.1527845344971866E-13</v>
      </c>
      <c r="AK166" s="13" t="e">
        <f t="shared" si="164"/>
        <v>#NUM!</v>
      </c>
      <c r="AL166" s="20" t="e">
        <f t="shared" si="165"/>
        <v>#NUM!</v>
      </c>
      <c r="AM166" s="59" t="e">
        <f t="shared" si="113"/>
        <v>#NUM!</v>
      </c>
      <c r="AN166" s="59">
        <f ca="1">AVERAGE(OFFSET($AM$3,0,0,'Données projet'!$E$10+1,1))-AVERAGE(OFFSET($H$3,0,0,'Données projet'!$E$10+1,1))</f>
        <v>279.20364724206644</v>
      </c>
      <c r="AO166" s="59">
        <f t="shared" si="144"/>
        <v>173.99850582760712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0</v>
      </c>
      <c r="AV166" s="21">
        <f>EXP(-LN(2)/25)*AV165+(1-EXP(-LN(2)/25))/(LN(2)/25)*Calculateur!AQ166*Calculateur!AS166*VLOOKUP('Données projet'!$B$10,Paramètres!$A$1:$I$89,3,0)*0.475*44/12</f>
        <v>8.7136195181267737E-2</v>
      </c>
      <c r="AW166" s="21">
        <f>EXP(-LN(2)/2)*AW165+(1-EXP(-LN(2)/2))/(LN(2)/2)*AQ166*AT166*VLOOKUP('Données projet'!$B$10,Paramètres!$A$1:$I$89,3,0)*0.475*44/12</f>
        <v>6.6471509775786714E-20</v>
      </c>
      <c r="AX166" s="21">
        <f t="shared" si="166"/>
        <v>8.7136195181267737E-2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-1.1368683772161603E-13</v>
      </c>
      <c r="BE166" s="13">
        <f>BD166*VLOOKUP('Données projet'!$B$11,Paramètres!$A$1:$I$89,3,0)*VLOOKUP('Données projet'!$B$11,Paramètres!$A$1:$I$89,5,0)</f>
        <v>-5.3205440053716299E-14</v>
      </c>
      <c r="BF166" s="13" t="e">
        <f t="shared" si="167"/>
        <v>#NUM!</v>
      </c>
      <c r="BG166" s="20" t="e">
        <f t="shared" si="168"/>
        <v>#NUM!</v>
      </c>
      <c r="BH166" s="59" t="e">
        <f t="shared" si="116"/>
        <v>#NUM!</v>
      </c>
      <c r="BI166" s="59">
        <f ca="1">AVERAGE(OFFSET($BH$3,0,0,'Données projet'!$E$11+1,1))-AVERAGE(OFFSET($H$3,0,0,'Données projet'!$E$11+1,1))</f>
        <v>215.23235148064941</v>
      </c>
      <c r="BJ166" s="59">
        <f t="shared" si="146"/>
        <v>184.07239726900434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0.22504304560095945</v>
      </c>
      <c r="BQ166" s="21">
        <f>EXP(-LN(2)/25)*BQ165+(1-EXP(-LN(2)/25))/(LN(2)/25)*Calculateur!BL166*Calculateur!BN166*VLOOKUP('Données projet'!$B$11,Paramètres!$A$1:$I$89,3,0)*0.475*44/12</f>
        <v>0.19664924588946858</v>
      </c>
      <c r="BR166" s="21">
        <f>EXP(-LN(2)/2)*BR165+(1-EXP(-LN(2)/2))/(LN(2)/2)*BL166*BO166*VLOOKUP('Données projet'!$B$11,Paramètres!$A$1:$I$89,3,0)*0.475*44/12</f>
        <v>9.4222571680668456E-20</v>
      </c>
      <c r="BS166" s="22">
        <f t="shared" si="169"/>
        <v>0.42169229149042803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 t="e">
        <f>BY166*VLOOKUP('Données projet'!$B$12,Paramètres!$A$1:$I$89,3,0)*VLOOKUP('Données projet'!$B$12,Paramètres!$A$1:$I$89,5,0)</f>
        <v>#N/A</v>
      </c>
      <c r="CA166" s="13" t="e">
        <f t="shared" si="170"/>
        <v>#N/A</v>
      </c>
      <c r="CB166" s="20" t="e">
        <f t="shared" si="171"/>
        <v>#N/A</v>
      </c>
      <c r="CC166" s="59" t="e">
        <f t="shared" si="119"/>
        <v>#N/A</v>
      </c>
      <c r="CD166" s="59" t="e">
        <f ca="1">AVERAGE(OFFSET($CC$3,0,0,'Données projet'!$E$12+1,1))-AVERAGE(OFFSET($H$3,0,0,'Données projet'!$E$12+1,1))</f>
        <v>#N/A</v>
      </c>
      <c r="CE166" s="59" t="e">
        <f t="shared" si="148"/>
        <v>#N/A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 t="e">
        <f>EXP(-LN(2)/35)*CK165+(1-EXP(-LN(2)/35))/(LN(2)/35)*CG166*CH166*VLOOKUP('Données projet'!$B$12,Paramètres!$A$1:$I$89,3,0)*0.475*44/12</f>
        <v>#N/A</v>
      </c>
      <c r="CL166" s="21" t="e">
        <f>EXP(-LN(2)/25)*CL165+(1-EXP(-LN(2)/25))/(LN(2)/25)*Calculateur!CG166*Calculateur!CI166*VLOOKUP('Données projet'!$B$12,Paramètres!$A$1:$I$89,3,0)*0.475*44/12</f>
        <v>#N/A</v>
      </c>
      <c r="CM166" s="21" t="e">
        <f>EXP(-LN(2)/2)*CM165+(1-EXP(-LN(2)/2))/(LN(2)/2)*CG166*CJ166*VLOOKUP('Données projet'!$B$12,Paramètres!$A$1:$I$89,3,0)*0.475*44/12</f>
        <v>#N/A</v>
      </c>
      <c r="CN166" s="22" t="e">
        <f t="shared" si="172"/>
        <v>#N/A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25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145.8288</v>
      </c>
      <c r="D167" s="11">
        <f t="shared" si="140"/>
        <v>37.629115201395898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10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1416.1663629581437</v>
      </c>
      <c r="H167" s="67">
        <f t="shared" si="110"/>
        <v>612.85586897576445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-3.4106051316484809E-13</v>
      </c>
      <c r="O167" s="13">
        <f>N167*VLOOKUP('Données projet'!$B$9,Paramètres!$A$1:$I$89,3,0)*VLOOKUP('Données projet'!$B$9,Paramètres!$A$1:$I$89,5,0)</f>
        <v>-1.9065282685915009E-13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279.98352834501759</v>
      </c>
      <c r="T167" s="59">
        <f t="shared" si="142"/>
        <v>281.30062655265488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0.28132873213143095</v>
      </c>
      <c r="AA167" s="21">
        <f>EXP(-LN(2)/25)*AA166+(1-EXP(-LN(2)/25))/(LN(2)/25)*Calculateur!V167*Calculateur!X167*VLOOKUP('Données projet'!$B$9,Paramètres!$A$1:$I$89,3,0)*0.475*44/12</f>
        <v>0.58989934698729529</v>
      </c>
      <c r="AB167" s="21">
        <f>EXP(-LN(2)/2)*AB166+(1-EXP(-LN(2)/2))/(LN(2)/2)*V167*Y167*VLOOKUP('Données projet'!$B$9,Paramètres!$A$1:$I$89,3,0)*0.475*44/12</f>
        <v>1.9188440696272071E-19</v>
      </c>
      <c r="AC167" s="22">
        <f t="shared" si="163"/>
        <v>0.87122807911872624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-1.1368683772161603E-13</v>
      </c>
      <c r="AJ167" s="13">
        <f>AI167*VLOOKUP('Données projet'!$B$10,Paramètres!$A$1:$I$89,3,0)*VLOOKUP('Données projet'!$B$10,Paramètres!$A$1:$I$89,5,0)</f>
        <v>-1.1527845344971866E-13</v>
      </c>
      <c r="AK167" s="13" t="e">
        <f t="shared" si="164"/>
        <v>#NUM!</v>
      </c>
      <c r="AL167" s="20" t="e">
        <f t="shared" si="165"/>
        <v>#NUM!</v>
      </c>
      <c r="AM167" s="59" t="e">
        <f t="shared" si="113"/>
        <v>#NUM!</v>
      </c>
      <c r="AN167" s="59">
        <f ca="1">AVERAGE(OFFSET($AM$3,0,0,'Données projet'!$E$10+1,1))-AVERAGE(OFFSET($H$3,0,0,'Données projet'!$E$10+1,1))</f>
        <v>279.20364724206644</v>
      </c>
      <c r="AO167" s="59">
        <f t="shared" si="144"/>
        <v>173.99850582760712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0</v>
      </c>
      <c r="AV167" s="21">
        <f>EXP(-LN(2)/25)*AV166+(1-EXP(-LN(2)/25))/(LN(2)/25)*Calculateur!AQ167*Calculateur!AS167*VLOOKUP('Données projet'!$B$10,Paramètres!$A$1:$I$89,3,0)*0.475*44/12</f>
        <v>8.4753451341742614E-2</v>
      </c>
      <c r="AW167" s="21">
        <f>EXP(-LN(2)/2)*AW166+(1-EXP(-LN(2)/2))/(LN(2)/2)*AQ167*AT167*VLOOKUP('Données projet'!$B$10,Paramètres!$A$1:$I$89,3,0)*0.475*44/12</f>
        <v>4.7002455318166671E-20</v>
      </c>
      <c r="AX167" s="21">
        <f t="shared" si="166"/>
        <v>8.4753451341742614E-2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-1.1368683772161603E-13</v>
      </c>
      <c r="BE167" s="13">
        <f>BD167*VLOOKUP('Données projet'!$B$11,Paramètres!$A$1:$I$89,3,0)*VLOOKUP('Données projet'!$B$11,Paramètres!$A$1:$I$89,5,0)</f>
        <v>-5.3205440053716299E-14</v>
      </c>
      <c r="BF167" s="13" t="e">
        <f t="shared" si="167"/>
        <v>#NUM!</v>
      </c>
      <c r="BG167" s="20" t="e">
        <f t="shared" si="168"/>
        <v>#NUM!</v>
      </c>
      <c r="BH167" s="59" t="e">
        <f t="shared" si="116"/>
        <v>#NUM!</v>
      </c>
      <c r="BI167" s="59">
        <f ca="1">AVERAGE(OFFSET($BH$3,0,0,'Données projet'!$E$11+1,1))-AVERAGE(OFFSET($H$3,0,0,'Données projet'!$E$11+1,1))</f>
        <v>215.23235148064941</v>
      </c>
      <c r="BJ167" s="59">
        <f t="shared" si="146"/>
        <v>184.07239726900434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0.22063008873942888</v>
      </c>
      <c r="BQ167" s="21">
        <f>EXP(-LN(2)/25)*BQ166+(1-EXP(-LN(2)/25))/(LN(2)/25)*Calculateur!BL167*Calculateur!BN167*VLOOKUP('Données projet'!$B$11,Paramètres!$A$1:$I$89,3,0)*0.475*44/12</f>
        <v>0.19127186191928666</v>
      </c>
      <c r="BR167" s="21">
        <f>EXP(-LN(2)/2)*BR166+(1-EXP(-LN(2)/2))/(LN(2)/2)*BL167*BO167*VLOOKUP('Données projet'!$B$11,Paramètres!$A$1:$I$89,3,0)*0.475*44/12</f>
        <v>6.6625419376236218E-20</v>
      </c>
      <c r="BS167" s="22">
        <f t="shared" si="169"/>
        <v>0.41190195065871554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 t="e">
        <f>BY167*VLOOKUP('Données projet'!$B$12,Paramètres!$A$1:$I$89,3,0)*VLOOKUP('Données projet'!$B$12,Paramètres!$A$1:$I$89,5,0)</f>
        <v>#N/A</v>
      </c>
      <c r="CA167" s="13" t="e">
        <f t="shared" si="170"/>
        <v>#N/A</v>
      </c>
      <c r="CB167" s="20" t="e">
        <f t="shared" si="171"/>
        <v>#N/A</v>
      </c>
      <c r="CC167" s="59" t="e">
        <f t="shared" si="119"/>
        <v>#N/A</v>
      </c>
      <c r="CD167" s="59" t="e">
        <f ca="1">AVERAGE(OFFSET($CC$3,0,0,'Données projet'!$E$12+1,1))-AVERAGE(OFFSET($H$3,0,0,'Données projet'!$E$12+1,1))</f>
        <v>#N/A</v>
      </c>
      <c r="CE167" s="59" t="e">
        <f t="shared" si="148"/>
        <v>#N/A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 t="e">
        <f>EXP(-LN(2)/35)*CK166+(1-EXP(-LN(2)/35))/(LN(2)/35)*CG167*CH167*VLOOKUP('Données projet'!$B$12,Paramètres!$A$1:$I$89,3,0)*0.475*44/12</f>
        <v>#N/A</v>
      </c>
      <c r="CL167" s="21" t="e">
        <f>EXP(-LN(2)/25)*CL166+(1-EXP(-LN(2)/25))/(LN(2)/25)*Calculateur!CG167*Calculateur!CI167*VLOOKUP('Données projet'!$B$12,Paramètres!$A$1:$I$89,3,0)*0.475*44/12</f>
        <v>#N/A</v>
      </c>
      <c r="CM167" s="21" t="e">
        <f>EXP(-LN(2)/2)*CM166+(1-EXP(-LN(2)/2))/(LN(2)/2)*CG167*CJ167*VLOOKUP('Données projet'!$B$12,Paramètres!$A$1:$I$89,3,0)*0.475*44/12</f>
        <v>#N/A</v>
      </c>
      <c r="CN167" s="22" t="e">
        <f t="shared" si="172"/>
        <v>#N/A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25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146.71799999999999</v>
      </c>
      <c r="D168" s="11">
        <f t="shared" si="140"/>
        <v>37.831781747183037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10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1424.594806469483</v>
      </c>
      <c r="H168" s="67">
        <f t="shared" si="110"/>
        <v>614.75753654301047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-3.4106051316484809E-13</v>
      </c>
      <c r="O168" s="13">
        <f>N168*VLOOKUP('Données projet'!$B$9,Paramètres!$A$1:$I$89,3,0)*VLOOKUP('Données projet'!$B$9,Paramètres!$A$1:$I$89,5,0)</f>
        <v>-1.9065282685915009E-13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279.98352834501759</v>
      </c>
      <c r="T168" s="59">
        <f t="shared" si="142"/>
        <v>281.30062655265488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0.27581204728791675</v>
      </c>
      <c r="AA168" s="21">
        <f>EXP(-LN(2)/25)*AA167+(1-EXP(-LN(2)/25))/(LN(2)/25)*Calculateur!V168*Calculateur!X168*VLOOKUP('Données projet'!$B$9,Paramètres!$A$1:$I$89,3,0)*0.475*44/12</f>
        <v>0.57376851832246922</v>
      </c>
      <c r="AB168" s="21">
        <f>EXP(-LN(2)/2)*AB167+(1-EXP(-LN(2)/2))/(LN(2)/2)*V168*Y168*VLOOKUP('Données projet'!$B$9,Paramètres!$A$1:$I$89,3,0)*0.475*44/12</f>
        <v>1.3568276536729898E-19</v>
      </c>
      <c r="AC168" s="22">
        <f t="shared" si="163"/>
        <v>0.84958056561038597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-1.1368683772161603E-13</v>
      </c>
      <c r="AJ168" s="13">
        <f>AI168*VLOOKUP('Données projet'!$B$10,Paramètres!$A$1:$I$89,3,0)*VLOOKUP('Données projet'!$B$10,Paramètres!$A$1:$I$89,5,0)</f>
        <v>-1.1527845344971866E-13</v>
      </c>
      <c r="AK168" s="13" t="e">
        <f t="shared" si="164"/>
        <v>#NUM!</v>
      </c>
      <c r="AL168" s="20" t="e">
        <f t="shared" si="165"/>
        <v>#NUM!</v>
      </c>
      <c r="AM168" s="59" t="e">
        <f t="shared" si="113"/>
        <v>#NUM!</v>
      </c>
      <c r="AN168" s="59">
        <f ca="1">AVERAGE(OFFSET($AM$3,0,0,'Données projet'!$E$10+1,1))-AVERAGE(OFFSET($H$3,0,0,'Données projet'!$E$10+1,1))</f>
        <v>279.20364724206644</v>
      </c>
      <c r="AO168" s="59">
        <f t="shared" si="144"/>
        <v>173.99850582760712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0</v>
      </c>
      <c r="AV168" s="21">
        <f>EXP(-LN(2)/25)*AV167+(1-EXP(-LN(2)/25))/(LN(2)/25)*Calculateur!AQ168*Calculateur!AS168*VLOOKUP('Données projet'!$B$10,Paramètres!$A$1:$I$89,3,0)*0.475*44/12</f>
        <v>8.2435863757812367E-2</v>
      </c>
      <c r="AW168" s="21">
        <f>EXP(-LN(2)/2)*AW167+(1-EXP(-LN(2)/2))/(LN(2)/2)*AQ168*AT168*VLOOKUP('Données projet'!$B$10,Paramètres!$A$1:$I$89,3,0)*0.475*44/12</f>
        <v>3.3235754887893357E-20</v>
      </c>
      <c r="AX168" s="21">
        <f t="shared" si="166"/>
        <v>8.2435863757812367E-2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-1.1368683772161603E-13</v>
      </c>
      <c r="BE168" s="13">
        <f>BD168*VLOOKUP('Données projet'!$B$11,Paramètres!$A$1:$I$89,3,0)*VLOOKUP('Données projet'!$B$11,Paramètres!$A$1:$I$89,5,0)</f>
        <v>-5.3205440053716299E-14</v>
      </c>
      <c r="BF168" s="13" t="e">
        <f t="shared" si="167"/>
        <v>#NUM!</v>
      </c>
      <c r="BG168" s="20" t="e">
        <f t="shared" si="168"/>
        <v>#NUM!</v>
      </c>
      <c r="BH168" s="59" t="e">
        <f t="shared" si="116"/>
        <v>#NUM!</v>
      </c>
      <c r="BI168" s="59">
        <f ca="1">AVERAGE(OFFSET($BH$3,0,0,'Données projet'!$E$11+1,1))-AVERAGE(OFFSET($H$3,0,0,'Données projet'!$E$11+1,1))</f>
        <v>215.23235148064941</v>
      </c>
      <c r="BJ168" s="59">
        <f t="shared" si="146"/>
        <v>184.07239726900434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0.21630366727031503</v>
      </c>
      <c r="BQ168" s="21">
        <f>EXP(-LN(2)/25)*BQ167+(1-EXP(-LN(2)/25))/(LN(2)/25)*Calculateur!BL168*Calculateur!BN168*VLOOKUP('Données projet'!$B$11,Paramètres!$A$1:$I$89,3,0)*0.475*44/12</f>
        <v>0.1860415227965537</v>
      </c>
      <c r="BR168" s="21">
        <f>EXP(-LN(2)/2)*BR167+(1-EXP(-LN(2)/2))/(LN(2)/2)*BL168*BO168*VLOOKUP('Données projet'!$B$11,Paramètres!$A$1:$I$89,3,0)*0.475*44/12</f>
        <v>4.7111285840334228E-20</v>
      </c>
      <c r="BS168" s="22">
        <f t="shared" si="169"/>
        <v>0.40234519006686875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 t="e">
        <f>BY168*VLOOKUP('Données projet'!$B$12,Paramètres!$A$1:$I$89,3,0)*VLOOKUP('Données projet'!$B$12,Paramètres!$A$1:$I$89,5,0)</f>
        <v>#N/A</v>
      </c>
      <c r="CA168" s="13" t="e">
        <f t="shared" si="170"/>
        <v>#N/A</v>
      </c>
      <c r="CB168" s="20" t="e">
        <f t="shared" si="171"/>
        <v>#N/A</v>
      </c>
      <c r="CC168" s="59" t="e">
        <f t="shared" si="119"/>
        <v>#N/A</v>
      </c>
      <c r="CD168" s="59" t="e">
        <f ca="1">AVERAGE(OFFSET($CC$3,0,0,'Données projet'!$E$12+1,1))-AVERAGE(OFFSET($H$3,0,0,'Données projet'!$E$12+1,1))</f>
        <v>#N/A</v>
      </c>
      <c r="CE168" s="59" t="e">
        <f t="shared" si="148"/>
        <v>#N/A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 t="e">
        <f>EXP(-LN(2)/35)*CK167+(1-EXP(-LN(2)/35))/(LN(2)/35)*CG168*CH168*VLOOKUP('Données projet'!$B$12,Paramètres!$A$1:$I$89,3,0)*0.475*44/12</f>
        <v>#N/A</v>
      </c>
      <c r="CL168" s="21" t="e">
        <f>EXP(-LN(2)/25)*CL167+(1-EXP(-LN(2)/25))/(LN(2)/25)*Calculateur!CG168*Calculateur!CI168*VLOOKUP('Données projet'!$B$12,Paramètres!$A$1:$I$89,3,0)*0.475*44/12</f>
        <v>#N/A</v>
      </c>
      <c r="CM168" s="21" t="e">
        <f>EXP(-LN(2)/2)*CM167+(1-EXP(-LN(2)/2))/(LN(2)/2)*CG168*CJ168*VLOOKUP('Données projet'!$B$12,Paramètres!$A$1:$I$89,3,0)*0.475*44/12</f>
        <v>#N/A</v>
      </c>
      <c r="CN168" s="22" t="e">
        <f t="shared" si="172"/>
        <v>#N/A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25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147.60719999999998</v>
      </c>
      <c r="D169" s="11">
        <f t="shared" si="140"/>
        <v>38.034305370426985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10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1433.0221467190852</v>
      </c>
      <c r="H169" s="67">
        <f t="shared" si="110"/>
        <v>616.65895518682692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-3.4106051316484809E-13</v>
      </c>
      <c r="O169" s="13">
        <f>N169*VLOOKUP('Données projet'!$B$9,Paramètres!$A$1:$I$89,3,0)*VLOOKUP('Données projet'!$B$9,Paramètres!$A$1:$I$89,5,0)</f>
        <v>-1.9065282685915009E-13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279.98352834501759</v>
      </c>
      <c r="T169" s="59">
        <f t="shared" si="142"/>
        <v>281.30062655265488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0.27040354126933835</v>
      </c>
      <c r="AA169" s="21">
        <f>EXP(-LN(2)/25)*AA168+(1-EXP(-LN(2)/25))/(LN(2)/25)*Calculateur!V169*Calculateur!X169*VLOOKUP('Données projet'!$B$9,Paramètres!$A$1:$I$89,3,0)*0.475*44/12</f>
        <v>0.55807878801576627</v>
      </c>
      <c r="AB169" s="21">
        <f>EXP(-LN(2)/2)*AB168+(1-EXP(-LN(2)/2))/(LN(2)/2)*V169*Y169*VLOOKUP('Données projet'!$B$9,Paramètres!$A$1:$I$89,3,0)*0.475*44/12</f>
        <v>9.5942203481360353E-20</v>
      </c>
      <c r="AC169" s="22">
        <f t="shared" si="163"/>
        <v>0.82848232928510468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-1.1368683772161603E-13</v>
      </c>
      <c r="AJ169" s="13">
        <f>AI169*VLOOKUP('Données projet'!$B$10,Paramètres!$A$1:$I$89,3,0)*VLOOKUP('Données projet'!$B$10,Paramètres!$A$1:$I$89,5,0)</f>
        <v>-1.1527845344971866E-13</v>
      </c>
      <c r="AK169" s="13" t="e">
        <f t="shared" si="164"/>
        <v>#NUM!</v>
      </c>
      <c r="AL169" s="20" t="e">
        <f t="shared" si="165"/>
        <v>#NUM!</v>
      </c>
      <c r="AM169" s="59" t="e">
        <f t="shared" si="113"/>
        <v>#NUM!</v>
      </c>
      <c r="AN169" s="59">
        <f ca="1">AVERAGE(OFFSET($AM$3,0,0,'Données projet'!$E$10+1,1))-AVERAGE(OFFSET($H$3,0,0,'Données projet'!$E$10+1,1))</f>
        <v>279.20364724206644</v>
      </c>
      <c r="AO169" s="59">
        <f t="shared" si="144"/>
        <v>173.99850582760712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0</v>
      </c>
      <c r="AV169" s="21">
        <f>EXP(-LN(2)/25)*AV168+(1-EXP(-LN(2)/25))/(LN(2)/25)*Calculateur!AQ169*Calculateur!AS169*VLOOKUP('Données projet'!$B$10,Paramètres!$A$1:$I$89,3,0)*0.475*44/12</f>
        <v>8.0181650728241322E-2</v>
      </c>
      <c r="AW169" s="21">
        <f>EXP(-LN(2)/2)*AW168+(1-EXP(-LN(2)/2))/(LN(2)/2)*AQ169*AT169*VLOOKUP('Données projet'!$B$10,Paramètres!$A$1:$I$89,3,0)*0.475*44/12</f>
        <v>2.3501227659083335E-20</v>
      </c>
      <c r="AX169" s="21">
        <f t="shared" si="166"/>
        <v>8.0181650728241322E-2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-1.1368683772161603E-13</v>
      </c>
      <c r="BE169" s="13">
        <f>BD169*VLOOKUP('Données projet'!$B$11,Paramètres!$A$1:$I$89,3,0)*VLOOKUP('Données projet'!$B$11,Paramètres!$A$1:$I$89,5,0)</f>
        <v>-5.3205440053716299E-14</v>
      </c>
      <c r="BF169" s="13" t="e">
        <f t="shared" si="167"/>
        <v>#NUM!</v>
      </c>
      <c r="BG169" s="20" t="e">
        <f t="shared" si="168"/>
        <v>#NUM!</v>
      </c>
      <c r="BH169" s="59" t="e">
        <f t="shared" si="116"/>
        <v>#NUM!</v>
      </c>
      <c r="BI169" s="59">
        <f ca="1">AVERAGE(OFFSET($BH$3,0,0,'Données projet'!$E$11+1,1))-AVERAGE(OFFSET($H$3,0,0,'Données projet'!$E$11+1,1))</f>
        <v>215.23235148064941</v>
      </c>
      <c r="BJ169" s="59">
        <f t="shared" si="146"/>
        <v>184.07239726900434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0.21206208428735396</v>
      </c>
      <c r="BQ169" s="21">
        <f>EXP(-LN(2)/25)*BQ168+(1-EXP(-LN(2)/25))/(LN(2)/25)*Calculateur!BL169*Calculateur!BN169*VLOOKUP('Données projet'!$B$11,Paramètres!$A$1:$I$89,3,0)*0.475*44/12</f>
        <v>0.18095420757218345</v>
      </c>
      <c r="BR169" s="21">
        <f>EXP(-LN(2)/2)*BR168+(1-EXP(-LN(2)/2))/(LN(2)/2)*BL169*BO169*VLOOKUP('Données projet'!$B$11,Paramètres!$A$1:$I$89,3,0)*0.475*44/12</f>
        <v>3.3312709688118109E-20</v>
      </c>
      <c r="BS169" s="22">
        <f t="shared" si="169"/>
        <v>0.3930162918595374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 t="e">
        <f>BY169*VLOOKUP('Données projet'!$B$12,Paramètres!$A$1:$I$89,3,0)*VLOOKUP('Données projet'!$B$12,Paramètres!$A$1:$I$89,5,0)</f>
        <v>#N/A</v>
      </c>
      <c r="CA169" s="13" t="e">
        <f t="shared" si="170"/>
        <v>#N/A</v>
      </c>
      <c r="CB169" s="20" t="e">
        <f t="shared" si="171"/>
        <v>#N/A</v>
      </c>
      <c r="CC169" s="59" t="e">
        <f t="shared" si="119"/>
        <v>#N/A</v>
      </c>
      <c r="CD169" s="59" t="e">
        <f ca="1">AVERAGE(OFFSET($CC$3,0,0,'Données projet'!$E$12+1,1))-AVERAGE(OFFSET($H$3,0,0,'Données projet'!$E$12+1,1))</f>
        <v>#N/A</v>
      </c>
      <c r="CE169" s="59" t="e">
        <f t="shared" si="148"/>
        <v>#N/A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 t="e">
        <f>EXP(-LN(2)/35)*CK168+(1-EXP(-LN(2)/35))/(LN(2)/35)*CG169*CH169*VLOOKUP('Données projet'!$B$12,Paramètres!$A$1:$I$89,3,0)*0.475*44/12</f>
        <v>#N/A</v>
      </c>
      <c r="CL169" s="21" t="e">
        <f>EXP(-LN(2)/25)*CL168+(1-EXP(-LN(2)/25))/(LN(2)/25)*Calculateur!CG169*Calculateur!CI169*VLOOKUP('Données projet'!$B$12,Paramètres!$A$1:$I$89,3,0)*0.475*44/12</f>
        <v>#N/A</v>
      </c>
      <c r="CM169" s="21" t="e">
        <f>EXP(-LN(2)/2)*CM168+(1-EXP(-LN(2)/2))/(LN(2)/2)*CG169*CJ169*VLOOKUP('Données projet'!$B$12,Paramètres!$A$1:$I$89,3,0)*0.475*44/12</f>
        <v>#N/A</v>
      </c>
      <c r="CN169" s="22" t="e">
        <f t="shared" si="172"/>
        <v>#N/A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25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148.49639999999997</v>
      </c>
      <c r="D170" s="11">
        <f t="shared" si="140"/>
        <v>38.23668703199958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10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1441.4483911242071</v>
      </c>
      <c r="H170" s="67">
        <f t="shared" si="110"/>
        <v>618.56012658073257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-3.4106051316484809E-13</v>
      </c>
      <c r="O170" s="13">
        <f>N170*VLOOKUP('Données projet'!$B$9,Paramètres!$A$1:$I$89,3,0)*VLOOKUP('Données projet'!$B$9,Paramètres!$A$1:$I$89,5,0)</f>
        <v>-1.9065282685915009E-13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279.98352834501759</v>
      </c>
      <c r="T170" s="59">
        <f t="shared" si="142"/>
        <v>281.30062655265488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0.26510109275492133</v>
      </c>
      <c r="AA170" s="21">
        <f>EXP(-LN(2)/25)*AA169+(1-EXP(-LN(2)/25))/(LN(2)/25)*Calculateur!V170*Calculateur!X170*VLOOKUP('Données projet'!$B$9,Paramètres!$A$1:$I$89,3,0)*0.475*44/12</f>
        <v>0.5428180942093872</v>
      </c>
      <c r="AB170" s="21">
        <f>EXP(-LN(2)/2)*AB169+(1-EXP(-LN(2)/2))/(LN(2)/2)*V170*Y170*VLOOKUP('Données projet'!$B$9,Paramètres!$A$1:$I$89,3,0)*0.475*44/12</f>
        <v>6.7841382683649492E-20</v>
      </c>
      <c r="AC170" s="22">
        <f t="shared" si="163"/>
        <v>0.80791918696430853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-1.1368683772161603E-13</v>
      </c>
      <c r="AJ170" s="13">
        <f>AI170*VLOOKUP('Données projet'!$B$10,Paramètres!$A$1:$I$89,3,0)*VLOOKUP('Données projet'!$B$10,Paramètres!$A$1:$I$89,5,0)</f>
        <v>-1.1527845344971866E-13</v>
      </c>
      <c r="AK170" s="13" t="e">
        <f t="shared" si="164"/>
        <v>#NUM!</v>
      </c>
      <c r="AL170" s="20" t="e">
        <f t="shared" si="165"/>
        <v>#NUM!</v>
      </c>
      <c r="AM170" s="59" t="e">
        <f t="shared" si="113"/>
        <v>#NUM!</v>
      </c>
      <c r="AN170" s="59">
        <f ca="1">AVERAGE(OFFSET($AM$3,0,0,'Données projet'!$E$10+1,1))-AVERAGE(OFFSET($H$3,0,0,'Données projet'!$E$10+1,1))</f>
        <v>279.20364724206644</v>
      </c>
      <c r="AO170" s="59">
        <f t="shared" si="144"/>
        <v>173.99850582760712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0</v>
      </c>
      <c r="AV170" s="21">
        <f>EXP(-LN(2)/25)*AV169+(1-EXP(-LN(2)/25))/(LN(2)/25)*Calculateur!AQ170*Calculateur!AS170*VLOOKUP('Données projet'!$B$10,Paramètres!$A$1:$I$89,3,0)*0.475*44/12</f>
        <v>7.7989079272507811E-2</v>
      </c>
      <c r="AW170" s="21">
        <f>EXP(-LN(2)/2)*AW169+(1-EXP(-LN(2)/2))/(LN(2)/2)*AQ170*AT170*VLOOKUP('Données projet'!$B$10,Paramètres!$A$1:$I$89,3,0)*0.475*44/12</f>
        <v>1.6617877443946678E-20</v>
      </c>
      <c r="AX170" s="21">
        <f t="shared" si="166"/>
        <v>7.7989079272507811E-2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-1.1368683772161603E-13</v>
      </c>
      <c r="BE170" s="13">
        <f>BD170*VLOOKUP('Données projet'!$B$11,Paramètres!$A$1:$I$89,3,0)*VLOOKUP('Données projet'!$B$11,Paramètres!$A$1:$I$89,5,0)</f>
        <v>-5.3205440053716299E-14</v>
      </c>
      <c r="BF170" s="13" t="e">
        <f t="shared" si="167"/>
        <v>#NUM!</v>
      </c>
      <c r="BG170" s="20" t="e">
        <f t="shared" si="168"/>
        <v>#NUM!</v>
      </c>
      <c r="BH170" s="59" t="e">
        <f t="shared" si="116"/>
        <v>#NUM!</v>
      </c>
      <c r="BI170" s="59">
        <f ca="1">AVERAGE(OFFSET($BH$3,0,0,'Données projet'!$E$11+1,1))-AVERAGE(OFFSET($H$3,0,0,'Données projet'!$E$11+1,1))</f>
        <v>215.23235148064941</v>
      </c>
      <c r="BJ170" s="59">
        <f t="shared" si="146"/>
        <v>184.07239726900434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0.20790367615957858</v>
      </c>
      <c r="BQ170" s="21">
        <f>EXP(-LN(2)/25)*BQ169+(1-EXP(-LN(2)/25))/(LN(2)/25)*Calculateur!BL170*Calculateur!BN170*VLOOKUP('Données projet'!$B$11,Paramètres!$A$1:$I$89,3,0)*0.475*44/12</f>
        <v>0.17600600525015389</v>
      </c>
      <c r="BR170" s="21">
        <f>EXP(-LN(2)/2)*BR169+(1-EXP(-LN(2)/2))/(LN(2)/2)*BL170*BO170*VLOOKUP('Données projet'!$B$11,Paramètres!$A$1:$I$89,3,0)*0.475*44/12</f>
        <v>2.3555642920167114E-20</v>
      </c>
      <c r="BS170" s="22">
        <f t="shared" si="169"/>
        <v>0.38390968140973247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 t="e">
        <f>BY170*VLOOKUP('Données projet'!$B$12,Paramètres!$A$1:$I$89,3,0)*VLOOKUP('Données projet'!$B$12,Paramètres!$A$1:$I$89,5,0)</f>
        <v>#N/A</v>
      </c>
      <c r="CA170" s="13" t="e">
        <f t="shared" si="170"/>
        <v>#N/A</v>
      </c>
      <c r="CB170" s="20" t="e">
        <f t="shared" si="171"/>
        <v>#N/A</v>
      </c>
      <c r="CC170" s="59" t="e">
        <f t="shared" si="119"/>
        <v>#N/A</v>
      </c>
      <c r="CD170" s="59" t="e">
        <f ca="1">AVERAGE(OFFSET($CC$3,0,0,'Données projet'!$E$12+1,1))-AVERAGE(OFFSET($H$3,0,0,'Données projet'!$E$12+1,1))</f>
        <v>#N/A</v>
      </c>
      <c r="CE170" s="59" t="e">
        <f t="shared" si="148"/>
        <v>#N/A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 t="e">
        <f>EXP(-LN(2)/35)*CK169+(1-EXP(-LN(2)/35))/(LN(2)/35)*CG170*CH170*VLOOKUP('Données projet'!$B$12,Paramètres!$A$1:$I$89,3,0)*0.475*44/12</f>
        <v>#N/A</v>
      </c>
      <c r="CL170" s="21" t="e">
        <f>EXP(-LN(2)/25)*CL169+(1-EXP(-LN(2)/25))/(LN(2)/25)*Calculateur!CG170*Calculateur!CI170*VLOOKUP('Données projet'!$B$12,Paramètres!$A$1:$I$89,3,0)*0.475*44/12</f>
        <v>#N/A</v>
      </c>
      <c r="CM170" s="21" t="e">
        <f>EXP(-LN(2)/2)*CM169+(1-EXP(-LN(2)/2))/(LN(2)/2)*CG170*CJ170*VLOOKUP('Données projet'!$B$12,Paramètres!$A$1:$I$89,3,0)*0.475*44/12</f>
        <v>#N/A</v>
      </c>
      <c r="CN170" s="22" t="e">
        <f t="shared" si="172"/>
        <v>#N/A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25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149.38559999999995</v>
      </c>
      <c r="D171" s="11">
        <f t="shared" si="140"/>
        <v>38.438927680599591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10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1449.8735470081367</v>
      </c>
      <c r="H171" s="67">
        <f t="shared" si="110"/>
        <v>620.46105237704421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-3.4106051316484809E-13</v>
      </c>
      <c r="O171" s="13">
        <f>N171*VLOOKUP('Données projet'!$B$9,Paramètres!$A$1:$I$89,3,0)*VLOOKUP('Données projet'!$B$9,Paramètres!$A$1:$I$89,5,0)</f>
        <v>-1.9065282685915009E-13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279.98352834501759</v>
      </c>
      <c r="T171" s="59">
        <f t="shared" si="142"/>
        <v>281.30062655265488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0.25990262202169778</v>
      </c>
      <c r="AA171" s="21">
        <f>EXP(-LN(2)/25)*AA170+(1-EXP(-LN(2)/25))/(LN(2)/25)*Calculateur!V171*Calculateur!X171*VLOOKUP('Données projet'!$B$9,Paramètres!$A$1:$I$89,3,0)*0.475*44/12</f>
        <v>0.52797470487766851</v>
      </c>
      <c r="AB171" s="21">
        <f>EXP(-LN(2)/2)*AB170+(1-EXP(-LN(2)/2))/(LN(2)/2)*V171*Y171*VLOOKUP('Données projet'!$B$9,Paramètres!$A$1:$I$89,3,0)*0.475*44/12</f>
        <v>4.7971101740680176E-20</v>
      </c>
      <c r="AC171" s="22">
        <f t="shared" si="163"/>
        <v>0.78787732689936629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-1.1368683772161603E-13</v>
      </c>
      <c r="AJ171" s="13">
        <f>AI171*VLOOKUP('Données projet'!$B$10,Paramètres!$A$1:$I$89,3,0)*VLOOKUP('Données projet'!$B$10,Paramètres!$A$1:$I$89,5,0)</f>
        <v>-1.1527845344971866E-13</v>
      </c>
      <c r="AK171" s="13" t="e">
        <f t="shared" si="164"/>
        <v>#NUM!</v>
      </c>
      <c r="AL171" s="20" t="e">
        <f t="shared" si="165"/>
        <v>#NUM!</v>
      </c>
      <c r="AM171" s="59" t="e">
        <f t="shared" si="113"/>
        <v>#NUM!</v>
      </c>
      <c r="AN171" s="59">
        <f ca="1">AVERAGE(OFFSET($AM$3,0,0,'Données projet'!$E$10+1,1))-AVERAGE(OFFSET($H$3,0,0,'Données projet'!$E$10+1,1))</f>
        <v>279.20364724206644</v>
      </c>
      <c r="AO171" s="59">
        <f t="shared" si="144"/>
        <v>173.99850582760712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0</v>
      </c>
      <c r="AV171" s="21">
        <f>EXP(-LN(2)/25)*AV170+(1-EXP(-LN(2)/25))/(LN(2)/25)*Calculateur!AQ171*Calculateur!AS171*VLOOKUP('Données projet'!$B$10,Paramètres!$A$1:$I$89,3,0)*0.475*44/12</f>
        <v>7.5856463798533655E-2</v>
      </c>
      <c r="AW171" s="21">
        <f>EXP(-LN(2)/2)*AW170+(1-EXP(-LN(2)/2))/(LN(2)/2)*AQ171*AT171*VLOOKUP('Données projet'!$B$10,Paramètres!$A$1:$I$89,3,0)*0.475*44/12</f>
        <v>1.1750613829541668E-20</v>
      </c>
      <c r="AX171" s="21">
        <f t="shared" si="166"/>
        <v>7.5856463798533655E-2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-1.1368683772161603E-13</v>
      </c>
      <c r="BE171" s="13">
        <f>BD171*VLOOKUP('Données projet'!$B$11,Paramètres!$A$1:$I$89,3,0)*VLOOKUP('Données projet'!$B$11,Paramètres!$A$1:$I$89,5,0)</f>
        <v>-5.3205440053716299E-14</v>
      </c>
      <c r="BF171" s="13" t="e">
        <f t="shared" si="167"/>
        <v>#NUM!</v>
      </c>
      <c r="BG171" s="20" t="e">
        <f t="shared" si="168"/>
        <v>#NUM!</v>
      </c>
      <c r="BH171" s="59" t="e">
        <f t="shared" si="116"/>
        <v>#NUM!</v>
      </c>
      <c r="BI171" s="59">
        <f ca="1">AVERAGE(OFFSET($BH$3,0,0,'Données projet'!$E$11+1,1))-AVERAGE(OFFSET($H$3,0,0,'Données projet'!$E$11+1,1))</f>
        <v>215.23235148064941</v>
      </c>
      <c r="BJ171" s="59">
        <f t="shared" si="146"/>
        <v>184.07239726900434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0.20382681187881038</v>
      </c>
      <c r="BQ171" s="21">
        <f>EXP(-LN(2)/25)*BQ170+(1-EXP(-LN(2)/25))/(LN(2)/25)*Calculateur!BL171*Calculateur!BN171*VLOOKUP('Données projet'!$B$11,Paramètres!$A$1:$I$89,3,0)*0.475*44/12</f>
        <v>0.17119311178083488</v>
      </c>
      <c r="BR171" s="21">
        <f>EXP(-LN(2)/2)*BR170+(1-EXP(-LN(2)/2))/(LN(2)/2)*BL171*BO171*VLOOKUP('Données projet'!$B$11,Paramètres!$A$1:$I$89,3,0)*0.475*44/12</f>
        <v>1.6656354844059055E-20</v>
      </c>
      <c r="BS171" s="22">
        <f t="shared" si="169"/>
        <v>0.37501992365964526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 t="e">
        <f>BY171*VLOOKUP('Données projet'!$B$12,Paramètres!$A$1:$I$89,3,0)*VLOOKUP('Données projet'!$B$12,Paramètres!$A$1:$I$89,5,0)</f>
        <v>#N/A</v>
      </c>
      <c r="CA171" s="13" t="e">
        <f t="shared" si="170"/>
        <v>#N/A</v>
      </c>
      <c r="CB171" s="20" t="e">
        <f t="shared" si="171"/>
        <v>#N/A</v>
      </c>
      <c r="CC171" s="59" t="e">
        <f t="shared" si="119"/>
        <v>#N/A</v>
      </c>
      <c r="CD171" s="59" t="e">
        <f ca="1">AVERAGE(OFFSET($CC$3,0,0,'Données projet'!$E$12+1,1))-AVERAGE(OFFSET($H$3,0,0,'Données projet'!$E$12+1,1))</f>
        <v>#N/A</v>
      </c>
      <c r="CE171" s="59" t="e">
        <f t="shared" si="148"/>
        <v>#N/A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 t="e">
        <f>EXP(-LN(2)/35)*CK170+(1-EXP(-LN(2)/35))/(LN(2)/35)*CG171*CH171*VLOOKUP('Données projet'!$B$12,Paramètres!$A$1:$I$89,3,0)*0.475*44/12</f>
        <v>#N/A</v>
      </c>
      <c r="CL171" s="21" t="e">
        <f>EXP(-LN(2)/25)*CL170+(1-EXP(-LN(2)/25))/(LN(2)/25)*Calculateur!CG171*Calculateur!CI171*VLOOKUP('Données projet'!$B$12,Paramètres!$A$1:$I$89,3,0)*0.475*44/12</f>
        <v>#N/A</v>
      </c>
      <c r="CM171" s="21" t="e">
        <f>EXP(-LN(2)/2)*CM170+(1-EXP(-LN(2)/2))/(LN(2)/2)*CG171*CJ171*VLOOKUP('Données projet'!$B$12,Paramètres!$A$1:$I$89,3,0)*0.475*44/12</f>
        <v>#N/A</v>
      </c>
      <c r="CN171" s="22" t="e">
        <f t="shared" si="172"/>
        <v>#N/A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25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150.27479999999994</v>
      </c>
      <c r="D172" s="11">
        <f t="shared" si="140"/>
        <v>38.641028252978323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10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1458.2976216019376</v>
      </c>
      <c r="H172" s="67">
        <f t="shared" si="110"/>
        <v>622.36173420727039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-3.4106051316484809E-13</v>
      </c>
      <c r="O172" s="13">
        <f>N172*VLOOKUP('Données projet'!$B$9,Paramètres!$A$1:$I$89,3,0)*VLOOKUP('Données projet'!$B$9,Paramètres!$A$1:$I$89,5,0)</f>
        <v>-1.9065282685915009E-13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279.98352834501759</v>
      </c>
      <c r="T172" s="59">
        <f t="shared" si="142"/>
        <v>281.30062655265488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0.25480609012879868</v>
      </c>
      <c r="AA172" s="21">
        <f>EXP(-LN(2)/25)*AA171+(1-EXP(-LN(2)/25))/(LN(2)/25)*Calculateur!V172*Calculateur!X172*VLOOKUP('Données projet'!$B$9,Paramètres!$A$1:$I$89,3,0)*0.475*44/12</f>
        <v>0.51353720880780562</v>
      </c>
      <c r="AB172" s="21">
        <f>EXP(-LN(2)/2)*AB171+(1-EXP(-LN(2)/2))/(LN(2)/2)*V172*Y172*VLOOKUP('Données projet'!$B$9,Paramètres!$A$1:$I$89,3,0)*0.475*44/12</f>
        <v>3.3920691341824746E-20</v>
      </c>
      <c r="AC172" s="22">
        <f t="shared" si="163"/>
        <v>0.76834329893660436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-1.1368683772161603E-13</v>
      </c>
      <c r="AJ172" s="13">
        <f>AI172*VLOOKUP('Données projet'!$B$10,Paramètres!$A$1:$I$89,3,0)*VLOOKUP('Données projet'!$B$10,Paramètres!$A$1:$I$89,5,0)</f>
        <v>-1.1527845344971866E-13</v>
      </c>
      <c r="AK172" s="13" t="e">
        <f t="shared" si="164"/>
        <v>#NUM!</v>
      </c>
      <c r="AL172" s="20" t="e">
        <f t="shared" si="165"/>
        <v>#NUM!</v>
      </c>
      <c r="AM172" s="59" t="e">
        <f t="shared" si="113"/>
        <v>#NUM!</v>
      </c>
      <c r="AN172" s="59">
        <f ca="1">AVERAGE(OFFSET($AM$3,0,0,'Données projet'!$E$10+1,1))-AVERAGE(OFFSET($H$3,0,0,'Données projet'!$E$10+1,1))</f>
        <v>279.20364724206644</v>
      </c>
      <c r="AO172" s="59">
        <f t="shared" si="144"/>
        <v>173.99850582760712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0</v>
      </c>
      <c r="AV172" s="21">
        <f>EXP(-LN(2)/25)*AV171+(1-EXP(-LN(2)/25))/(LN(2)/25)*Calculateur!AQ172*Calculateur!AS172*VLOOKUP('Données projet'!$B$10,Paramètres!$A$1:$I$89,3,0)*0.475*44/12</f>
        <v>7.3782164806844699E-2</v>
      </c>
      <c r="AW172" s="21">
        <f>EXP(-LN(2)/2)*AW171+(1-EXP(-LN(2)/2))/(LN(2)/2)*AQ172*AT172*VLOOKUP('Données projet'!$B$10,Paramètres!$A$1:$I$89,3,0)*0.475*44/12</f>
        <v>8.3089387219733392E-21</v>
      </c>
      <c r="AX172" s="21">
        <f t="shared" si="166"/>
        <v>7.3782164806844699E-2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-1.1368683772161603E-13</v>
      </c>
      <c r="BE172" s="13">
        <f>BD172*VLOOKUP('Données projet'!$B$11,Paramètres!$A$1:$I$89,3,0)*VLOOKUP('Données projet'!$B$11,Paramètres!$A$1:$I$89,5,0)</f>
        <v>-5.3205440053716299E-14</v>
      </c>
      <c r="BF172" s="13" t="e">
        <f t="shared" si="167"/>
        <v>#NUM!</v>
      </c>
      <c r="BG172" s="20" t="e">
        <f t="shared" si="168"/>
        <v>#NUM!</v>
      </c>
      <c r="BH172" s="59" t="e">
        <f t="shared" si="116"/>
        <v>#NUM!</v>
      </c>
      <c r="BI172" s="59">
        <f ca="1">AVERAGE(OFFSET($BH$3,0,0,'Données projet'!$E$11+1,1))-AVERAGE(OFFSET($H$3,0,0,'Données projet'!$E$11+1,1))</f>
        <v>215.23235148064941</v>
      </c>
      <c r="BJ172" s="59">
        <f t="shared" si="146"/>
        <v>184.07239726900434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0.19982989241994636</v>
      </c>
      <c r="BQ172" s="21">
        <f>EXP(-LN(2)/25)*BQ171+(1-EXP(-LN(2)/25))/(LN(2)/25)*Calculateur!BL172*Calculateur!BN172*VLOOKUP('Données projet'!$B$11,Paramètres!$A$1:$I$89,3,0)*0.475*44/12</f>
        <v>0.16651182713653348</v>
      </c>
      <c r="BR172" s="21">
        <f>EXP(-LN(2)/2)*BR171+(1-EXP(-LN(2)/2))/(LN(2)/2)*BL172*BO172*VLOOKUP('Données projet'!$B$11,Paramètres!$A$1:$I$89,3,0)*0.475*44/12</f>
        <v>1.1777821460083557E-20</v>
      </c>
      <c r="BS172" s="22">
        <f t="shared" si="169"/>
        <v>0.36634171955647987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 t="e">
        <f>BY172*VLOOKUP('Données projet'!$B$12,Paramètres!$A$1:$I$89,3,0)*VLOOKUP('Données projet'!$B$12,Paramètres!$A$1:$I$89,5,0)</f>
        <v>#N/A</v>
      </c>
      <c r="CA172" s="13" t="e">
        <f t="shared" si="170"/>
        <v>#N/A</v>
      </c>
      <c r="CB172" s="20" t="e">
        <f t="shared" si="171"/>
        <v>#N/A</v>
      </c>
      <c r="CC172" s="59" t="e">
        <f t="shared" si="119"/>
        <v>#N/A</v>
      </c>
      <c r="CD172" s="59" t="e">
        <f ca="1">AVERAGE(OFFSET($CC$3,0,0,'Données projet'!$E$12+1,1))-AVERAGE(OFFSET($H$3,0,0,'Données projet'!$E$12+1,1))</f>
        <v>#N/A</v>
      </c>
      <c r="CE172" s="59" t="e">
        <f t="shared" si="148"/>
        <v>#N/A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 t="e">
        <f>EXP(-LN(2)/35)*CK171+(1-EXP(-LN(2)/35))/(LN(2)/35)*CG172*CH172*VLOOKUP('Données projet'!$B$12,Paramètres!$A$1:$I$89,3,0)*0.475*44/12</f>
        <v>#N/A</v>
      </c>
      <c r="CL172" s="21" t="e">
        <f>EXP(-LN(2)/25)*CL171+(1-EXP(-LN(2)/25))/(LN(2)/25)*Calculateur!CG172*Calculateur!CI172*VLOOKUP('Données projet'!$B$12,Paramètres!$A$1:$I$89,3,0)*0.475*44/12</f>
        <v>#N/A</v>
      </c>
      <c r="CM172" s="21" t="e">
        <f>EXP(-LN(2)/2)*CM171+(1-EXP(-LN(2)/2))/(LN(2)/2)*CG172*CJ172*VLOOKUP('Données projet'!$B$12,Paramètres!$A$1:$I$89,3,0)*0.475*44/12</f>
        <v>#N/A</v>
      </c>
      <c r="CN172" s="22" t="e">
        <f t="shared" si="172"/>
        <v>#N/A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25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151.16399999999993</v>
      </c>
      <c r="D173" s="11">
        <f t="shared" si="140"/>
        <v>38.842989674159945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10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1466.7206220461464</v>
      </c>
      <c r="H173" s="67">
        <f t="shared" si="110"/>
        <v>624.26217368249513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-3.4106051316484809E-13</v>
      </c>
      <c r="O173" s="13">
        <f>N173*VLOOKUP('Données projet'!$B$9,Paramètres!$A$1:$I$89,3,0)*VLOOKUP('Données projet'!$B$9,Paramètres!$A$1:$I$89,5,0)</f>
        <v>-1.9065282685915009E-13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279.98352834501759</v>
      </c>
      <c r="T173" s="59">
        <f t="shared" si="142"/>
        <v>281.30062655265488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0.24980949811774183</v>
      </c>
      <c r="AA173" s="21">
        <f>EXP(-LN(2)/25)*AA172+(1-EXP(-LN(2)/25))/(LN(2)/25)*Calculateur!V173*Calculateur!X173*VLOOKUP('Données projet'!$B$9,Paramètres!$A$1:$I$89,3,0)*0.475*44/12</f>
        <v>0.49949450682720808</v>
      </c>
      <c r="AB173" s="21">
        <f>EXP(-LN(2)/2)*AB172+(1-EXP(-LN(2)/2))/(LN(2)/2)*V173*Y173*VLOOKUP('Données projet'!$B$9,Paramètres!$A$1:$I$89,3,0)*0.475*44/12</f>
        <v>2.3985550870340088E-20</v>
      </c>
      <c r="AC173" s="22">
        <f t="shared" si="163"/>
        <v>0.74930400494494998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-1.1368683772161603E-13</v>
      </c>
      <c r="AJ173" s="13">
        <f>AI173*VLOOKUP('Données projet'!$B$10,Paramètres!$A$1:$I$89,3,0)*VLOOKUP('Données projet'!$B$10,Paramètres!$A$1:$I$89,5,0)</f>
        <v>-1.1527845344971866E-13</v>
      </c>
      <c r="AK173" s="13" t="e">
        <f t="shared" si="164"/>
        <v>#NUM!</v>
      </c>
      <c r="AL173" s="20" t="e">
        <f t="shared" si="165"/>
        <v>#NUM!</v>
      </c>
      <c r="AM173" s="59" t="e">
        <f t="shared" si="113"/>
        <v>#NUM!</v>
      </c>
      <c r="AN173" s="59">
        <f ca="1">AVERAGE(OFFSET($AM$3,0,0,'Données projet'!$E$10+1,1))-AVERAGE(OFFSET($H$3,0,0,'Données projet'!$E$10+1,1))</f>
        <v>279.20364724206644</v>
      </c>
      <c r="AO173" s="59">
        <f t="shared" si="144"/>
        <v>173.99850582760712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0</v>
      </c>
      <c r="AV173" s="21">
        <f>EXP(-LN(2)/25)*AV172+(1-EXP(-LN(2)/25))/(LN(2)/25)*Calculateur!AQ173*Calculateur!AS173*VLOOKUP('Données projet'!$B$10,Paramètres!$A$1:$I$89,3,0)*0.475*44/12</f>
        <v>7.1764587630166118E-2</v>
      </c>
      <c r="AW173" s="21">
        <f>EXP(-LN(2)/2)*AW172+(1-EXP(-LN(2)/2))/(LN(2)/2)*AQ173*AT173*VLOOKUP('Données projet'!$B$10,Paramètres!$A$1:$I$89,3,0)*0.475*44/12</f>
        <v>5.8753069147708338E-21</v>
      </c>
      <c r="AX173" s="21">
        <f t="shared" si="166"/>
        <v>7.1764587630166118E-2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-1.1368683772161603E-13</v>
      </c>
      <c r="BE173" s="13">
        <f>BD173*VLOOKUP('Données projet'!$B$11,Paramètres!$A$1:$I$89,3,0)*VLOOKUP('Données projet'!$B$11,Paramètres!$A$1:$I$89,5,0)</f>
        <v>-5.3205440053716299E-14</v>
      </c>
      <c r="BF173" s="13" t="e">
        <f t="shared" si="167"/>
        <v>#NUM!</v>
      </c>
      <c r="BG173" s="20" t="e">
        <f t="shared" si="168"/>
        <v>#NUM!</v>
      </c>
      <c r="BH173" s="59" t="e">
        <f t="shared" si="116"/>
        <v>#NUM!</v>
      </c>
      <c r="BI173" s="59">
        <f ca="1">AVERAGE(OFFSET($BH$3,0,0,'Données projet'!$E$11+1,1))-AVERAGE(OFFSET($H$3,0,0,'Données projet'!$E$11+1,1))</f>
        <v>215.23235148064941</v>
      </c>
      <c r="BJ173" s="59">
        <f t="shared" si="146"/>
        <v>184.07239726900434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0.19591135011379052</v>
      </c>
      <c r="BQ173" s="21">
        <f>EXP(-LN(2)/25)*BQ172+(1-EXP(-LN(2)/25))/(LN(2)/25)*Calculateur!BL173*Calculateur!BN173*VLOOKUP('Données projet'!$B$11,Paramètres!$A$1:$I$89,3,0)*0.475*44/12</f>
        <v>0.16195855246700855</v>
      </c>
      <c r="BR173" s="21">
        <f>EXP(-LN(2)/2)*BR172+(1-EXP(-LN(2)/2))/(LN(2)/2)*BL173*BO173*VLOOKUP('Données projet'!$B$11,Paramètres!$A$1:$I$89,3,0)*0.475*44/12</f>
        <v>8.3281774220295273E-21</v>
      </c>
      <c r="BS173" s="22">
        <f t="shared" si="169"/>
        <v>0.35786990258079909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 t="e">
        <f>BY173*VLOOKUP('Données projet'!$B$12,Paramètres!$A$1:$I$89,3,0)*VLOOKUP('Données projet'!$B$12,Paramètres!$A$1:$I$89,5,0)</f>
        <v>#N/A</v>
      </c>
      <c r="CA173" s="13" t="e">
        <f t="shared" si="170"/>
        <v>#N/A</v>
      </c>
      <c r="CB173" s="20" t="e">
        <f t="shared" si="171"/>
        <v>#N/A</v>
      </c>
      <c r="CC173" s="59" t="e">
        <f t="shared" si="119"/>
        <v>#N/A</v>
      </c>
      <c r="CD173" s="59" t="e">
        <f ca="1">AVERAGE(OFFSET($CC$3,0,0,'Données projet'!$E$12+1,1))-AVERAGE(OFFSET($H$3,0,0,'Données projet'!$E$12+1,1))</f>
        <v>#N/A</v>
      </c>
      <c r="CE173" s="59" t="e">
        <f t="shared" si="148"/>
        <v>#N/A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 t="e">
        <f>EXP(-LN(2)/35)*CK172+(1-EXP(-LN(2)/35))/(LN(2)/35)*CG173*CH173*VLOOKUP('Données projet'!$B$12,Paramètres!$A$1:$I$89,3,0)*0.475*44/12</f>
        <v>#N/A</v>
      </c>
      <c r="CL173" s="21" t="e">
        <f>EXP(-LN(2)/25)*CL172+(1-EXP(-LN(2)/25))/(LN(2)/25)*Calculateur!CG173*Calculateur!CI173*VLOOKUP('Données projet'!$B$12,Paramètres!$A$1:$I$89,3,0)*0.475*44/12</f>
        <v>#N/A</v>
      </c>
      <c r="CM173" s="21" t="e">
        <f>EXP(-LN(2)/2)*CM172+(1-EXP(-LN(2)/2))/(LN(2)/2)*CG173*CJ173*VLOOKUP('Données projet'!$B$12,Paramètres!$A$1:$I$89,3,0)*0.475*44/12</f>
        <v>#N/A</v>
      </c>
      <c r="CN173" s="22" t="e">
        <f t="shared" si="172"/>
        <v>#N/A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25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152.05319999999992</v>
      </c>
      <c r="D174" s="11">
        <f t="shared" si="140"/>
        <v>39.044812857656339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10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1475.1425553924346</v>
      </c>
      <c r="H174" s="67">
        <f t="shared" si="110"/>
        <v>626.1623723937513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-3.4106051316484809E-13</v>
      </c>
      <c r="O174" s="13">
        <f>N174*VLOOKUP('Données projet'!$B$9,Paramètres!$A$1:$I$89,3,0)*VLOOKUP('Données projet'!$B$9,Paramètres!$A$1:$I$89,5,0)</f>
        <v>-1.9065282685915009E-13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279.98352834501759</v>
      </c>
      <c r="T174" s="59">
        <f t="shared" si="142"/>
        <v>281.30062655265488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0.2449108862284016</v>
      </c>
      <c r="AA174" s="21">
        <f>EXP(-LN(2)/25)*AA173+(1-EXP(-LN(2)/25))/(LN(2)/25)*Calculateur!V174*Calculateur!X174*VLOOKUP('Données projet'!$B$9,Paramètres!$A$1:$I$89,3,0)*0.475*44/12</f>
        <v>0.48583580327074355</v>
      </c>
      <c r="AB174" s="21">
        <f>EXP(-LN(2)/2)*AB173+(1-EXP(-LN(2)/2))/(LN(2)/2)*V174*Y174*VLOOKUP('Données projet'!$B$9,Paramètres!$A$1:$I$89,3,0)*0.475*44/12</f>
        <v>1.6960345670912373E-20</v>
      </c>
      <c r="AC174" s="22">
        <f t="shared" si="163"/>
        <v>0.73074668949914512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-1.1368683772161603E-13</v>
      </c>
      <c r="AJ174" s="13">
        <f>AI174*VLOOKUP('Données projet'!$B$10,Paramètres!$A$1:$I$89,3,0)*VLOOKUP('Données projet'!$B$10,Paramètres!$A$1:$I$89,5,0)</f>
        <v>-1.1527845344971866E-13</v>
      </c>
      <c r="AK174" s="13" t="e">
        <f t="shared" si="164"/>
        <v>#NUM!</v>
      </c>
      <c r="AL174" s="20" t="e">
        <f t="shared" si="165"/>
        <v>#NUM!</v>
      </c>
      <c r="AM174" s="59" t="e">
        <f t="shared" si="113"/>
        <v>#NUM!</v>
      </c>
      <c r="AN174" s="59">
        <f ca="1">AVERAGE(OFFSET($AM$3,0,0,'Données projet'!$E$10+1,1))-AVERAGE(OFFSET($H$3,0,0,'Données projet'!$E$10+1,1))</f>
        <v>279.20364724206644</v>
      </c>
      <c r="AO174" s="59">
        <f t="shared" si="144"/>
        <v>173.99850582760712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0</v>
      </c>
      <c r="AV174" s="21">
        <f>EXP(-LN(2)/25)*AV173+(1-EXP(-LN(2)/25))/(LN(2)/25)*Calculateur!AQ174*Calculateur!AS174*VLOOKUP('Données projet'!$B$10,Paramètres!$A$1:$I$89,3,0)*0.475*44/12</f>
        <v>6.9802181207483577E-2</v>
      </c>
      <c r="AW174" s="21">
        <f>EXP(-LN(2)/2)*AW173+(1-EXP(-LN(2)/2))/(LN(2)/2)*AQ174*AT174*VLOOKUP('Données projet'!$B$10,Paramètres!$A$1:$I$89,3,0)*0.475*44/12</f>
        <v>4.1544693609866696E-21</v>
      </c>
      <c r="AX174" s="21">
        <f t="shared" si="166"/>
        <v>6.9802181207483577E-2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-1.1368683772161603E-13</v>
      </c>
      <c r="BE174" s="13">
        <f>BD174*VLOOKUP('Données projet'!$B$11,Paramètres!$A$1:$I$89,3,0)*VLOOKUP('Données projet'!$B$11,Paramètres!$A$1:$I$89,5,0)</f>
        <v>-5.3205440053716299E-14</v>
      </c>
      <c r="BF174" s="13" t="e">
        <f t="shared" si="167"/>
        <v>#NUM!</v>
      </c>
      <c r="BG174" s="20" t="e">
        <f t="shared" si="168"/>
        <v>#NUM!</v>
      </c>
      <c r="BH174" s="59" t="e">
        <f t="shared" si="116"/>
        <v>#NUM!</v>
      </c>
      <c r="BI174" s="59">
        <f ca="1">AVERAGE(OFFSET($BH$3,0,0,'Données projet'!$E$11+1,1))-AVERAGE(OFFSET($H$3,0,0,'Données projet'!$E$11+1,1))</f>
        <v>215.23235148064941</v>
      </c>
      <c r="BJ174" s="59">
        <f t="shared" si="146"/>
        <v>184.07239726900434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0.1920696480321836</v>
      </c>
      <c r="BQ174" s="21">
        <f>EXP(-LN(2)/25)*BQ173+(1-EXP(-LN(2)/25))/(LN(2)/25)*Calculateur!BL174*Calculateur!BN174*VLOOKUP('Données projet'!$B$11,Paramètres!$A$1:$I$89,3,0)*0.475*44/12</f>
        <v>0.1575297873327681</v>
      </c>
      <c r="BR174" s="21">
        <f>EXP(-LN(2)/2)*BR173+(1-EXP(-LN(2)/2))/(LN(2)/2)*BL174*BO174*VLOOKUP('Données projet'!$B$11,Paramètres!$A$1:$I$89,3,0)*0.475*44/12</f>
        <v>5.8889107300417785E-21</v>
      </c>
      <c r="BS174" s="22">
        <f t="shared" si="169"/>
        <v>0.34959943536495169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 t="e">
        <f>BY174*VLOOKUP('Données projet'!$B$12,Paramètres!$A$1:$I$89,3,0)*VLOOKUP('Données projet'!$B$12,Paramètres!$A$1:$I$89,5,0)</f>
        <v>#N/A</v>
      </c>
      <c r="CA174" s="13" t="e">
        <f t="shared" si="170"/>
        <v>#N/A</v>
      </c>
      <c r="CB174" s="20" t="e">
        <f t="shared" si="171"/>
        <v>#N/A</v>
      </c>
      <c r="CC174" s="59" t="e">
        <f t="shared" si="119"/>
        <v>#N/A</v>
      </c>
      <c r="CD174" s="59" t="e">
        <f ca="1">AVERAGE(OFFSET($CC$3,0,0,'Données projet'!$E$12+1,1))-AVERAGE(OFFSET($H$3,0,0,'Données projet'!$E$12+1,1))</f>
        <v>#N/A</v>
      </c>
      <c r="CE174" s="59" t="e">
        <f t="shared" si="148"/>
        <v>#N/A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 t="e">
        <f>EXP(-LN(2)/35)*CK173+(1-EXP(-LN(2)/35))/(LN(2)/35)*CG174*CH174*VLOOKUP('Données projet'!$B$12,Paramètres!$A$1:$I$89,3,0)*0.475*44/12</f>
        <v>#N/A</v>
      </c>
      <c r="CL174" s="21" t="e">
        <f>EXP(-LN(2)/25)*CL173+(1-EXP(-LN(2)/25))/(LN(2)/25)*Calculateur!CG174*Calculateur!CI174*VLOOKUP('Données projet'!$B$12,Paramètres!$A$1:$I$89,3,0)*0.475*44/12</f>
        <v>#N/A</v>
      </c>
      <c r="CM174" s="21" t="e">
        <f>EXP(-LN(2)/2)*CM173+(1-EXP(-LN(2)/2))/(LN(2)/2)*CG174*CJ174*VLOOKUP('Données projet'!$B$12,Paramètres!$A$1:$I$89,3,0)*0.475*44/12</f>
        <v>#N/A</v>
      </c>
      <c r="CN174" s="22" t="e">
        <f t="shared" si="172"/>
        <v>#N/A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25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152.94239999999991</v>
      </c>
      <c r="D175" s="11">
        <f t="shared" si="140"/>
        <v>39.246498705676842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10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1483.5634286052243</v>
      </c>
      <c r="H175" s="67">
        <f t="shared" si="110"/>
        <v>628.06233191238698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-3.4106051316484809E-13</v>
      </c>
      <c r="O175" s="13">
        <f>N175*VLOOKUP('Données projet'!$B$9,Paramètres!$A$1:$I$89,3,0)*VLOOKUP('Données projet'!$B$9,Paramètres!$A$1:$I$89,5,0)</f>
        <v>-1.9065282685915009E-13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279.98352834501759</v>
      </c>
      <c r="T175" s="59">
        <f t="shared" si="142"/>
        <v>281.30062655265488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0.2401083331303531</v>
      </c>
      <c r="AA175" s="21">
        <f>EXP(-LN(2)/25)*AA174+(1-EXP(-LN(2)/25))/(LN(2)/25)*Calculateur!V175*Calculateur!X175*VLOOKUP('Données projet'!$B$9,Paramètres!$A$1:$I$89,3,0)*0.475*44/12</f>
        <v>0.47255059768131058</v>
      </c>
      <c r="AB175" s="21">
        <f>EXP(-LN(2)/2)*AB174+(1-EXP(-LN(2)/2))/(LN(2)/2)*V175*Y175*VLOOKUP('Données projet'!$B$9,Paramètres!$A$1:$I$89,3,0)*0.475*44/12</f>
        <v>1.1992775435170044E-20</v>
      </c>
      <c r="AC175" s="22">
        <f t="shared" si="163"/>
        <v>0.71265893081166365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-1.1368683772161603E-13</v>
      </c>
      <c r="AJ175" s="13">
        <f>AI175*VLOOKUP('Données projet'!$B$10,Paramètres!$A$1:$I$89,3,0)*VLOOKUP('Données projet'!$B$10,Paramètres!$A$1:$I$89,5,0)</f>
        <v>-1.1527845344971866E-13</v>
      </c>
      <c r="AK175" s="13" t="e">
        <f t="shared" si="164"/>
        <v>#NUM!</v>
      </c>
      <c r="AL175" s="20" t="e">
        <f t="shared" si="165"/>
        <v>#NUM!</v>
      </c>
      <c r="AM175" s="59" t="e">
        <f t="shared" si="113"/>
        <v>#NUM!</v>
      </c>
      <c r="AN175" s="59">
        <f ca="1">AVERAGE(OFFSET($AM$3,0,0,'Données projet'!$E$10+1,1))-AVERAGE(OFFSET($H$3,0,0,'Données projet'!$E$10+1,1))</f>
        <v>279.20364724206644</v>
      </c>
      <c r="AO175" s="59">
        <f t="shared" si="144"/>
        <v>173.99850582760712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0</v>
      </c>
      <c r="AV175" s="21">
        <f>EXP(-LN(2)/25)*AV174+(1-EXP(-LN(2)/25))/(LN(2)/25)*Calculateur!AQ175*Calculateur!AS175*VLOOKUP('Données projet'!$B$10,Paramètres!$A$1:$I$89,3,0)*0.475*44/12</f>
        <v>6.7893436891627759E-2</v>
      </c>
      <c r="AW175" s="21">
        <f>EXP(-LN(2)/2)*AW174+(1-EXP(-LN(2)/2))/(LN(2)/2)*AQ175*AT175*VLOOKUP('Données projet'!$B$10,Paramètres!$A$1:$I$89,3,0)*0.475*44/12</f>
        <v>2.9376534573854169E-21</v>
      </c>
      <c r="AX175" s="21">
        <f t="shared" si="166"/>
        <v>6.7893436891627759E-2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-1.1368683772161603E-13</v>
      </c>
      <c r="BE175" s="13">
        <f>BD175*VLOOKUP('Données projet'!$B$11,Paramètres!$A$1:$I$89,3,0)*VLOOKUP('Données projet'!$B$11,Paramètres!$A$1:$I$89,5,0)</f>
        <v>-5.3205440053716299E-14</v>
      </c>
      <c r="BF175" s="13" t="e">
        <f t="shared" si="167"/>
        <v>#NUM!</v>
      </c>
      <c r="BG175" s="20" t="e">
        <f t="shared" si="168"/>
        <v>#NUM!</v>
      </c>
      <c r="BH175" s="59" t="e">
        <f t="shared" si="116"/>
        <v>#NUM!</v>
      </c>
      <c r="BI175" s="59">
        <f ca="1">AVERAGE(OFFSET($BH$3,0,0,'Données projet'!$E$11+1,1))-AVERAGE(OFFSET($H$3,0,0,'Données projet'!$E$11+1,1))</f>
        <v>215.23235148064941</v>
      </c>
      <c r="BJ175" s="59">
        <f t="shared" si="146"/>
        <v>184.07239726900434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0.18830327938519009</v>
      </c>
      <c r="BQ175" s="21">
        <f>EXP(-LN(2)/25)*BQ174+(1-EXP(-LN(2)/25))/(LN(2)/25)*Calculateur!BL175*Calculateur!BN175*VLOOKUP('Données projet'!$B$11,Paramètres!$A$1:$I$89,3,0)*0.475*44/12</f>
        <v>0.15322212701402207</v>
      </c>
      <c r="BR175" s="21">
        <f>EXP(-LN(2)/2)*BR174+(1-EXP(-LN(2)/2))/(LN(2)/2)*BL175*BO175*VLOOKUP('Données projet'!$B$11,Paramètres!$A$1:$I$89,3,0)*0.475*44/12</f>
        <v>4.1640887110147636E-21</v>
      </c>
      <c r="BS175" s="22">
        <f t="shared" si="169"/>
        <v>0.34152540639921214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 t="e">
        <f>BY175*VLOOKUP('Données projet'!$B$12,Paramètres!$A$1:$I$89,3,0)*VLOOKUP('Données projet'!$B$12,Paramètres!$A$1:$I$89,5,0)</f>
        <v>#N/A</v>
      </c>
      <c r="CA175" s="13" t="e">
        <f t="shared" si="170"/>
        <v>#N/A</v>
      </c>
      <c r="CB175" s="20" t="e">
        <f t="shared" si="171"/>
        <v>#N/A</v>
      </c>
      <c r="CC175" s="59" t="e">
        <f t="shared" si="119"/>
        <v>#N/A</v>
      </c>
      <c r="CD175" s="59" t="e">
        <f ca="1">AVERAGE(OFFSET($CC$3,0,0,'Données projet'!$E$12+1,1))-AVERAGE(OFFSET($H$3,0,0,'Données projet'!$E$12+1,1))</f>
        <v>#N/A</v>
      </c>
      <c r="CE175" s="59" t="e">
        <f t="shared" si="148"/>
        <v>#N/A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 t="e">
        <f>EXP(-LN(2)/35)*CK174+(1-EXP(-LN(2)/35))/(LN(2)/35)*CG175*CH175*VLOOKUP('Données projet'!$B$12,Paramètres!$A$1:$I$89,3,0)*0.475*44/12</f>
        <v>#N/A</v>
      </c>
      <c r="CL175" s="21" t="e">
        <f>EXP(-LN(2)/25)*CL174+(1-EXP(-LN(2)/25))/(LN(2)/25)*Calculateur!CG175*Calculateur!CI175*VLOOKUP('Données projet'!$B$12,Paramètres!$A$1:$I$89,3,0)*0.475*44/12</f>
        <v>#N/A</v>
      </c>
      <c r="CM175" s="21" t="e">
        <f>EXP(-LN(2)/2)*CM174+(1-EXP(-LN(2)/2))/(LN(2)/2)*CG175*CJ175*VLOOKUP('Données projet'!$B$12,Paramètres!$A$1:$I$89,3,0)*0.475*44/12</f>
        <v>#N/A</v>
      </c>
      <c r="CN175" s="22" t="e">
        <f t="shared" si="172"/>
        <v>#N/A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25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153.8315999999999</v>
      </c>
      <c r="D176" s="11">
        <f t="shared" si="140"/>
        <v>39.448048109333072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10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1491.9832485632724</v>
      </c>
      <c r="H176" s="67">
        <f t="shared" si="110"/>
        <v>629.96205379042158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-3.4106051316484809E-13</v>
      </c>
      <c r="O176" s="13">
        <f>N176*VLOOKUP('Données projet'!$B$9,Paramètres!$A$1:$I$89,3,0)*VLOOKUP('Données projet'!$B$9,Paramètres!$A$1:$I$89,5,0)</f>
        <v>-1.9065282685915009E-13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279.98352834501759</v>
      </c>
      <c r="T176" s="59">
        <f t="shared" si="142"/>
        <v>281.30062655265488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0.23539995516928919</v>
      </c>
      <c r="AA176" s="21">
        <f>EXP(-LN(2)/25)*AA175+(1-EXP(-LN(2)/25))/(LN(2)/25)*Calculateur!V176*Calculateur!X176*VLOOKUP('Données projet'!$B$9,Paramètres!$A$1:$I$89,3,0)*0.475*44/12</f>
        <v>0.45962867673735924</v>
      </c>
      <c r="AB176" s="21">
        <f>EXP(-LN(2)/2)*AB175+(1-EXP(-LN(2)/2))/(LN(2)/2)*V176*Y176*VLOOKUP('Données projet'!$B$9,Paramètres!$A$1:$I$89,3,0)*0.475*44/12</f>
        <v>8.4801728354561865E-21</v>
      </c>
      <c r="AC176" s="22">
        <f t="shared" si="163"/>
        <v>0.69502863190664843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-1.1368683772161603E-13</v>
      </c>
      <c r="AJ176" s="13">
        <f>AI176*VLOOKUP('Données projet'!$B$10,Paramètres!$A$1:$I$89,3,0)*VLOOKUP('Données projet'!$B$10,Paramètres!$A$1:$I$89,5,0)</f>
        <v>-1.1527845344971866E-13</v>
      </c>
      <c r="AK176" s="13" t="e">
        <f t="shared" si="164"/>
        <v>#NUM!</v>
      </c>
      <c r="AL176" s="20" t="e">
        <f t="shared" si="165"/>
        <v>#NUM!</v>
      </c>
      <c r="AM176" s="59" t="e">
        <f t="shared" si="113"/>
        <v>#NUM!</v>
      </c>
      <c r="AN176" s="59">
        <f ca="1">AVERAGE(OFFSET($AM$3,0,0,'Données projet'!$E$10+1,1))-AVERAGE(OFFSET($H$3,0,0,'Données projet'!$E$10+1,1))</f>
        <v>279.20364724206644</v>
      </c>
      <c r="AO176" s="59">
        <f t="shared" si="144"/>
        <v>173.99850582760712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0</v>
      </c>
      <c r="AV176" s="21">
        <f>EXP(-LN(2)/25)*AV175+(1-EXP(-LN(2)/25))/(LN(2)/25)*Calculateur!AQ176*Calculateur!AS176*VLOOKUP('Données projet'!$B$10,Paramètres!$A$1:$I$89,3,0)*0.475*44/12</f>
        <v>6.6036887289465523E-2</v>
      </c>
      <c r="AW176" s="21">
        <f>EXP(-LN(2)/2)*AW175+(1-EXP(-LN(2)/2))/(LN(2)/2)*AQ176*AT176*VLOOKUP('Données projet'!$B$10,Paramètres!$A$1:$I$89,3,0)*0.475*44/12</f>
        <v>2.0772346804933348E-21</v>
      </c>
      <c r="AX176" s="21">
        <f t="shared" si="166"/>
        <v>6.6036887289465523E-2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-1.1368683772161603E-13</v>
      </c>
      <c r="BE176" s="13">
        <f>BD176*VLOOKUP('Données projet'!$B$11,Paramètres!$A$1:$I$89,3,0)*VLOOKUP('Données projet'!$B$11,Paramètres!$A$1:$I$89,5,0)</f>
        <v>-5.3205440053716299E-14</v>
      </c>
      <c r="BF176" s="13" t="e">
        <f t="shared" si="167"/>
        <v>#NUM!</v>
      </c>
      <c r="BG176" s="20" t="e">
        <f t="shared" si="168"/>
        <v>#NUM!</v>
      </c>
      <c r="BH176" s="59" t="e">
        <f t="shared" si="116"/>
        <v>#NUM!</v>
      </c>
      <c r="BI176" s="59">
        <f ca="1">AVERAGE(OFFSET($BH$3,0,0,'Données projet'!$E$11+1,1))-AVERAGE(OFFSET($H$3,0,0,'Données projet'!$E$11+1,1))</f>
        <v>215.23235148064941</v>
      </c>
      <c r="BJ176" s="59">
        <f t="shared" si="146"/>
        <v>184.07239726900434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0.18461076693010608</v>
      </c>
      <c r="BQ176" s="21">
        <f>EXP(-LN(2)/25)*BQ175+(1-EXP(-LN(2)/25))/(LN(2)/25)*Calculateur!BL176*Calculateur!BN176*VLOOKUP('Données projet'!$B$11,Paramètres!$A$1:$I$89,3,0)*0.475*44/12</f>
        <v>0.14903225989322216</v>
      </c>
      <c r="BR176" s="21">
        <f>EXP(-LN(2)/2)*BR175+(1-EXP(-LN(2)/2))/(LN(2)/2)*BL176*BO176*VLOOKUP('Données projet'!$B$11,Paramètres!$A$1:$I$89,3,0)*0.475*44/12</f>
        <v>2.9444553650208892E-21</v>
      </c>
      <c r="BS176" s="22">
        <f t="shared" si="169"/>
        <v>0.33364302682332825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 t="e">
        <f>BY176*VLOOKUP('Données projet'!$B$12,Paramètres!$A$1:$I$89,3,0)*VLOOKUP('Données projet'!$B$12,Paramètres!$A$1:$I$89,5,0)</f>
        <v>#N/A</v>
      </c>
      <c r="CA176" s="13" t="e">
        <f t="shared" si="170"/>
        <v>#N/A</v>
      </c>
      <c r="CB176" s="20" t="e">
        <f t="shared" si="171"/>
        <v>#N/A</v>
      </c>
      <c r="CC176" s="59" t="e">
        <f t="shared" si="119"/>
        <v>#N/A</v>
      </c>
      <c r="CD176" s="59" t="e">
        <f ca="1">AVERAGE(OFFSET($CC$3,0,0,'Données projet'!$E$12+1,1))-AVERAGE(OFFSET($H$3,0,0,'Données projet'!$E$12+1,1))</f>
        <v>#N/A</v>
      </c>
      <c r="CE176" s="59" t="e">
        <f t="shared" si="148"/>
        <v>#N/A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 t="e">
        <f>EXP(-LN(2)/35)*CK175+(1-EXP(-LN(2)/35))/(LN(2)/35)*CG176*CH176*VLOOKUP('Données projet'!$B$12,Paramètres!$A$1:$I$89,3,0)*0.475*44/12</f>
        <v>#N/A</v>
      </c>
      <c r="CL176" s="21" t="e">
        <f>EXP(-LN(2)/25)*CL175+(1-EXP(-LN(2)/25))/(LN(2)/25)*Calculateur!CG176*Calculateur!CI176*VLOOKUP('Données projet'!$B$12,Paramètres!$A$1:$I$89,3,0)*0.475*44/12</f>
        <v>#N/A</v>
      </c>
      <c r="CM176" s="21" t="e">
        <f>EXP(-LN(2)/2)*CM175+(1-EXP(-LN(2)/2))/(LN(2)/2)*CG176*CJ176*VLOOKUP('Données projet'!$B$12,Paramètres!$A$1:$I$89,3,0)*0.475*44/12</f>
        <v>#N/A</v>
      </c>
      <c r="CN176" s="22" t="e">
        <f t="shared" si="172"/>
        <v>#N/A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25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154.72079999999988</v>
      </c>
      <c r="D177" s="11">
        <f t="shared" si="140"/>
        <v>39.649461948838557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10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1500.4020220612092</v>
      </c>
      <c r="H177" s="67">
        <f t="shared" si="110"/>
        <v>631.86153956089356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-3.4106051316484809E-13</v>
      </c>
      <c r="O177" s="13">
        <f>N177*VLOOKUP('Données projet'!$B$9,Paramètres!$A$1:$I$89,3,0)*VLOOKUP('Données projet'!$B$9,Paramètres!$A$1:$I$89,5,0)</f>
        <v>-1.9065282685915009E-13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279.98352834501759</v>
      </c>
      <c r="T177" s="59">
        <f t="shared" si="142"/>
        <v>281.30062655265488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0.23078390562821474</v>
      </c>
      <c r="AA177" s="21">
        <f>EXP(-LN(2)/25)*AA176+(1-EXP(-LN(2)/25))/(LN(2)/25)*Calculateur!V177*Calculateur!X177*VLOOKUP('Données projet'!$B$9,Paramètres!$A$1:$I$89,3,0)*0.475*44/12</f>
        <v>0.44706010640115457</v>
      </c>
      <c r="AB177" s="21">
        <f>EXP(-LN(2)/2)*AB176+(1-EXP(-LN(2)/2))/(LN(2)/2)*V177*Y177*VLOOKUP('Données projet'!$B$9,Paramètres!$A$1:$I$89,3,0)*0.475*44/12</f>
        <v>5.996387717585022E-21</v>
      </c>
      <c r="AC177" s="22">
        <f t="shared" si="163"/>
        <v>0.67784401202936928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-1.1368683772161603E-13</v>
      </c>
      <c r="AJ177" s="13">
        <f>AI177*VLOOKUP('Données projet'!$B$10,Paramètres!$A$1:$I$89,3,0)*VLOOKUP('Données projet'!$B$10,Paramètres!$A$1:$I$89,5,0)</f>
        <v>-1.1527845344971866E-13</v>
      </c>
      <c r="AK177" s="13" t="e">
        <f t="shared" si="164"/>
        <v>#NUM!</v>
      </c>
      <c r="AL177" s="20" t="e">
        <f t="shared" si="165"/>
        <v>#NUM!</v>
      </c>
      <c r="AM177" s="59" t="e">
        <f t="shared" si="113"/>
        <v>#NUM!</v>
      </c>
      <c r="AN177" s="59">
        <f ca="1">AVERAGE(OFFSET($AM$3,0,0,'Données projet'!$E$10+1,1))-AVERAGE(OFFSET($H$3,0,0,'Données projet'!$E$10+1,1))</f>
        <v>279.20364724206644</v>
      </c>
      <c r="AO177" s="59">
        <f t="shared" si="144"/>
        <v>173.99850582760712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0</v>
      </c>
      <c r="AV177" s="21">
        <f>EXP(-LN(2)/25)*AV176+(1-EXP(-LN(2)/25))/(LN(2)/25)*Calculateur!AQ177*Calculateur!AS177*VLOOKUP('Données projet'!$B$10,Paramètres!$A$1:$I$89,3,0)*0.475*44/12</f>
        <v>6.4231105133806116E-2</v>
      </c>
      <c r="AW177" s="21">
        <f>EXP(-LN(2)/2)*AW176+(1-EXP(-LN(2)/2))/(LN(2)/2)*AQ177*AT177*VLOOKUP('Données projet'!$B$10,Paramètres!$A$1:$I$89,3,0)*0.475*44/12</f>
        <v>1.4688267286927085E-21</v>
      </c>
      <c r="AX177" s="21">
        <f t="shared" si="166"/>
        <v>6.4231105133806116E-2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-1.1368683772161603E-13</v>
      </c>
      <c r="BE177" s="13">
        <f>BD177*VLOOKUP('Données projet'!$B$11,Paramètres!$A$1:$I$89,3,0)*VLOOKUP('Données projet'!$B$11,Paramètres!$A$1:$I$89,5,0)</f>
        <v>-5.3205440053716299E-14</v>
      </c>
      <c r="BF177" s="13" t="e">
        <f t="shared" si="167"/>
        <v>#NUM!</v>
      </c>
      <c r="BG177" s="20" t="e">
        <f t="shared" si="168"/>
        <v>#NUM!</v>
      </c>
      <c r="BH177" s="59" t="e">
        <f t="shared" si="116"/>
        <v>#NUM!</v>
      </c>
      <c r="BI177" s="59">
        <f ca="1">AVERAGE(OFFSET($BH$3,0,0,'Données projet'!$E$11+1,1))-AVERAGE(OFFSET($H$3,0,0,'Données projet'!$E$11+1,1))</f>
        <v>215.23235148064941</v>
      </c>
      <c r="BJ177" s="59">
        <f t="shared" si="146"/>
        <v>184.07239726900434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0.18099066239205605</v>
      </c>
      <c r="BQ177" s="21">
        <f>EXP(-LN(2)/25)*BQ176+(1-EXP(-LN(2)/25))/(LN(2)/25)*Calculateur!BL177*Calculateur!BN177*VLOOKUP('Données projet'!$B$11,Paramètres!$A$1:$I$89,3,0)*0.475*44/12</f>
        <v>0.14495696490917606</v>
      </c>
      <c r="BR177" s="21">
        <f>EXP(-LN(2)/2)*BR176+(1-EXP(-LN(2)/2))/(LN(2)/2)*BL177*BO177*VLOOKUP('Données projet'!$B$11,Paramètres!$A$1:$I$89,3,0)*0.475*44/12</f>
        <v>2.0820443555073818E-21</v>
      </c>
      <c r="BS177" s="22">
        <f t="shared" si="169"/>
        <v>0.32594762730123211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 t="e">
        <f>BY177*VLOOKUP('Données projet'!$B$12,Paramètres!$A$1:$I$89,3,0)*VLOOKUP('Données projet'!$B$12,Paramètres!$A$1:$I$89,5,0)</f>
        <v>#N/A</v>
      </c>
      <c r="CA177" s="13" t="e">
        <f t="shared" si="170"/>
        <v>#N/A</v>
      </c>
      <c r="CB177" s="20" t="e">
        <f t="shared" si="171"/>
        <v>#N/A</v>
      </c>
      <c r="CC177" s="59" t="e">
        <f t="shared" si="119"/>
        <v>#N/A</v>
      </c>
      <c r="CD177" s="59" t="e">
        <f ca="1">AVERAGE(OFFSET($CC$3,0,0,'Données projet'!$E$12+1,1))-AVERAGE(OFFSET($H$3,0,0,'Données projet'!$E$12+1,1))</f>
        <v>#N/A</v>
      </c>
      <c r="CE177" s="59" t="e">
        <f t="shared" si="148"/>
        <v>#N/A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 t="e">
        <f>EXP(-LN(2)/35)*CK176+(1-EXP(-LN(2)/35))/(LN(2)/35)*CG177*CH177*VLOOKUP('Données projet'!$B$12,Paramètres!$A$1:$I$89,3,0)*0.475*44/12</f>
        <v>#N/A</v>
      </c>
      <c r="CL177" s="21" t="e">
        <f>EXP(-LN(2)/25)*CL176+(1-EXP(-LN(2)/25))/(LN(2)/25)*Calculateur!CG177*Calculateur!CI177*VLOOKUP('Données projet'!$B$12,Paramètres!$A$1:$I$89,3,0)*0.475*44/12</f>
        <v>#N/A</v>
      </c>
      <c r="CM177" s="21" t="e">
        <f>EXP(-LN(2)/2)*CM176+(1-EXP(-LN(2)/2))/(LN(2)/2)*CG177*CJ177*VLOOKUP('Données projet'!$B$12,Paramètres!$A$1:$I$89,3,0)*0.475*44/12</f>
        <v>#N/A</v>
      </c>
      <c r="CN177" s="22" t="e">
        <f t="shared" si="172"/>
        <v>#N/A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25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155.60999999999987</v>
      </c>
      <c r="D178" s="11">
        <f t="shared" si="140"/>
        <v>39.850741093704151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10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1508.8197558110487</v>
      </c>
      <c r="H178" s="67">
        <f t="shared" si="110"/>
        <v>633.76079073820119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-3.4106051316484809E-13</v>
      </c>
      <c r="O178" s="13">
        <f>N178*VLOOKUP('Données projet'!$B$9,Paramètres!$A$1:$I$89,3,0)*VLOOKUP('Données projet'!$B$9,Paramètres!$A$1:$I$89,5,0)</f>
        <v>-1.9065282685915009E-13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279.98352834501759</v>
      </c>
      <c r="T178" s="59">
        <f t="shared" si="142"/>
        <v>281.30062655265488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0.22625837400312857</v>
      </c>
      <c r="AA178" s="21">
        <f>EXP(-LN(2)/25)*AA177+(1-EXP(-LN(2)/25))/(LN(2)/25)*Calculateur!V178*Calculateur!X178*VLOOKUP('Données projet'!$B$9,Paramètres!$A$1:$I$89,3,0)*0.475*44/12</f>
        <v>0.43483522428174576</v>
      </c>
      <c r="AB178" s="21">
        <f>EXP(-LN(2)/2)*AB177+(1-EXP(-LN(2)/2))/(LN(2)/2)*V178*Y178*VLOOKUP('Données projet'!$B$9,Paramètres!$A$1:$I$89,3,0)*0.475*44/12</f>
        <v>4.2400864177280933E-21</v>
      </c>
      <c r="AC178" s="22">
        <f t="shared" si="163"/>
        <v>0.66109359828487435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-1.1368683772161603E-13</v>
      </c>
      <c r="AJ178" s="13">
        <f>AI178*VLOOKUP('Données projet'!$B$10,Paramètres!$A$1:$I$89,3,0)*VLOOKUP('Données projet'!$B$10,Paramètres!$A$1:$I$89,5,0)</f>
        <v>-1.1527845344971866E-13</v>
      </c>
      <c r="AK178" s="13" t="e">
        <f t="shared" si="164"/>
        <v>#NUM!</v>
      </c>
      <c r="AL178" s="20" t="e">
        <f t="shared" si="165"/>
        <v>#NUM!</v>
      </c>
      <c r="AM178" s="59" t="e">
        <f t="shared" si="113"/>
        <v>#NUM!</v>
      </c>
      <c r="AN178" s="59">
        <f ca="1">AVERAGE(OFFSET($AM$3,0,0,'Données projet'!$E$10+1,1))-AVERAGE(OFFSET($H$3,0,0,'Données projet'!$E$10+1,1))</f>
        <v>279.20364724206644</v>
      </c>
      <c r="AO178" s="59">
        <f t="shared" si="144"/>
        <v>173.99850582760712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0</v>
      </c>
      <c r="AV178" s="21">
        <f>EXP(-LN(2)/25)*AV177+(1-EXP(-LN(2)/25))/(LN(2)/25)*Calculateur!AQ178*Calculateur!AS178*VLOOKUP('Données projet'!$B$10,Paramètres!$A$1:$I$89,3,0)*0.475*44/12</f>
        <v>6.2474702186155168E-2</v>
      </c>
      <c r="AW178" s="21">
        <f>EXP(-LN(2)/2)*AW177+(1-EXP(-LN(2)/2))/(LN(2)/2)*AQ178*AT178*VLOOKUP('Données projet'!$B$10,Paramètres!$A$1:$I$89,3,0)*0.475*44/12</f>
        <v>1.0386173402466674E-21</v>
      </c>
      <c r="AX178" s="21">
        <f t="shared" si="166"/>
        <v>6.2474702186155168E-2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-1.1368683772161603E-13</v>
      </c>
      <c r="BE178" s="13">
        <f>BD178*VLOOKUP('Données projet'!$B$11,Paramètres!$A$1:$I$89,3,0)*VLOOKUP('Données projet'!$B$11,Paramètres!$A$1:$I$89,5,0)</f>
        <v>-5.3205440053716299E-14</v>
      </c>
      <c r="BF178" s="13" t="e">
        <f t="shared" si="167"/>
        <v>#NUM!</v>
      </c>
      <c r="BG178" s="20" t="e">
        <f t="shared" si="168"/>
        <v>#NUM!</v>
      </c>
      <c r="BH178" s="59" t="e">
        <f t="shared" si="116"/>
        <v>#NUM!</v>
      </c>
      <c r="BI178" s="59">
        <f ca="1">AVERAGE(OFFSET($BH$3,0,0,'Données projet'!$E$11+1,1))-AVERAGE(OFFSET($H$3,0,0,'Données projet'!$E$11+1,1))</f>
        <v>215.23235148064941</v>
      </c>
      <c r="BJ178" s="59">
        <f t="shared" si="146"/>
        <v>184.07239726900434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0.17744154589595146</v>
      </c>
      <c r="BQ178" s="21">
        <f>EXP(-LN(2)/25)*BQ177+(1-EXP(-LN(2)/25))/(LN(2)/25)*Calculateur!BL178*Calculateur!BN178*VLOOKUP('Données projet'!$B$11,Paramètres!$A$1:$I$89,3,0)*0.475*44/12</f>
        <v>0.14099310908077917</v>
      </c>
      <c r="BR178" s="21">
        <f>EXP(-LN(2)/2)*BR177+(1-EXP(-LN(2)/2))/(LN(2)/2)*BL178*BO178*VLOOKUP('Données projet'!$B$11,Paramètres!$A$1:$I$89,3,0)*0.475*44/12</f>
        <v>1.4722276825104446E-21</v>
      </c>
      <c r="BS178" s="22">
        <f t="shared" si="169"/>
        <v>0.31843465497673062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 t="e">
        <f>BY178*VLOOKUP('Données projet'!$B$12,Paramètres!$A$1:$I$89,3,0)*VLOOKUP('Données projet'!$B$12,Paramètres!$A$1:$I$89,5,0)</f>
        <v>#N/A</v>
      </c>
      <c r="CA178" s="13" t="e">
        <f t="shared" si="170"/>
        <v>#N/A</v>
      </c>
      <c r="CB178" s="20" t="e">
        <f t="shared" si="171"/>
        <v>#N/A</v>
      </c>
      <c r="CC178" s="59" t="e">
        <f t="shared" si="119"/>
        <v>#N/A</v>
      </c>
      <c r="CD178" s="59" t="e">
        <f ca="1">AVERAGE(OFFSET($CC$3,0,0,'Données projet'!$E$12+1,1))-AVERAGE(OFFSET($H$3,0,0,'Données projet'!$E$12+1,1))</f>
        <v>#N/A</v>
      </c>
      <c r="CE178" s="59" t="e">
        <f t="shared" si="148"/>
        <v>#N/A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 t="e">
        <f>EXP(-LN(2)/35)*CK177+(1-EXP(-LN(2)/35))/(LN(2)/35)*CG178*CH178*VLOOKUP('Données projet'!$B$12,Paramètres!$A$1:$I$89,3,0)*0.475*44/12</f>
        <v>#N/A</v>
      </c>
      <c r="CL178" s="21" t="e">
        <f>EXP(-LN(2)/25)*CL177+(1-EXP(-LN(2)/25))/(LN(2)/25)*Calculateur!CG178*Calculateur!CI178*VLOOKUP('Données projet'!$B$12,Paramètres!$A$1:$I$89,3,0)*0.475*44/12</f>
        <v>#N/A</v>
      </c>
      <c r="CM178" s="21" t="e">
        <f>EXP(-LN(2)/2)*CM177+(1-EXP(-LN(2)/2))/(LN(2)/2)*CG178*CJ178*VLOOKUP('Données projet'!$B$12,Paramètres!$A$1:$I$89,3,0)*0.475*44/12</f>
        <v>#N/A</v>
      </c>
      <c r="CN178" s="22" t="e">
        <f t="shared" si="172"/>
        <v>#N/A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25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156.49919999999986</v>
      </c>
      <c r="D179" s="11">
        <f t="shared" si="140"/>
        <v>40.051886402928353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10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1517.2364564436564</v>
      </c>
      <c r="H179" s="67">
        <f t="shared" si="110"/>
        <v>635.65980881843325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-3.4106051316484809E-13</v>
      </c>
      <c r="O179" s="13">
        <f>N179*VLOOKUP('Données projet'!$B$9,Paramètres!$A$1:$I$89,3,0)*VLOOKUP('Données projet'!$B$9,Paramètres!$A$1:$I$89,5,0)</f>
        <v>-1.9065282685915009E-13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279.98352834501759</v>
      </c>
      <c r="T179" s="59">
        <f t="shared" si="142"/>
        <v>281.30062655265488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0.2218215852929086</v>
      </c>
      <c r="AA179" s="21">
        <f>EXP(-LN(2)/25)*AA178+(1-EXP(-LN(2)/25))/(LN(2)/25)*Calculateur!V179*Calculateur!X179*VLOOKUP('Données projet'!$B$9,Paramètres!$A$1:$I$89,3,0)*0.475*44/12</f>
        <v>0.42294463220677081</v>
      </c>
      <c r="AB179" s="21">
        <f>EXP(-LN(2)/2)*AB178+(1-EXP(-LN(2)/2))/(LN(2)/2)*V179*Y179*VLOOKUP('Données projet'!$B$9,Paramètres!$A$1:$I$89,3,0)*0.475*44/12</f>
        <v>2.998193858792511E-21</v>
      </c>
      <c r="AC179" s="22">
        <f t="shared" si="163"/>
        <v>0.64476621749967944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-1.1368683772161603E-13</v>
      </c>
      <c r="AJ179" s="13">
        <f>AI179*VLOOKUP('Données projet'!$B$10,Paramètres!$A$1:$I$89,3,0)*VLOOKUP('Données projet'!$B$10,Paramètres!$A$1:$I$89,5,0)</f>
        <v>-1.1527845344971866E-13</v>
      </c>
      <c r="AK179" s="13" t="e">
        <f t="shared" si="164"/>
        <v>#NUM!</v>
      </c>
      <c r="AL179" s="20" t="e">
        <f t="shared" si="165"/>
        <v>#NUM!</v>
      </c>
      <c r="AM179" s="59" t="e">
        <f t="shared" si="113"/>
        <v>#NUM!</v>
      </c>
      <c r="AN179" s="59">
        <f ca="1">AVERAGE(OFFSET($AM$3,0,0,'Données projet'!$E$10+1,1))-AVERAGE(OFFSET($H$3,0,0,'Données projet'!$E$10+1,1))</f>
        <v>279.20364724206644</v>
      </c>
      <c r="AO179" s="59">
        <f t="shared" si="144"/>
        <v>173.99850582760712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0</v>
      </c>
      <c r="AV179" s="21">
        <f>EXP(-LN(2)/25)*AV178+(1-EXP(-LN(2)/25))/(LN(2)/25)*Calculateur!AQ179*Calculateur!AS179*VLOOKUP('Données projet'!$B$10,Paramètres!$A$1:$I$89,3,0)*0.475*44/12</f>
        <v>6.0766328169472958E-2</v>
      </c>
      <c r="AW179" s="21">
        <f>EXP(-LN(2)/2)*AW178+(1-EXP(-LN(2)/2))/(LN(2)/2)*AQ179*AT179*VLOOKUP('Données projet'!$B$10,Paramètres!$A$1:$I$89,3,0)*0.475*44/12</f>
        <v>7.3441336434635423E-22</v>
      </c>
      <c r="AX179" s="21">
        <f t="shared" si="166"/>
        <v>6.0766328169472958E-2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-1.1368683772161603E-13</v>
      </c>
      <c r="BE179" s="13">
        <f>BD179*VLOOKUP('Données projet'!$B$11,Paramètres!$A$1:$I$89,3,0)*VLOOKUP('Données projet'!$B$11,Paramètres!$A$1:$I$89,5,0)</f>
        <v>-5.3205440053716299E-14</v>
      </c>
      <c r="BF179" s="13" t="e">
        <f t="shared" si="167"/>
        <v>#NUM!</v>
      </c>
      <c r="BG179" s="20" t="e">
        <f t="shared" si="168"/>
        <v>#NUM!</v>
      </c>
      <c r="BH179" s="59" t="e">
        <f t="shared" si="116"/>
        <v>#NUM!</v>
      </c>
      <c r="BI179" s="59">
        <f ca="1">AVERAGE(OFFSET($BH$3,0,0,'Données projet'!$E$11+1,1))-AVERAGE(OFFSET($H$3,0,0,'Données projet'!$E$11+1,1))</f>
        <v>215.23235148064941</v>
      </c>
      <c r="BJ179" s="59">
        <f t="shared" si="146"/>
        <v>184.07239726900434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0.17396202540958816</v>
      </c>
      <c r="BQ179" s="21">
        <f>EXP(-LN(2)/25)*BQ178+(1-EXP(-LN(2)/25))/(LN(2)/25)*Calculateur!BL179*Calculateur!BN179*VLOOKUP('Données projet'!$B$11,Paramètres!$A$1:$I$89,3,0)*0.475*44/12</f>
        <v>0.13713764509845991</v>
      </c>
      <c r="BR179" s="21">
        <f>EXP(-LN(2)/2)*BR178+(1-EXP(-LN(2)/2))/(LN(2)/2)*BL179*BO179*VLOOKUP('Données projet'!$B$11,Paramètres!$A$1:$I$89,3,0)*0.475*44/12</f>
        <v>1.0410221777536909E-21</v>
      </c>
      <c r="BS179" s="22">
        <f t="shared" si="169"/>
        <v>0.3110996705080481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 t="e">
        <f>BY179*VLOOKUP('Données projet'!$B$12,Paramètres!$A$1:$I$89,3,0)*VLOOKUP('Données projet'!$B$12,Paramètres!$A$1:$I$89,5,0)</f>
        <v>#N/A</v>
      </c>
      <c r="CA179" s="13" t="e">
        <f t="shared" si="170"/>
        <v>#N/A</v>
      </c>
      <c r="CB179" s="20" t="e">
        <f t="shared" si="171"/>
        <v>#N/A</v>
      </c>
      <c r="CC179" s="59" t="e">
        <f t="shared" si="119"/>
        <v>#N/A</v>
      </c>
      <c r="CD179" s="59" t="e">
        <f ca="1">AVERAGE(OFFSET($CC$3,0,0,'Données projet'!$E$12+1,1))-AVERAGE(OFFSET($H$3,0,0,'Données projet'!$E$12+1,1))</f>
        <v>#N/A</v>
      </c>
      <c r="CE179" s="59" t="e">
        <f t="shared" si="148"/>
        <v>#N/A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 t="e">
        <f>EXP(-LN(2)/35)*CK178+(1-EXP(-LN(2)/35))/(LN(2)/35)*CG179*CH179*VLOOKUP('Données projet'!$B$12,Paramètres!$A$1:$I$89,3,0)*0.475*44/12</f>
        <v>#N/A</v>
      </c>
      <c r="CL179" s="21" t="e">
        <f>EXP(-LN(2)/25)*CL178+(1-EXP(-LN(2)/25))/(LN(2)/25)*Calculateur!CG179*Calculateur!CI179*VLOOKUP('Données projet'!$B$12,Paramètres!$A$1:$I$89,3,0)*0.475*44/12</f>
        <v>#N/A</v>
      </c>
      <c r="CM179" s="21" t="e">
        <f>EXP(-LN(2)/2)*CM178+(1-EXP(-LN(2)/2))/(LN(2)/2)*CG179*CJ179*VLOOKUP('Données projet'!$B$12,Paramètres!$A$1:$I$89,3,0)*0.475*44/12</f>
        <v>#N/A</v>
      </c>
      <c r="CN179" s="22" t="e">
        <f t="shared" si="172"/>
        <v>#N/A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25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157.38839999999985</v>
      </c>
      <c r="D180" s="11">
        <f t="shared" si="140"/>
        <v>40.252898725183421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10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1525.6521305101869</v>
      </c>
      <c r="H180" s="67">
        <f t="shared" si="110"/>
        <v>637.55859527969415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-3.4106051316484809E-13</v>
      </c>
      <c r="O180" s="13">
        <f>N180*VLOOKUP('Données projet'!$B$9,Paramètres!$A$1:$I$89,3,0)*VLOOKUP('Données projet'!$B$9,Paramètres!$A$1:$I$89,5,0)</f>
        <v>-1.9065282685915009E-13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279.98352834501759</v>
      </c>
      <c r="T180" s="59">
        <f t="shared" si="142"/>
        <v>281.30062655265488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0.21747179930312213</v>
      </c>
      <c r="AA180" s="21">
        <f>EXP(-LN(2)/25)*AA179+(1-EXP(-LN(2)/25))/(LN(2)/25)*Calculateur!V180*Calculateur!X180*VLOOKUP('Données projet'!$B$9,Paramètres!$A$1:$I$89,3,0)*0.475*44/12</f>
        <v>0.41137918899738513</v>
      </c>
      <c r="AB180" s="21">
        <f>EXP(-LN(2)/2)*AB179+(1-EXP(-LN(2)/2))/(LN(2)/2)*V180*Y180*VLOOKUP('Données projet'!$B$9,Paramètres!$A$1:$I$89,3,0)*0.475*44/12</f>
        <v>2.1200432088640466E-21</v>
      </c>
      <c r="AC180" s="22">
        <f t="shared" si="163"/>
        <v>0.62885098830050723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-1.1368683772161603E-13</v>
      </c>
      <c r="AJ180" s="13">
        <f>AI180*VLOOKUP('Données projet'!$B$10,Paramètres!$A$1:$I$89,3,0)*VLOOKUP('Données projet'!$B$10,Paramètres!$A$1:$I$89,5,0)</f>
        <v>-1.1527845344971866E-13</v>
      </c>
      <c r="AK180" s="13" t="e">
        <f t="shared" si="164"/>
        <v>#NUM!</v>
      </c>
      <c r="AL180" s="20" t="e">
        <f t="shared" si="165"/>
        <v>#NUM!</v>
      </c>
      <c r="AM180" s="59" t="e">
        <f t="shared" si="113"/>
        <v>#NUM!</v>
      </c>
      <c r="AN180" s="59">
        <f ca="1">AVERAGE(OFFSET($AM$3,0,0,'Données projet'!$E$10+1,1))-AVERAGE(OFFSET($H$3,0,0,'Données projet'!$E$10+1,1))</f>
        <v>279.20364724206644</v>
      </c>
      <c r="AO180" s="59">
        <f t="shared" si="144"/>
        <v>173.99850582760712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0</v>
      </c>
      <c r="AV180" s="21">
        <f>EXP(-LN(2)/25)*AV179+(1-EXP(-LN(2)/25))/(LN(2)/25)*Calculateur!AQ180*Calculateur!AS180*VLOOKUP('Données projet'!$B$10,Paramètres!$A$1:$I$89,3,0)*0.475*44/12</f>
        <v>5.9104669730116403E-2</v>
      </c>
      <c r="AW180" s="21">
        <f>EXP(-LN(2)/2)*AW179+(1-EXP(-LN(2)/2))/(LN(2)/2)*AQ180*AT180*VLOOKUP('Données projet'!$B$10,Paramètres!$A$1:$I$89,3,0)*0.475*44/12</f>
        <v>5.193086701233337E-22</v>
      </c>
      <c r="AX180" s="21">
        <f t="shared" si="166"/>
        <v>5.9104669730116403E-2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-1.1368683772161603E-13</v>
      </c>
      <c r="BE180" s="13">
        <f>BD180*VLOOKUP('Données projet'!$B$11,Paramètres!$A$1:$I$89,3,0)*VLOOKUP('Données projet'!$B$11,Paramètres!$A$1:$I$89,5,0)</f>
        <v>-5.3205440053716299E-14</v>
      </c>
      <c r="BF180" s="13" t="e">
        <f t="shared" si="167"/>
        <v>#NUM!</v>
      </c>
      <c r="BG180" s="20" t="e">
        <f t="shared" si="168"/>
        <v>#NUM!</v>
      </c>
      <c r="BH180" s="59" t="e">
        <f t="shared" si="116"/>
        <v>#NUM!</v>
      </c>
      <c r="BI180" s="59">
        <f ca="1">AVERAGE(OFFSET($BH$3,0,0,'Données projet'!$E$11+1,1))-AVERAGE(OFFSET($H$3,0,0,'Données projet'!$E$11+1,1))</f>
        <v>215.23235148064941</v>
      </c>
      <c r="BJ180" s="59">
        <f t="shared" si="146"/>
        <v>184.07239726900434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0.1705507361976645</v>
      </c>
      <c r="BQ180" s="21">
        <f>EXP(-LN(2)/25)*BQ179+(1-EXP(-LN(2)/25))/(LN(2)/25)*Calculateur!BL180*Calculateur!BN180*VLOOKUP('Données projet'!$B$11,Paramètres!$A$1:$I$89,3,0)*0.475*44/12</f>
        <v>0.13338760898148719</v>
      </c>
      <c r="BR180" s="21">
        <f>EXP(-LN(2)/2)*BR179+(1-EXP(-LN(2)/2))/(LN(2)/2)*BL180*BO180*VLOOKUP('Données projet'!$B$11,Paramètres!$A$1:$I$89,3,0)*0.475*44/12</f>
        <v>7.3611384125522231E-22</v>
      </c>
      <c r="BS180" s="22">
        <f t="shared" si="169"/>
        <v>0.30393834517915169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 t="e">
        <f>BY180*VLOOKUP('Données projet'!$B$12,Paramètres!$A$1:$I$89,3,0)*VLOOKUP('Données projet'!$B$12,Paramètres!$A$1:$I$89,5,0)</f>
        <v>#N/A</v>
      </c>
      <c r="CA180" s="13" t="e">
        <f t="shared" si="170"/>
        <v>#N/A</v>
      </c>
      <c r="CB180" s="20" t="e">
        <f t="shared" si="171"/>
        <v>#N/A</v>
      </c>
      <c r="CC180" s="59" t="e">
        <f t="shared" si="119"/>
        <v>#N/A</v>
      </c>
      <c r="CD180" s="59" t="e">
        <f ca="1">AVERAGE(OFFSET($CC$3,0,0,'Données projet'!$E$12+1,1))-AVERAGE(OFFSET($H$3,0,0,'Données projet'!$E$12+1,1))</f>
        <v>#N/A</v>
      </c>
      <c r="CE180" s="59" t="e">
        <f t="shared" si="148"/>
        <v>#N/A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 t="e">
        <f>EXP(-LN(2)/35)*CK179+(1-EXP(-LN(2)/35))/(LN(2)/35)*CG180*CH180*VLOOKUP('Données projet'!$B$12,Paramètres!$A$1:$I$89,3,0)*0.475*44/12</f>
        <v>#N/A</v>
      </c>
      <c r="CL180" s="21" t="e">
        <f>EXP(-LN(2)/25)*CL179+(1-EXP(-LN(2)/25))/(LN(2)/25)*Calculateur!CG180*Calculateur!CI180*VLOOKUP('Données projet'!$B$12,Paramètres!$A$1:$I$89,3,0)*0.475*44/12</f>
        <v>#N/A</v>
      </c>
      <c r="CM180" s="21" t="e">
        <f>EXP(-LN(2)/2)*CM179+(1-EXP(-LN(2)/2))/(LN(2)/2)*CG180*CJ180*VLOOKUP('Données projet'!$B$12,Paramètres!$A$1:$I$89,3,0)*0.475*44/12</f>
        <v>#N/A</v>
      </c>
      <c r="CN180" s="22" t="e">
        <f t="shared" si="172"/>
        <v>#N/A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25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158.27759999999984</v>
      </c>
      <c r="D181" s="11">
        <f t="shared" si="140"/>
        <v>40.45377889899725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10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1534.0667844834863</v>
      </c>
      <c r="H181" s="67">
        <f t="shared" si="110"/>
        <v>639.4571515824199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-3.4106051316484809E-13</v>
      </c>
      <c r="O181" s="13">
        <f>N181*VLOOKUP('Données projet'!$B$9,Paramètres!$A$1:$I$89,3,0)*VLOOKUP('Données projet'!$B$9,Paramètres!$A$1:$I$89,5,0)</f>
        <v>-1.9065282685915009E-13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279.98352834501759</v>
      </c>
      <c r="T181" s="59">
        <f t="shared" si="142"/>
        <v>281.30062655265488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0.21320730996348791</v>
      </c>
      <c r="AA181" s="21">
        <f>EXP(-LN(2)/25)*AA180+(1-EXP(-LN(2)/25))/(LN(2)/25)*Calculateur!V181*Calculateur!X181*VLOOKUP('Données projet'!$B$9,Paramètres!$A$1:$I$89,3,0)*0.475*44/12</f>
        <v>0.40013000344076027</v>
      </c>
      <c r="AB181" s="21">
        <f>EXP(-LN(2)/2)*AB180+(1-EXP(-LN(2)/2))/(LN(2)/2)*V181*Y181*VLOOKUP('Données projet'!$B$9,Paramètres!$A$1:$I$89,3,0)*0.475*44/12</f>
        <v>1.4990969293962555E-21</v>
      </c>
      <c r="AC181" s="22">
        <f t="shared" si="163"/>
        <v>0.61333731340424813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-1.1368683772161603E-13</v>
      </c>
      <c r="AJ181" s="13">
        <f>AI181*VLOOKUP('Données projet'!$B$10,Paramètres!$A$1:$I$89,3,0)*VLOOKUP('Données projet'!$B$10,Paramètres!$A$1:$I$89,5,0)</f>
        <v>-1.1527845344971866E-13</v>
      </c>
      <c r="AK181" s="13" t="e">
        <f t="shared" si="164"/>
        <v>#NUM!</v>
      </c>
      <c r="AL181" s="20" t="e">
        <f t="shared" si="165"/>
        <v>#NUM!</v>
      </c>
      <c r="AM181" s="59" t="e">
        <f t="shared" si="113"/>
        <v>#NUM!</v>
      </c>
      <c r="AN181" s="59">
        <f ca="1">AVERAGE(OFFSET($AM$3,0,0,'Données projet'!$E$10+1,1))-AVERAGE(OFFSET($H$3,0,0,'Données projet'!$E$10+1,1))</f>
        <v>279.20364724206644</v>
      </c>
      <c r="AO181" s="59">
        <f t="shared" si="144"/>
        <v>173.99850582760712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0</v>
      </c>
      <c r="AV181" s="21">
        <f>EXP(-LN(2)/25)*AV180+(1-EXP(-LN(2)/25))/(LN(2)/25)*Calculateur!AQ181*Calculateur!AS181*VLOOKUP('Données projet'!$B$10,Paramètres!$A$1:$I$89,3,0)*0.475*44/12</f>
        <v>5.7488449428166874E-2</v>
      </c>
      <c r="AW181" s="21">
        <f>EXP(-LN(2)/2)*AW180+(1-EXP(-LN(2)/2))/(LN(2)/2)*AQ181*AT181*VLOOKUP('Données projet'!$B$10,Paramètres!$A$1:$I$89,3,0)*0.475*44/12</f>
        <v>3.6720668217317711E-22</v>
      </c>
      <c r="AX181" s="21">
        <f t="shared" si="166"/>
        <v>5.7488449428166874E-2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-1.1368683772161603E-13</v>
      </c>
      <c r="BE181" s="13">
        <f>BD181*VLOOKUP('Données projet'!$B$11,Paramètres!$A$1:$I$89,3,0)*VLOOKUP('Données projet'!$B$11,Paramètres!$A$1:$I$89,5,0)</f>
        <v>-5.3205440053716299E-14</v>
      </c>
      <c r="BF181" s="13" t="e">
        <f t="shared" si="167"/>
        <v>#NUM!</v>
      </c>
      <c r="BG181" s="20" t="e">
        <f t="shared" si="168"/>
        <v>#NUM!</v>
      </c>
      <c r="BH181" s="59" t="e">
        <f t="shared" si="116"/>
        <v>#NUM!</v>
      </c>
      <c r="BI181" s="59">
        <f ca="1">AVERAGE(OFFSET($BH$3,0,0,'Données projet'!$E$11+1,1))-AVERAGE(OFFSET($H$3,0,0,'Données projet'!$E$11+1,1))</f>
        <v>215.23235148064941</v>
      </c>
      <c r="BJ181" s="59">
        <f t="shared" si="146"/>
        <v>184.07239726900434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0.16720634028650569</v>
      </c>
      <c r="BQ181" s="21">
        <f>EXP(-LN(2)/25)*BQ180+(1-EXP(-LN(2)/25))/(LN(2)/25)*Calculateur!BL181*Calculateur!BN181*VLOOKUP('Données projet'!$B$11,Paramètres!$A$1:$I$89,3,0)*0.475*44/12</f>
        <v>0.12974011779933892</v>
      </c>
      <c r="BR181" s="21">
        <f>EXP(-LN(2)/2)*BR180+(1-EXP(-LN(2)/2))/(LN(2)/2)*BL181*BO181*VLOOKUP('Données projet'!$B$11,Paramètres!$A$1:$I$89,3,0)*0.475*44/12</f>
        <v>5.2051108887684545E-22</v>
      </c>
      <c r="BS181" s="22">
        <f t="shared" si="169"/>
        <v>0.29694645808584463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 t="e">
        <f>BY181*VLOOKUP('Données projet'!$B$12,Paramètres!$A$1:$I$89,3,0)*VLOOKUP('Données projet'!$B$12,Paramètres!$A$1:$I$89,5,0)</f>
        <v>#N/A</v>
      </c>
      <c r="CA181" s="13" t="e">
        <f t="shared" si="170"/>
        <v>#N/A</v>
      </c>
      <c r="CB181" s="20" t="e">
        <f t="shared" si="171"/>
        <v>#N/A</v>
      </c>
      <c r="CC181" s="59" t="e">
        <f t="shared" si="119"/>
        <v>#N/A</v>
      </c>
      <c r="CD181" s="59" t="e">
        <f ca="1">AVERAGE(OFFSET($CC$3,0,0,'Données projet'!$E$12+1,1))-AVERAGE(OFFSET($H$3,0,0,'Données projet'!$E$12+1,1))</f>
        <v>#N/A</v>
      </c>
      <c r="CE181" s="59" t="e">
        <f t="shared" si="148"/>
        <v>#N/A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 t="e">
        <f>EXP(-LN(2)/35)*CK180+(1-EXP(-LN(2)/35))/(LN(2)/35)*CG181*CH181*VLOOKUP('Données projet'!$B$12,Paramètres!$A$1:$I$89,3,0)*0.475*44/12</f>
        <v>#N/A</v>
      </c>
      <c r="CL181" s="21" t="e">
        <f>EXP(-LN(2)/25)*CL180+(1-EXP(-LN(2)/25))/(LN(2)/25)*Calculateur!CG181*Calculateur!CI181*VLOOKUP('Données projet'!$B$12,Paramètres!$A$1:$I$89,3,0)*0.475*44/12</f>
        <v>#N/A</v>
      </c>
      <c r="CM181" s="21" t="e">
        <f>EXP(-LN(2)/2)*CM180+(1-EXP(-LN(2)/2))/(LN(2)/2)*CG181*CJ181*VLOOKUP('Données projet'!$B$12,Paramètres!$A$1:$I$89,3,0)*0.475*44/12</f>
        <v>#N/A</v>
      </c>
      <c r="CN181" s="22" t="e">
        <f t="shared" si="172"/>
        <v>#N/A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25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159.16679999999982</v>
      </c>
      <c r="D182" s="11">
        <f t="shared" si="140"/>
        <v>40.654527752930711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10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1542.4804247594639</v>
      </c>
      <c r="H182" s="67">
        <f t="shared" si="110"/>
        <v>641.35547916968733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-3.4106051316484809E-13</v>
      </c>
      <c r="O182" s="13">
        <f>N182*VLOOKUP('Données projet'!$B$9,Paramètres!$A$1:$I$89,3,0)*VLOOKUP('Données projet'!$B$9,Paramètres!$A$1:$I$89,5,0)</f>
        <v>-1.9065282685915009E-13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279.98352834501759</v>
      </c>
      <c r="T182" s="59">
        <f t="shared" si="142"/>
        <v>281.30062655265488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0.20902644465872225</v>
      </c>
      <c r="AA182" s="21">
        <f>EXP(-LN(2)/25)*AA181+(1-EXP(-LN(2)/25))/(LN(2)/25)*Calculateur!V182*Calculateur!X182*VLOOKUP('Données projet'!$B$9,Paramètres!$A$1:$I$89,3,0)*0.475*44/12</f>
        <v>0.3891884274547503</v>
      </c>
      <c r="AB182" s="21">
        <f>EXP(-LN(2)/2)*AB181+(1-EXP(-LN(2)/2))/(LN(2)/2)*V182*Y182*VLOOKUP('Données projet'!$B$9,Paramètres!$A$1:$I$89,3,0)*0.475*44/12</f>
        <v>1.0600216044320233E-21</v>
      </c>
      <c r="AC182" s="22">
        <f t="shared" si="163"/>
        <v>0.59821487211347257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-1.1368683772161603E-13</v>
      </c>
      <c r="AJ182" s="13">
        <f>AI182*VLOOKUP('Données projet'!$B$10,Paramètres!$A$1:$I$89,3,0)*VLOOKUP('Données projet'!$B$10,Paramètres!$A$1:$I$89,5,0)</f>
        <v>-1.1527845344971866E-13</v>
      </c>
      <c r="AK182" s="13" t="e">
        <f t="shared" si="164"/>
        <v>#NUM!</v>
      </c>
      <c r="AL182" s="20" t="e">
        <f t="shared" si="165"/>
        <v>#NUM!</v>
      </c>
      <c r="AM182" s="59" t="e">
        <f t="shared" si="113"/>
        <v>#NUM!</v>
      </c>
      <c r="AN182" s="59">
        <f ca="1">AVERAGE(OFFSET($AM$3,0,0,'Données projet'!$E$10+1,1))-AVERAGE(OFFSET($H$3,0,0,'Données projet'!$E$10+1,1))</f>
        <v>279.20364724206644</v>
      </c>
      <c r="AO182" s="59">
        <f t="shared" si="144"/>
        <v>173.99850582760712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0</v>
      </c>
      <c r="AV182" s="21">
        <f>EXP(-LN(2)/25)*AV181+(1-EXP(-LN(2)/25))/(LN(2)/25)*Calculateur!AQ182*Calculateur!AS182*VLOOKUP('Données projet'!$B$10,Paramètres!$A$1:$I$89,3,0)*0.475*44/12</f>
        <v>5.591642475536749E-2</v>
      </c>
      <c r="AW182" s="21">
        <f>EXP(-LN(2)/2)*AW181+(1-EXP(-LN(2)/2))/(LN(2)/2)*AQ182*AT182*VLOOKUP('Données projet'!$B$10,Paramètres!$A$1:$I$89,3,0)*0.475*44/12</f>
        <v>2.5965433506166685E-22</v>
      </c>
      <c r="AX182" s="21">
        <f t="shared" si="166"/>
        <v>5.591642475536749E-2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-1.1368683772161603E-13</v>
      </c>
      <c r="BE182" s="13">
        <f>BD182*VLOOKUP('Données projet'!$B$11,Paramètres!$A$1:$I$89,3,0)*VLOOKUP('Données projet'!$B$11,Paramètres!$A$1:$I$89,5,0)</f>
        <v>-5.3205440053716299E-14</v>
      </c>
      <c r="BF182" s="13" t="e">
        <f t="shared" si="167"/>
        <v>#NUM!</v>
      </c>
      <c r="BG182" s="20" t="e">
        <f t="shared" si="168"/>
        <v>#NUM!</v>
      </c>
      <c r="BH182" s="59" t="e">
        <f t="shared" si="116"/>
        <v>#NUM!</v>
      </c>
      <c r="BI182" s="59">
        <f ca="1">AVERAGE(OFFSET($BH$3,0,0,'Données projet'!$E$11+1,1))-AVERAGE(OFFSET($H$3,0,0,'Données projet'!$E$11+1,1))</f>
        <v>215.23235148064941</v>
      </c>
      <c r="BJ182" s="59">
        <f t="shared" si="146"/>
        <v>184.07239726900434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0.16392752593928461</v>
      </c>
      <c r="BQ182" s="21">
        <f>EXP(-LN(2)/25)*BQ181+(1-EXP(-LN(2)/25))/(LN(2)/25)*Calculateur!BL182*Calculateur!BN182*VLOOKUP('Données projet'!$B$11,Paramètres!$A$1:$I$89,3,0)*0.475*44/12</f>
        <v>0.12619236745537973</v>
      </c>
      <c r="BR182" s="21">
        <f>EXP(-LN(2)/2)*BR181+(1-EXP(-LN(2)/2))/(LN(2)/2)*BL182*BO182*VLOOKUP('Données projet'!$B$11,Paramètres!$A$1:$I$89,3,0)*0.475*44/12</f>
        <v>3.6805692062761116E-22</v>
      </c>
      <c r="BS182" s="22">
        <f t="shared" si="169"/>
        <v>0.29011989339466437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 t="e">
        <f>BY182*VLOOKUP('Données projet'!$B$12,Paramètres!$A$1:$I$89,3,0)*VLOOKUP('Données projet'!$B$12,Paramètres!$A$1:$I$89,5,0)</f>
        <v>#N/A</v>
      </c>
      <c r="CA182" s="13" t="e">
        <f t="shared" si="170"/>
        <v>#N/A</v>
      </c>
      <c r="CB182" s="20" t="e">
        <f t="shared" si="171"/>
        <v>#N/A</v>
      </c>
      <c r="CC182" s="59" t="e">
        <f t="shared" si="119"/>
        <v>#N/A</v>
      </c>
      <c r="CD182" s="59" t="e">
        <f ca="1">AVERAGE(OFFSET($CC$3,0,0,'Données projet'!$E$12+1,1))-AVERAGE(OFFSET($H$3,0,0,'Données projet'!$E$12+1,1))</f>
        <v>#N/A</v>
      </c>
      <c r="CE182" s="59" t="e">
        <f t="shared" si="148"/>
        <v>#N/A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 t="e">
        <f>EXP(-LN(2)/35)*CK181+(1-EXP(-LN(2)/35))/(LN(2)/35)*CG182*CH182*VLOOKUP('Données projet'!$B$12,Paramètres!$A$1:$I$89,3,0)*0.475*44/12</f>
        <v>#N/A</v>
      </c>
      <c r="CL182" s="21" t="e">
        <f>EXP(-LN(2)/25)*CL181+(1-EXP(-LN(2)/25))/(LN(2)/25)*Calculateur!CG182*Calculateur!CI182*VLOOKUP('Données projet'!$B$12,Paramètres!$A$1:$I$89,3,0)*0.475*44/12</f>
        <v>#N/A</v>
      </c>
      <c r="CM182" s="21" t="e">
        <f>EXP(-LN(2)/2)*CM181+(1-EXP(-LN(2)/2))/(LN(2)/2)*CG182*CJ182*VLOOKUP('Données projet'!$B$12,Paramètres!$A$1:$I$89,3,0)*0.475*44/12</f>
        <v>#N/A</v>
      </c>
      <c r="CN182" s="22" t="e">
        <f t="shared" si="172"/>
        <v>#N/A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25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160.05599999999981</v>
      </c>
      <c r="D183" s="11">
        <f t="shared" si="140"/>
        <v>40.855146105751388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10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1550.8930576584305</v>
      </c>
      <c r="H183" s="67">
        <f t="shared" si="110"/>
        <v>643.2535794675166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-3.4106051316484809E-13</v>
      </c>
      <c r="O183" s="13">
        <f>N183*VLOOKUP('Données projet'!$B$9,Paramètres!$A$1:$I$89,3,0)*VLOOKUP('Données projet'!$B$9,Paramètres!$A$1:$I$89,5,0)</f>
        <v>-1.9065282685915009E-13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279.98352834501759</v>
      </c>
      <c r="T183" s="59">
        <f t="shared" si="142"/>
        <v>281.30062655265488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0.20492756357250699</v>
      </c>
      <c r="AA183" s="21">
        <f>EXP(-LN(2)/25)*AA182+(1-EXP(-LN(2)/25))/(LN(2)/25)*Calculateur!V183*Calculateur!X183*VLOOKUP('Données projet'!$B$9,Paramètres!$A$1:$I$89,3,0)*0.475*44/12</f>
        <v>0.37854604943947023</v>
      </c>
      <c r="AB183" s="21">
        <f>EXP(-LN(2)/2)*AB182+(1-EXP(-LN(2)/2))/(LN(2)/2)*V183*Y183*VLOOKUP('Données projet'!$B$9,Paramètres!$A$1:$I$89,3,0)*0.475*44/12</f>
        <v>7.4954846469812776E-22</v>
      </c>
      <c r="AC183" s="22">
        <f t="shared" si="163"/>
        <v>0.5834736130119772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-1.1368683772161603E-13</v>
      </c>
      <c r="AJ183" s="13">
        <f>AI183*VLOOKUP('Données projet'!$B$10,Paramètres!$A$1:$I$89,3,0)*VLOOKUP('Données projet'!$B$10,Paramètres!$A$1:$I$89,5,0)</f>
        <v>-1.1527845344971866E-13</v>
      </c>
      <c r="AK183" s="13" t="e">
        <f t="shared" si="164"/>
        <v>#NUM!</v>
      </c>
      <c r="AL183" s="20" t="e">
        <f t="shared" si="165"/>
        <v>#NUM!</v>
      </c>
      <c r="AM183" s="59" t="e">
        <f t="shared" si="113"/>
        <v>#NUM!</v>
      </c>
      <c r="AN183" s="59">
        <f ca="1">AVERAGE(OFFSET($AM$3,0,0,'Données projet'!$E$10+1,1))-AVERAGE(OFFSET($H$3,0,0,'Données projet'!$E$10+1,1))</f>
        <v>279.20364724206644</v>
      </c>
      <c r="AO183" s="59">
        <f t="shared" si="144"/>
        <v>173.99850582760712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0</v>
      </c>
      <c r="AV183" s="21">
        <f>EXP(-LN(2)/25)*AV182+(1-EXP(-LN(2)/25))/(LN(2)/25)*Calculateur!AQ183*Calculateur!AS183*VLOOKUP('Données projet'!$B$10,Paramètres!$A$1:$I$89,3,0)*0.475*44/12</f>
        <v>5.4387387179914988E-2</v>
      </c>
      <c r="AW183" s="21">
        <f>EXP(-LN(2)/2)*AW182+(1-EXP(-LN(2)/2))/(LN(2)/2)*AQ183*AT183*VLOOKUP('Données projet'!$B$10,Paramètres!$A$1:$I$89,3,0)*0.475*44/12</f>
        <v>1.8360334108658856E-22</v>
      </c>
      <c r="AX183" s="21">
        <f t="shared" si="166"/>
        <v>5.4387387179914988E-2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-1.1368683772161603E-13</v>
      </c>
      <c r="BE183" s="13">
        <f>BD183*VLOOKUP('Données projet'!$B$11,Paramètres!$A$1:$I$89,3,0)*VLOOKUP('Données projet'!$B$11,Paramètres!$A$1:$I$89,5,0)</f>
        <v>-5.3205440053716299E-14</v>
      </c>
      <c r="BF183" s="13" t="e">
        <f t="shared" si="167"/>
        <v>#NUM!</v>
      </c>
      <c r="BG183" s="20" t="e">
        <f t="shared" si="168"/>
        <v>#NUM!</v>
      </c>
      <c r="BH183" s="59" t="e">
        <f t="shared" si="116"/>
        <v>#NUM!</v>
      </c>
      <c r="BI183" s="59">
        <f ca="1">AVERAGE(OFFSET($BH$3,0,0,'Données projet'!$E$11+1,1))-AVERAGE(OFFSET($H$3,0,0,'Données projet'!$E$11+1,1))</f>
        <v>215.23235148064941</v>
      </c>
      <c r="BJ183" s="59">
        <f t="shared" si="146"/>
        <v>184.07239726900434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0.16071300714153328</v>
      </c>
      <c r="BQ183" s="21">
        <f>EXP(-LN(2)/25)*BQ182+(1-EXP(-LN(2)/25))/(LN(2)/25)*Calculateur!BL183*Calculateur!BN183*VLOOKUP('Données projet'!$B$11,Paramètres!$A$1:$I$89,3,0)*0.475*44/12</f>
        <v>0.12274163053114419</v>
      </c>
      <c r="BR183" s="21">
        <f>EXP(-LN(2)/2)*BR182+(1-EXP(-LN(2)/2))/(LN(2)/2)*BL183*BO183*VLOOKUP('Données projet'!$B$11,Paramètres!$A$1:$I$89,3,0)*0.475*44/12</f>
        <v>2.6025554443842273E-22</v>
      </c>
      <c r="BS183" s="22">
        <f t="shared" si="169"/>
        <v>0.28345463767267748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 t="e">
        <f>BY183*VLOOKUP('Données projet'!$B$12,Paramètres!$A$1:$I$89,3,0)*VLOOKUP('Données projet'!$B$12,Paramètres!$A$1:$I$89,5,0)</f>
        <v>#N/A</v>
      </c>
      <c r="CA183" s="13" t="e">
        <f t="shared" si="170"/>
        <v>#N/A</v>
      </c>
      <c r="CB183" s="20" t="e">
        <f t="shared" si="171"/>
        <v>#N/A</v>
      </c>
      <c r="CC183" s="59" t="e">
        <f t="shared" si="119"/>
        <v>#N/A</v>
      </c>
      <c r="CD183" s="59" t="e">
        <f ca="1">AVERAGE(OFFSET($CC$3,0,0,'Données projet'!$E$12+1,1))-AVERAGE(OFFSET($H$3,0,0,'Données projet'!$E$12+1,1))</f>
        <v>#N/A</v>
      </c>
      <c r="CE183" s="59" t="e">
        <f t="shared" si="148"/>
        <v>#N/A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 t="e">
        <f>EXP(-LN(2)/35)*CK182+(1-EXP(-LN(2)/35))/(LN(2)/35)*CG183*CH183*VLOOKUP('Données projet'!$B$12,Paramètres!$A$1:$I$89,3,0)*0.475*44/12</f>
        <v>#N/A</v>
      </c>
      <c r="CL183" s="21" t="e">
        <f>EXP(-LN(2)/25)*CL182+(1-EXP(-LN(2)/25))/(LN(2)/25)*Calculateur!CG183*Calculateur!CI183*VLOOKUP('Données projet'!$B$12,Paramètres!$A$1:$I$89,3,0)*0.475*44/12</f>
        <v>#N/A</v>
      </c>
      <c r="CM183" s="21" t="e">
        <f>EXP(-LN(2)/2)*CM182+(1-EXP(-LN(2)/2))/(LN(2)/2)*CG183*CJ183*VLOOKUP('Données projet'!$B$12,Paramètres!$A$1:$I$89,3,0)*0.475*44/12</f>
        <v>#N/A</v>
      </c>
      <c r="CN183" s="22" t="e">
        <f t="shared" si="172"/>
        <v>#N/A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25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160.9451999999998</v>
      </c>
      <c r="D184" s="11">
        <f t="shared" si="140"/>
        <v>41.055634766602871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10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1559.3046894264069</v>
      </c>
      <c r="H184" s="67">
        <f t="shared" si="110"/>
        <v>645.15145388516635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-3.4106051316484809E-13</v>
      </c>
      <c r="O184" s="13">
        <f>N184*VLOOKUP('Données projet'!$B$9,Paramètres!$A$1:$I$89,3,0)*VLOOKUP('Données projet'!$B$9,Paramètres!$A$1:$I$89,5,0)</f>
        <v>-1.9065282685915009E-13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279.98352834501759</v>
      </c>
      <c r="T184" s="59">
        <f t="shared" si="142"/>
        <v>281.30062655265488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0.20090905904432182</v>
      </c>
      <c r="AA184" s="21">
        <f>EXP(-LN(2)/25)*AA183+(1-EXP(-LN(2)/25))/(LN(2)/25)*Calculateur!V184*Calculateur!X184*VLOOKUP('Données projet'!$B$9,Paramètres!$A$1:$I$89,3,0)*0.475*44/12</f>
        <v>0.36819468781067638</v>
      </c>
      <c r="AB184" s="21">
        <f>EXP(-LN(2)/2)*AB183+(1-EXP(-LN(2)/2))/(LN(2)/2)*V184*Y184*VLOOKUP('Données projet'!$B$9,Paramètres!$A$1:$I$89,3,0)*0.475*44/12</f>
        <v>5.3001080221601166E-22</v>
      </c>
      <c r="AC184" s="22">
        <f t="shared" si="163"/>
        <v>0.5691037468549982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-1.1368683772161603E-13</v>
      </c>
      <c r="AJ184" s="13">
        <f>AI184*VLOOKUP('Données projet'!$B$10,Paramètres!$A$1:$I$89,3,0)*VLOOKUP('Données projet'!$B$10,Paramètres!$A$1:$I$89,5,0)</f>
        <v>-1.1527845344971866E-13</v>
      </c>
      <c r="AK184" s="13" t="e">
        <f t="shared" si="164"/>
        <v>#NUM!</v>
      </c>
      <c r="AL184" s="20" t="e">
        <f t="shared" si="165"/>
        <v>#NUM!</v>
      </c>
      <c r="AM184" s="59" t="e">
        <f t="shared" si="113"/>
        <v>#NUM!</v>
      </c>
      <c r="AN184" s="59">
        <f ca="1">AVERAGE(OFFSET($AM$3,0,0,'Données projet'!$E$10+1,1))-AVERAGE(OFFSET($H$3,0,0,'Données projet'!$E$10+1,1))</f>
        <v>279.20364724206644</v>
      </c>
      <c r="AO184" s="59">
        <f t="shared" si="144"/>
        <v>173.99850582760712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0</v>
      </c>
      <c r="AV184" s="21">
        <f>EXP(-LN(2)/25)*AV183+(1-EXP(-LN(2)/25))/(LN(2)/25)*Calculateur!AQ184*Calculateur!AS184*VLOOKUP('Données projet'!$B$10,Paramètres!$A$1:$I$89,3,0)*0.475*44/12</f>
        <v>5.2900161217371823E-2</v>
      </c>
      <c r="AW184" s="21">
        <f>EXP(-LN(2)/2)*AW183+(1-EXP(-LN(2)/2))/(LN(2)/2)*AQ184*AT184*VLOOKUP('Données projet'!$B$10,Paramètres!$A$1:$I$89,3,0)*0.475*44/12</f>
        <v>1.2982716753083343E-22</v>
      </c>
      <c r="AX184" s="21">
        <f t="shared" si="166"/>
        <v>5.2900161217371823E-2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-1.1368683772161603E-13</v>
      </c>
      <c r="BE184" s="13">
        <f>BD184*VLOOKUP('Données projet'!$B$11,Paramètres!$A$1:$I$89,3,0)*VLOOKUP('Données projet'!$B$11,Paramètres!$A$1:$I$89,5,0)</f>
        <v>-5.3205440053716299E-14</v>
      </c>
      <c r="BF184" s="13" t="e">
        <f t="shared" si="167"/>
        <v>#NUM!</v>
      </c>
      <c r="BG184" s="20" t="e">
        <f t="shared" si="168"/>
        <v>#NUM!</v>
      </c>
      <c r="BH184" s="59" t="e">
        <f t="shared" si="116"/>
        <v>#NUM!</v>
      </c>
      <c r="BI184" s="59">
        <f ca="1">AVERAGE(OFFSET($BH$3,0,0,'Données projet'!$E$11+1,1))-AVERAGE(OFFSET($H$3,0,0,'Données projet'!$E$11+1,1))</f>
        <v>215.23235148064941</v>
      </c>
      <c r="BJ184" s="59">
        <f t="shared" si="146"/>
        <v>184.07239726900434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0.15756152309674298</v>
      </c>
      <c r="BQ184" s="21">
        <f>EXP(-LN(2)/25)*BQ183+(1-EXP(-LN(2)/25))/(LN(2)/25)*Calculateur!BL184*Calculateur!BN184*VLOOKUP('Données projet'!$B$11,Paramètres!$A$1:$I$89,3,0)*0.475*44/12</f>
        <v>0.11938525418956823</v>
      </c>
      <c r="BR184" s="21">
        <f>EXP(-LN(2)/2)*BR183+(1-EXP(-LN(2)/2))/(LN(2)/2)*BL184*BO184*VLOOKUP('Données projet'!$B$11,Paramètres!$A$1:$I$89,3,0)*0.475*44/12</f>
        <v>1.8402846031380558E-22</v>
      </c>
      <c r="BS184" s="22">
        <f t="shared" si="169"/>
        <v>0.27694677728631123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 t="e">
        <f>BY184*VLOOKUP('Données projet'!$B$12,Paramètres!$A$1:$I$89,3,0)*VLOOKUP('Données projet'!$B$12,Paramètres!$A$1:$I$89,5,0)</f>
        <v>#N/A</v>
      </c>
      <c r="CA184" s="13" t="e">
        <f t="shared" si="170"/>
        <v>#N/A</v>
      </c>
      <c r="CB184" s="20" t="e">
        <f t="shared" si="171"/>
        <v>#N/A</v>
      </c>
      <c r="CC184" s="59" t="e">
        <f t="shared" si="119"/>
        <v>#N/A</v>
      </c>
      <c r="CD184" s="59" t="e">
        <f ca="1">AVERAGE(OFFSET($CC$3,0,0,'Données projet'!$E$12+1,1))-AVERAGE(OFFSET($H$3,0,0,'Données projet'!$E$12+1,1))</f>
        <v>#N/A</v>
      </c>
      <c r="CE184" s="59" t="e">
        <f t="shared" si="148"/>
        <v>#N/A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 t="e">
        <f>EXP(-LN(2)/35)*CK183+(1-EXP(-LN(2)/35))/(LN(2)/35)*CG184*CH184*VLOOKUP('Données projet'!$B$12,Paramètres!$A$1:$I$89,3,0)*0.475*44/12</f>
        <v>#N/A</v>
      </c>
      <c r="CL184" s="21" t="e">
        <f>EXP(-LN(2)/25)*CL183+(1-EXP(-LN(2)/25))/(LN(2)/25)*Calculateur!CG184*Calculateur!CI184*VLOOKUP('Données projet'!$B$12,Paramètres!$A$1:$I$89,3,0)*0.475*44/12</f>
        <v>#N/A</v>
      </c>
      <c r="CM184" s="21" t="e">
        <f>EXP(-LN(2)/2)*CM183+(1-EXP(-LN(2)/2))/(LN(2)/2)*CG184*CJ184*VLOOKUP('Données projet'!$B$12,Paramètres!$A$1:$I$89,3,0)*0.475*44/12</f>
        <v>#N/A</v>
      </c>
      <c r="CN184" s="22" t="e">
        <f t="shared" si="172"/>
        <v>#N/A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25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161.83439999999979</v>
      </c>
      <c r="D185" s="11">
        <f t="shared" si="140"/>
        <v>41.255994535170444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10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1567.7153262364018</v>
      </c>
      <c r="H185" s="67">
        <f t="shared" si="110"/>
        <v>647.0491038154214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-3.4106051316484809E-13</v>
      </c>
      <c r="O185" s="13">
        <f>N185*VLOOKUP('Données projet'!$B$9,Paramètres!$A$1:$I$89,3,0)*VLOOKUP('Données projet'!$B$9,Paramètres!$A$1:$I$89,5,0)</f>
        <v>-1.9065282685915009E-13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279.98352834501759</v>
      </c>
      <c r="T185" s="59">
        <f t="shared" si="142"/>
        <v>281.30062655265488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0.19696935493888862</v>
      </c>
      <c r="AA185" s="21">
        <f>EXP(-LN(2)/25)*AA184+(1-EXP(-LN(2)/25))/(LN(2)/25)*Calculateur!V185*Calculateur!X185*VLOOKUP('Données projet'!$B$9,Paramètres!$A$1:$I$89,3,0)*0.475*44/12</f>
        <v>0.35812638470997632</v>
      </c>
      <c r="AB185" s="21">
        <f>EXP(-LN(2)/2)*AB184+(1-EXP(-LN(2)/2))/(LN(2)/2)*V185*Y185*VLOOKUP('Données projet'!$B$9,Paramètres!$A$1:$I$89,3,0)*0.475*44/12</f>
        <v>3.7477423234906388E-22</v>
      </c>
      <c r="AC185" s="22">
        <f t="shared" si="163"/>
        <v>0.55509573964886494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-1.1368683772161603E-13</v>
      </c>
      <c r="AJ185" s="13">
        <f>AI185*VLOOKUP('Données projet'!$B$10,Paramètres!$A$1:$I$89,3,0)*VLOOKUP('Données projet'!$B$10,Paramètres!$A$1:$I$89,5,0)</f>
        <v>-1.1527845344971866E-13</v>
      </c>
      <c r="AK185" s="13" t="e">
        <f t="shared" si="164"/>
        <v>#NUM!</v>
      </c>
      <c r="AL185" s="20" t="e">
        <f t="shared" si="165"/>
        <v>#NUM!</v>
      </c>
      <c r="AM185" s="59" t="e">
        <f t="shared" si="113"/>
        <v>#NUM!</v>
      </c>
      <c r="AN185" s="59">
        <f ca="1">AVERAGE(OFFSET($AM$3,0,0,'Données projet'!$E$10+1,1))-AVERAGE(OFFSET($H$3,0,0,'Données projet'!$E$10+1,1))</f>
        <v>279.20364724206644</v>
      </c>
      <c r="AO185" s="59">
        <f t="shared" si="144"/>
        <v>173.99850582760712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0</v>
      </c>
      <c r="AV185" s="21">
        <f>EXP(-LN(2)/25)*AV184+(1-EXP(-LN(2)/25))/(LN(2)/25)*Calculateur!AQ185*Calculateur!AS185*VLOOKUP('Données projet'!$B$10,Paramètres!$A$1:$I$89,3,0)*0.475*44/12</f>
        <v>5.1453603526984214E-2</v>
      </c>
      <c r="AW185" s="21">
        <f>EXP(-LN(2)/2)*AW184+(1-EXP(-LN(2)/2))/(LN(2)/2)*AQ185*AT185*VLOOKUP('Données projet'!$B$10,Paramètres!$A$1:$I$89,3,0)*0.475*44/12</f>
        <v>9.1801670543294279E-23</v>
      </c>
      <c r="AX185" s="21">
        <f t="shared" si="166"/>
        <v>5.1453603526984214E-2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-1.1368683772161603E-13</v>
      </c>
      <c r="BE185" s="13">
        <f>BD185*VLOOKUP('Données projet'!$B$11,Paramètres!$A$1:$I$89,3,0)*VLOOKUP('Données projet'!$B$11,Paramètres!$A$1:$I$89,5,0)</f>
        <v>-5.3205440053716299E-14</v>
      </c>
      <c r="BF185" s="13" t="e">
        <f t="shared" si="167"/>
        <v>#NUM!</v>
      </c>
      <c r="BG185" s="20" t="e">
        <f t="shared" si="168"/>
        <v>#NUM!</v>
      </c>
      <c r="BH185" s="59" t="e">
        <f t="shared" si="116"/>
        <v>#NUM!</v>
      </c>
      <c r="BI185" s="59">
        <f ca="1">AVERAGE(OFFSET($BH$3,0,0,'Données projet'!$E$11+1,1))-AVERAGE(OFFSET($H$3,0,0,'Données projet'!$E$11+1,1))</f>
        <v>215.23235148064941</v>
      </c>
      <c r="BJ185" s="59">
        <f t="shared" si="146"/>
        <v>184.07239726900434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0.15447183773185555</v>
      </c>
      <c r="BQ185" s="21">
        <f>EXP(-LN(2)/25)*BQ184+(1-EXP(-LN(2)/25))/(LN(2)/25)*Calculateur!BL185*Calculateur!BN185*VLOOKUP('Données projet'!$B$11,Paramètres!$A$1:$I$89,3,0)*0.475*44/12</f>
        <v>0.11612065813555683</v>
      </c>
      <c r="BR185" s="21">
        <f>EXP(-LN(2)/2)*BR184+(1-EXP(-LN(2)/2))/(LN(2)/2)*BL185*BO185*VLOOKUP('Données projet'!$B$11,Paramètres!$A$1:$I$89,3,0)*0.475*44/12</f>
        <v>1.3012777221921136E-22</v>
      </c>
      <c r="BS185" s="22">
        <f t="shared" si="169"/>
        <v>0.27059249586741241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 t="e">
        <f>BY185*VLOOKUP('Données projet'!$B$12,Paramètres!$A$1:$I$89,3,0)*VLOOKUP('Données projet'!$B$12,Paramètres!$A$1:$I$89,5,0)</f>
        <v>#N/A</v>
      </c>
      <c r="CA185" s="13" t="e">
        <f t="shared" si="170"/>
        <v>#N/A</v>
      </c>
      <c r="CB185" s="20" t="e">
        <f t="shared" si="171"/>
        <v>#N/A</v>
      </c>
      <c r="CC185" s="59" t="e">
        <f t="shared" si="119"/>
        <v>#N/A</v>
      </c>
      <c r="CD185" s="59" t="e">
        <f ca="1">AVERAGE(OFFSET($CC$3,0,0,'Données projet'!$E$12+1,1))-AVERAGE(OFFSET($H$3,0,0,'Données projet'!$E$12+1,1))</f>
        <v>#N/A</v>
      </c>
      <c r="CE185" s="59" t="e">
        <f t="shared" si="148"/>
        <v>#N/A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 t="e">
        <f>EXP(-LN(2)/35)*CK184+(1-EXP(-LN(2)/35))/(LN(2)/35)*CG185*CH185*VLOOKUP('Données projet'!$B$12,Paramètres!$A$1:$I$89,3,0)*0.475*44/12</f>
        <v>#N/A</v>
      </c>
      <c r="CL185" s="21" t="e">
        <f>EXP(-LN(2)/25)*CL184+(1-EXP(-LN(2)/25))/(LN(2)/25)*Calculateur!CG185*Calculateur!CI185*VLOOKUP('Données projet'!$B$12,Paramètres!$A$1:$I$89,3,0)*0.475*44/12</f>
        <v>#N/A</v>
      </c>
      <c r="CM185" s="21" t="e">
        <f>EXP(-LN(2)/2)*CM184+(1-EXP(-LN(2)/2))/(LN(2)/2)*CG185*CJ185*VLOOKUP('Données projet'!$B$12,Paramètres!$A$1:$I$89,3,0)*0.475*44/12</f>
        <v>#N/A</v>
      </c>
      <c r="CN185" s="22" t="e">
        <f t="shared" si="172"/>
        <v>#N/A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25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162.72359999999978</v>
      </c>
      <c r="D186" s="11">
        <f t="shared" si="140"/>
        <v>41.456226201843137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10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1576.1249741896645</v>
      </c>
      <c r="H186" s="67">
        <f t="shared" si="110"/>
        <v>648.94653063487635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-3.4106051316484809E-13</v>
      </c>
      <c r="O186" s="13">
        <f>N186*VLOOKUP('Données projet'!$B$9,Paramètres!$A$1:$I$89,3,0)*VLOOKUP('Données projet'!$B$9,Paramètres!$A$1:$I$89,5,0)</f>
        <v>-1.9065282685915009E-13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279.98352834501759</v>
      </c>
      <c r="T186" s="59">
        <f t="shared" si="142"/>
        <v>281.30062655265488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0.19310690602798075</v>
      </c>
      <c r="AA186" s="21">
        <f>EXP(-LN(2)/25)*AA185+(1-EXP(-LN(2)/25))/(LN(2)/25)*Calculateur!V186*Calculateur!X186*VLOOKUP('Données projet'!$B$9,Paramètres!$A$1:$I$89,3,0)*0.475*44/12</f>
        <v>0.34833339988703393</v>
      </c>
      <c r="AB186" s="21">
        <f>EXP(-LN(2)/2)*AB185+(1-EXP(-LN(2)/2))/(LN(2)/2)*V186*Y186*VLOOKUP('Données projet'!$B$9,Paramètres!$A$1:$I$89,3,0)*0.475*44/12</f>
        <v>2.6500540110800583E-22</v>
      </c>
      <c r="AC186" s="22">
        <f t="shared" si="163"/>
        <v>0.54144030591501469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-1.1368683772161603E-13</v>
      </c>
      <c r="AJ186" s="13">
        <f>AI186*VLOOKUP('Données projet'!$B$10,Paramètres!$A$1:$I$89,3,0)*VLOOKUP('Données projet'!$B$10,Paramètres!$A$1:$I$89,5,0)</f>
        <v>-1.1527845344971866E-13</v>
      </c>
      <c r="AK186" s="13" t="e">
        <f t="shared" si="164"/>
        <v>#NUM!</v>
      </c>
      <c r="AL186" s="20" t="e">
        <f t="shared" si="165"/>
        <v>#NUM!</v>
      </c>
      <c r="AM186" s="59" t="e">
        <f t="shared" si="113"/>
        <v>#NUM!</v>
      </c>
      <c r="AN186" s="59">
        <f ca="1">AVERAGE(OFFSET($AM$3,0,0,'Données projet'!$E$10+1,1))-AVERAGE(OFFSET($H$3,0,0,'Données projet'!$E$10+1,1))</f>
        <v>279.20364724206644</v>
      </c>
      <c r="AO186" s="59">
        <f t="shared" si="144"/>
        <v>173.99850582760712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0</v>
      </c>
      <c r="AV186" s="21">
        <f>EXP(-LN(2)/25)*AV185+(1-EXP(-LN(2)/25))/(LN(2)/25)*Calculateur!AQ186*Calculateur!AS186*VLOOKUP('Données projet'!$B$10,Paramètres!$A$1:$I$89,3,0)*0.475*44/12</f>
        <v>5.0046602032711419E-2</v>
      </c>
      <c r="AW186" s="21">
        <f>EXP(-LN(2)/2)*AW185+(1-EXP(-LN(2)/2))/(LN(2)/2)*AQ186*AT186*VLOOKUP('Données projet'!$B$10,Paramètres!$A$1:$I$89,3,0)*0.475*44/12</f>
        <v>6.4913583765416713E-23</v>
      </c>
      <c r="AX186" s="21">
        <f t="shared" si="166"/>
        <v>5.0046602032711419E-2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-1.1368683772161603E-13</v>
      </c>
      <c r="BE186" s="13">
        <f>BD186*VLOOKUP('Données projet'!$B$11,Paramètres!$A$1:$I$89,3,0)*VLOOKUP('Données projet'!$B$11,Paramètres!$A$1:$I$89,5,0)</f>
        <v>-5.3205440053716299E-14</v>
      </c>
      <c r="BF186" s="13" t="e">
        <f t="shared" si="167"/>
        <v>#NUM!</v>
      </c>
      <c r="BG186" s="20" t="e">
        <f t="shared" si="168"/>
        <v>#NUM!</v>
      </c>
      <c r="BH186" s="59" t="e">
        <f t="shared" si="116"/>
        <v>#NUM!</v>
      </c>
      <c r="BI186" s="59">
        <f ca="1">AVERAGE(OFFSET($BH$3,0,0,'Données projet'!$E$11+1,1))-AVERAGE(OFFSET($H$3,0,0,'Données projet'!$E$11+1,1))</f>
        <v>215.23235148064941</v>
      </c>
      <c r="BJ186" s="59">
        <f t="shared" si="146"/>
        <v>184.07239726900434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0.15144273921245158</v>
      </c>
      <c r="BQ186" s="21">
        <f>EXP(-LN(2)/25)*BQ185+(1-EXP(-LN(2)/25))/(LN(2)/25)*Calculateur!BL186*Calculateur!BN186*VLOOKUP('Données projet'!$B$11,Paramètres!$A$1:$I$89,3,0)*0.475*44/12</f>
        <v>0.11294533263232001</v>
      </c>
      <c r="BR186" s="21">
        <f>EXP(-LN(2)/2)*BR185+(1-EXP(-LN(2)/2))/(LN(2)/2)*BL186*BO186*VLOOKUP('Données projet'!$B$11,Paramètres!$A$1:$I$89,3,0)*0.475*44/12</f>
        <v>9.2014230156902789E-23</v>
      </c>
      <c r="BS186" s="22">
        <f t="shared" si="169"/>
        <v>0.26438807184477159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 t="e">
        <f>BY186*VLOOKUP('Données projet'!$B$12,Paramètres!$A$1:$I$89,3,0)*VLOOKUP('Données projet'!$B$12,Paramètres!$A$1:$I$89,5,0)</f>
        <v>#N/A</v>
      </c>
      <c r="CA186" s="13" t="e">
        <f t="shared" si="170"/>
        <v>#N/A</v>
      </c>
      <c r="CB186" s="20" t="e">
        <f t="shared" si="171"/>
        <v>#N/A</v>
      </c>
      <c r="CC186" s="59" t="e">
        <f t="shared" si="119"/>
        <v>#N/A</v>
      </c>
      <c r="CD186" s="59" t="e">
        <f ca="1">AVERAGE(OFFSET($CC$3,0,0,'Données projet'!$E$12+1,1))-AVERAGE(OFFSET($H$3,0,0,'Données projet'!$E$12+1,1))</f>
        <v>#N/A</v>
      </c>
      <c r="CE186" s="59" t="e">
        <f t="shared" si="148"/>
        <v>#N/A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 t="e">
        <f>EXP(-LN(2)/35)*CK185+(1-EXP(-LN(2)/35))/(LN(2)/35)*CG186*CH186*VLOOKUP('Données projet'!$B$12,Paramètres!$A$1:$I$89,3,0)*0.475*44/12</f>
        <v>#N/A</v>
      </c>
      <c r="CL186" s="21" t="e">
        <f>EXP(-LN(2)/25)*CL185+(1-EXP(-LN(2)/25))/(LN(2)/25)*Calculateur!CG186*Calculateur!CI186*VLOOKUP('Données projet'!$B$12,Paramètres!$A$1:$I$89,3,0)*0.475*44/12</f>
        <v>#N/A</v>
      </c>
      <c r="CM186" s="21" t="e">
        <f>EXP(-LN(2)/2)*CM185+(1-EXP(-LN(2)/2))/(LN(2)/2)*CG186*CJ186*VLOOKUP('Données projet'!$B$12,Paramètres!$A$1:$I$89,3,0)*0.475*44/12</f>
        <v>#N/A</v>
      </c>
      <c r="CN186" s="22" t="e">
        <f t="shared" si="172"/>
        <v>#N/A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25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163.61279999999977</v>
      </c>
      <c r="D187" s="11">
        <f t="shared" si="140"/>
        <v>41.656330547871768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10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1584.533639316903</v>
      </c>
      <c r="H187" s="67">
        <f t="shared" si="110"/>
        <v>650.84373570420951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-3.4106051316484809E-13</v>
      </c>
      <c r="O187" s="13">
        <f>N187*VLOOKUP('Données projet'!$B$9,Paramètres!$A$1:$I$89,3,0)*VLOOKUP('Données projet'!$B$9,Paramètres!$A$1:$I$89,5,0)</f>
        <v>-1.9065282685915009E-13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279.98352834501759</v>
      </c>
      <c r="T187" s="59">
        <f t="shared" si="142"/>
        <v>281.30062655265488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0.18932019738435457</v>
      </c>
      <c r="AA187" s="21">
        <f>EXP(-LN(2)/25)*AA186+(1-EXP(-LN(2)/25))/(LN(2)/25)*Calculateur!V187*Calculateur!X187*VLOOKUP('Données projet'!$B$9,Paramètres!$A$1:$I$89,3,0)*0.475*44/12</f>
        <v>0.33880820474906564</v>
      </c>
      <c r="AB187" s="21">
        <f>EXP(-LN(2)/2)*AB186+(1-EXP(-LN(2)/2))/(LN(2)/2)*V187*Y187*VLOOKUP('Données projet'!$B$9,Paramètres!$A$1:$I$89,3,0)*0.475*44/12</f>
        <v>1.8738711617453194E-22</v>
      </c>
      <c r="AC187" s="22">
        <f t="shared" si="163"/>
        <v>0.52812840213342027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-1.1368683772161603E-13</v>
      </c>
      <c r="AJ187" s="13">
        <f>AI187*VLOOKUP('Données projet'!$B$10,Paramètres!$A$1:$I$89,3,0)*VLOOKUP('Données projet'!$B$10,Paramètres!$A$1:$I$89,5,0)</f>
        <v>-1.1527845344971866E-13</v>
      </c>
      <c r="AK187" s="13" t="e">
        <f t="shared" si="164"/>
        <v>#NUM!</v>
      </c>
      <c r="AL187" s="20" t="e">
        <f t="shared" si="165"/>
        <v>#NUM!</v>
      </c>
      <c r="AM187" s="59" t="e">
        <f t="shared" si="113"/>
        <v>#NUM!</v>
      </c>
      <c r="AN187" s="59">
        <f ca="1">AVERAGE(OFFSET($AM$3,0,0,'Données projet'!$E$10+1,1))-AVERAGE(OFFSET($H$3,0,0,'Données projet'!$E$10+1,1))</f>
        <v>279.20364724206644</v>
      </c>
      <c r="AO187" s="59">
        <f t="shared" si="144"/>
        <v>173.99850582760712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0</v>
      </c>
      <c r="AV187" s="21">
        <f>EXP(-LN(2)/25)*AV186+(1-EXP(-LN(2)/25))/(LN(2)/25)*Calculateur!AQ187*Calculateur!AS187*VLOOKUP('Données projet'!$B$10,Paramètres!$A$1:$I$89,3,0)*0.475*44/12</f>
        <v>4.8678075068290506E-2</v>
      </c>
      <c r="AW187" s="21">
        <f>EXP(-LN(2)/2)*AW186+(1-EXP(-LN(2)/2))/(LN(2)/2)*AQ187*AT187*VLOOKUP('Données projet'!$B$10,Paramètres!$A$1:$I$89,3,0)*0.475*44/12</f>
        <v>4.5900835271647139E-23</v>
      </c>
      <c r="AX187" s="21">
        <f t="shared" si="166"/>
        <v>4.8678075068290506E-2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-1.1368683772161603E-13</v>
      </c>
      <c r="BE187" s="13">
        <f>BD187*VLOOKUP('Données projet'!$B$11,Paramètres!$A$1:$I$89,3,0)*VLOOKUP('Données projet'!$B$11,Paramètres!$A$1:$I$89,5,0)</f>
        <v>-5.3205440053716299E-14</v>
      </c>
      <c r="BF187" s="13" t="e">
        <f t="shared" si="167"/>
        <v>#NUM!</v>
      </c>
      <c r="BG187" s="20" t="e">
        <f t="shared" si="168"/>
        <v>#NUM!</v>
      </c>
      <c r="BH187" s="59" t="e">
        <f t="shared" si="116"/>
        <v>#NUM!</v>
      </c>
      <c r="BI187" s="59">
        <f ca="1">AVERAGE(OFFSET($BH$3,0,0,'Données projet'!$E$11+1,1))-AVERAGE(OFFSET($H$3,0,0,'Données projet'!$E$11+1,1))</f>
        <v>215.23235148064941</v>
      </c>
      <c r="BJ187" s="59">
        <f t="shared" si="146"/>
        <v>184.07239726900434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0.14847303946744544</v>
      </c>
      <c r="BQ187" s="21">
        <f>EXP(-LN(2)/25)*BQ186+(1-EXP(-LN(2)/25))/(LN(2)/25)*Calculateur!BL187*Calculateur!BN187*VLOOKUP('Données projet'!$B$11,Paramètres!$A$1:$I$89,3,0)*0.475*44/12</f>
        <v>0.10985683657195232</v>
      </c>
      <c r="BR187" s="21">
        <f>EXP(-LN(2)/2)*BR186+(1-EXP(-LN(2)/2))/(LN(2)/2)*BL187*BO187*VLOOKUP('Données projet'!$B$11,Paramètres!$A$1:$I$89,3,0)*0.475*44/12</f>
        <v>6.5063886109605682E-23</v>
      </c>
      <c r="BS187" s="22">
        <f t="shared" si="169"/>
        <v>0.25832987603939778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 t="e">
        <f>BY187*VLOOKUP('Données projet'!$B$12,Paramètres!$A$1:$I$89,3,0)*VLOOKUP('Données projet'!$B$12,Paramètres!$A$1:$I$89,5,0)</f>
        <v>#N/A</v>
      </c>
      <c r="CA187" s="13" t="e">
        <f t="shared" si="170"/>
        <v>#N/A</v>
      </c>
      <c r="CB187" s="20" t="e">
        <f t="shared" si="171"/>
        <v>#N/A</v>
      </c>
      <c r="CC187" s="59" t="e">
        <f t="shared" si="119"/>
        <v>#N/A</v>
      </c>
      <c r="CD187" s="59" t="e">
        <f ca="1">AVERAGE(OFFSET($CC$3,0,0,'Données projet'!$E$12+1,1))-AVERAGE(OFFSET($H$3,0,0,'Données projet'!$E$12+1,1))</f>
        <v>#N/A</v>
      </c>
      <c r="CE187" s="59" t="e">
        <f t="shared" si="148"/>
        <v>#N/A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 t="e">
        <f>EXP(-LN(2)/35)*CK186+(1-EXP(-LN(2)/35))/(LN(2)/35)*CG187*CH187*VLOOKUP('Données projet'!$B$12,Paramètres!$A$1:$I$89,3,0)*0.475*44/12</f>
        <v>#N/A</v>
      </c>
      <c r="CL187" s="21" t="e">
        <f>EXP(-LN(2)/25)*CL186+(1-EXP(-LN(2)/25))/(LN(2)/25)*Calculateur!CG187*Calculateur!CI187*VLOOKUP('Données projet'!$B$12,Paramètres!$A$1:$I$89,3,0)*0.475*44/12</f>
        <v>#N/A</v>
      </c>
      <c r="CM187" s="21" t="e">
        <f>EXP(-LN(2)/2)*CM186+(1-EXP(-LN(2)/2))/(LN(2)/2)*CG187*CJ187*VLOOKUP('Données projet'!$B$12,Paramètres!$A$1:$I$89,3,0)*0.475*44/12</f>
        <v>#N/A</v>
      </c>
      <c r="CN187" s="22" t="e">
        <f t="shared" si="172"/>
        <v>#N/A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25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164.50199999999975</v>
      </c>
      <c r="D188" s="11">
        <f t="shared" si="140"/>
        <v>41.856308345523843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10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1592.9413275794805</v>
      </c>
      <c r="H188" s="67">
        <f t="shared" si="110"/>
        <v>652.74072036845359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-3.4106051316484809E-13</v>
      </c>
      <c r="O188" s="13">
        <f>N188*VLOOKUP('Données projet'!$B$9,Paramètres!$A$1:$I$89,3,0)*VLOOKUP('Données projet'!$B$9,Paramètres!$A$1:$I$89,5,0)</f>
        <v>-1.9065282685915009E-13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279.98352834501759</v>
      </c>
      <c r="T188" s="59">
        <f t="shared" si="142"/>
        <v>281.30062655265488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0.18560774378756567</v>
      </c>
      <c r="AA188" s="21">
        <f>EXP(-LN(2)/25)*AA187+(1-EXP(-LN(2)/25))/(LN(2)/25)*Calculateur!V188*Calculateur!X188*VLOOKUP('Données projet'!$B$9,Paramètres!$A$1:$I$89,3,0)*0.475*44/12</f>
        <v>0.32954347657305333</v>
      </c>
      <c r="AB188" s="21">
        <f>EXP(-LN(2)/2)*AB187+(1-EXP(-LN(2)/2))/(LN(2)/2)*V188*Y188*VLOOKUP('Données projet'!$B$9,Paramètres!$A$1:$I$89,3,0)*0.475*44/12</f>
        <v>1.3250270055400291E-22</v>
      </c>
      <c r="AC188" s="22">
        <f t="shared" si="163"/>
        <v>0.515151220360619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-1.1368683772161603E-13</v>
      </c>
      <c r="AJ188" s="13">
        <f>AI188*VLOOKUP('Données projet'!$B$10,Paramètres!$A$1:$I$89,3,0)*VLOOKUP('Données projet'!$B$10,Paramètres!$A$1:$I$89,5,0)</f>
        <v>-1.1527845344971866E-13</v>
      </c>
      <c r="AK188" s="13" t="e">
        <f t="shared" si="164"/>
        <v>#NUM!</v>
      </c>
      <c r="AL188" s="20" t="e">
        <f t="shared" si="165"/>
        <v>#NUM!</v>
      </c>
      <c r="AM188" s="59" t="e">
        <f t="shared" si="113"/>
        <v>#NUM!</v>
      </c>
      <c r="AN188" s="59">
        <f ca="1">AVERAGE(OFFSET($AM$3,0,0,'Données projet'!$E$10+1,1))-AVERAGE(OFFSET($H$3,0,0,'Données projet'!$E$10+1,1))</f>
        <v>279.20364724206644</v>
      </c>
      <c r="AO188" s="59">
        <f t="shared" si="144"/>
        <v>173.99850582760712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0</v>
      </c>
      <c r="AV188" s="21">
        <f>EXP(-LN(2)/25)*AV187+(1-EXP(-LN(2)/25))/(LN(2)/25)*Calculateur!AQ188*Calculateur!AS188*VLOOKUP('Données projet'!$B$10,Paramètres!$A$1:$I$89,3,0)*0.475*44/12</f>
        <v>4.7346970545679393E-2</v>
      </c>
      <c r="AW188" s="21">
        <f>EXP(-LN(2)/2)*AW187+(1-EXP(-LN(2)/2))/(LN(2)/2)*AQ188*AT188*VLOOKUP('Données projet'!$B$10,Paramètres!$A$1:$I$89,3,0)*0.475*44/12</f>
        <v>3.2456791882708356E-23</v>
      </c>
      <c r="AX188" s="21">
        <f t="shared" si="166"/>
        <v>4.7346970545679393E-2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-1.1368683772161603E-13</v>
      </c>
      <c r="BE188" s="13">
        <f>BD188*VLOOKUP('Données projet'!$B$11,Paramètres!$A$1:$I$89,3,0)*VLOOKUP('Données projet'!$B$11,Paramètres!$A$1:$I$89,5,0)</f>
        <v>-5.3205440053716299E-14</v>
      </c>
      <c r="BF188" s="13" t="e">
        <f t="shared" si="167"/>
        <v>#NUM!</v>
      </c>
      <c r="BG188" s="20" t="e">
        <f t="shared" si="168"/>
        <v>#NUM!</v>
      </c>
      <c r="BH188" s="59" t="e">
        <f t="shared" si="116"/>
        <v>#NUM!</v>
      </c>
      <c r="BI188" s="59">
        <f ca="1">AVERAGE(OFFSET($BH$3,0,0,'Données projet'!$E$11+1,1))-AVERAGE(OFFSET($H$3,0,0,'Données projet'!$E$11+1,1))</f>
        <v>215.23235148064941</v>
      </c>
      <c r="BJ188" s="59">
        <f t="shared" si="146"/>
        <v>184.07239726900434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0.14556157372310088</v>
      </c>
      <c r="BQ188" s="21">
        <f>EXP(-LN(2)/25)*BQ187+(1-EXP(-LN(2)/25))/(LN(2)/25)*Calculateur!BL188*Calculateur!BN188*VLOOKUP('Données projet'!$B$11,Paramètres!$A$1:$I$89,3,0)*0.475*44/12</f>
        <v>0.10685279559877232</v>
      </c>
      <c r="BR188" s="21">
        <f>EXP(-LN(2)/2)*BR187+(1-EXP(-LN(2)/2))/(LN(2)/2)*BL188*BO188*VLOOKUP('Données projet'!$B$11,Paramètres!$A$1:$I$89,3,0)*0.475*44/12</f>
        <v>4.6007115078451394E-23</v>
      </c>
      <c r="BS188" s="22">
        <f t="shared" si="169"/>
        <v>0.25241436932187322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 t="e">
        <f>BY188*VLOOKUP('Données projet'!$B$12,Paramètres!$A$1:$I$89,3,0)*VLOOKUP('Données projet'!$B$12,Paramètres!$A$1:$I$89,5,0)</f>
        <v>#N/A</v>
      </c>
      <c r="CA188" s="13" t="e">
        <f t="shared" si="170"/>
        <v>#N/A</v>
      </c>
      <c r="CB188" s="20" t="e">
        <f t="shared" si="171"/>
        <v>#N/A</v>
      </c>
      <c r="CC188" s="59" t="e">
        <f t="shared" si="119"/>
        <v>#N/A</v>
      </c>
      <c r="CD188" s="59" t="e">
        <f ca="1">AVERAGE(OFFSET($CC$3,0,0,'Données projet'!$E$12+1,1))-AVERAGE(OFFSET($H$3,0,0,'Données projet'!$E$12+1,1))</f>
        <v>#N/A</v>
      </c>
      <c r="CE188" s="59" t="e">
        <f t="shared" si="148"/>
        <v>#N/A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 t="e">
        <f>EXP(-LN(2)/35)*CK187+(1-EXP(-LN(2)/35))/(LN(2)/35)*CG188*CH188*VLOOKUP('Données projet'!$B$12,Paramètres!$A$1:$I$89,3,0)*0.475*44/12</f>
        <v>#N/A</v>
      </c>
      <c r="CL188" s="21" t="e">
        <f>EXP(-LN(2)/25)*CL187+(1-EXP(-LN(2)/25))/(LN(2)/25)*Calculateur!CG188*Calculateur!CI188*VLOOKUP('Données projet'!$B$12,Paramètres!$A$1:$I$89,3,0)*0.475*44/12</f>
        <v>#N/A</v>
      </c>
      <c r="CM188" s="21" t="e">
        <f>EXP(-LN(2)/2)*CM187+(1-EXP(-LN(2)/2))/(LN(2)/2)*CG188*CJ188*VLOOKUP('Données projet'!$B$12,Paramètres!$A$1:$I$89,3,0)*0.475*44/12</f>
        <v>#N/A</v>
      </c>
      <c r="CN188" s="22" t="e">
        <f t="shared" si="172"/>
        <v>#N/A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25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165.39119999999974</v>
      </c>
      <c r="D189" s="11">
        <f t="shared" si="140"/>
        <v>42.056160358234798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10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1601.3480448705823</v>
      </c>
      <c r="H189" s="67">
        <f t="shared" si="110"/>
        <v>654.63748595725838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-3.4106051316484809E-13</v>
      </c>
      <c r="O189" s="13">
        <f>N189*VLOOKUP('Données projet'!$B$9,Paramètres!$A$1:$I$89,3,0)*VLOOKUP('Données projet'!$B$9,Paramètres!$A$1:$I$89,5,0)</f>
        <v>-1.9065282685915009E-13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279.98352834501759</v>
      </c>
      <c r="T189" s="59">
        <f t="shared" si="142"/>
        <v>281.30062655265488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0.1819680891414367</v>
      </c>
      <c r="AA189" s="21">
        <f>EXP(-LN(2)/25)*AA188+(1-EXP(-LN(2)/25))/(LN(2)/25)*Calculateur!V189*Calculateur!X189*VLOOKUP('Données projet'!$B$9,Paramètres!$A$1:$I$89,3,0)*0.475*44/12</f>
        <v>0.32053209287622492</v>
      </c>
      <c r="AB189" s="21">
        <f>EXP(-LN(2)/2)*AB188+(1-EXP(-LN(2)/2))/(LN(2)/2)*V189*Y189*VLOOKUP('Données projet'!$B$9,Paramètres!$A$1:$I$89,3,0)*0.475*44/12</f>
        <v>9.369355808726597E-23</v>
      </c>
      <c r="AC189" s="22">
        <f t="shared" si="163"/>
        <v>0.50250018201766156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-1.1368683772161603E-13</v>
      </c>
      <c r="AJ189" s="13">
        <f>AI189*VLOOKUP('Données projet'!$B$10,Paramètres!$A$1:$I$89,3,0)*VLOOKUP('Données projet'!$B$10,Paramètres!$A$1:$I$89,5,0)</f>
        <v>-1.1527845344971866E-13</v>
      </c>
      <c r="AK189" s="13" t="e">
        <f t="shared" si="164"/>
        <v>#NUM!</v>
      </c>
      <c r="AL189" s="20" t="e">
        <f t="shared" si="165"/>
        <v>#NUM!</v>
      </c>
      <c r="AM189" s="59" t="e">
        <f t="shared" si="113"/>
        <v>#NUM!</v>
      </c>
      <c r="AN189" s="59">
        <f ca="1">AVERAGE(OFFSET($AM$3,0,0,'Données projet'!$E$10+1,1))-AVERAGE(OFFSET($H$3,0,0,'Données projet'!$E$10+1,1))</f>
        <v>279.20364724206644</v>
      </c>
      <c r="AO189" s="59">
        <f t="shared" si="144"/>
        <v>173.99850582760712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0</v>
      </c>
      <c r="AV189" s="21">
        <f>EXP(-LN(2)/25)*AV188+(1-EXP(-LN(2)/25))/(LN(2)/25)*Calculateur!AQ189*Calculateur!AS189*VLOOKUP('Données projet'!$B$10,Paramètres!$A$1:$I$89,3,0)*0.475*44/12</f>
        <v>4.6052265146238822E-2</v>
      </c>
      <c r="AW189" s="21">
        <f>EXP(-LN(2)/2)*AW188+(1-EXP(-LN(2)/2))/(LN(2)/2)*AQ189*AT189*VLOOKUP('Données projet'!$B$10,Paramètres!$A$1:$I$89,3,0)*0.475*44/12</f>
        <v>2.295041763582357E-23</v>
      </c>
      <c r="AX189" s="21">
        <f t="shared" si="166"/>
        <v>4.6052265146238822E-2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-1.1368683772161603E-13</v>
      </c>
      <c r="BE189" s="13">
        <f>BD189*VLOOKUP('Données projet'!$B$11,Paramètres!$A$1:$I$89,3,0)*VLOOKUP('Données projet'!$B$11,Paramètres!$A$1:$I$89,5,0)</f>
        <v>-5.3205440053716299E-14</v>
      </c>
      <c r="BF189" s="13" t="e">
        <f t="shared" si="167"/>
        <v>#NUM!</v>
      </c>
      <c r="BG189" s="20" t="e">
        <f t="shared" si="168"/>
        <v>#NUM!</v>
      </c>
      <c r="BH189" s="59" t="e">
        <f t="shared" si="116"/>
        <v>#NUM!</v>
      </c>
      <c r="BI189" s="59">
        <f ca="1">AVERAGE(OFFSET($BH$3,0,0,'Données projet'!$E$11+1,1))-AVERAGE(OFFSET($H$3,0,0,'Données projet'!$E$11+1,1))</f>
        <v>215.23235148064941</v>
      </c>
      <c r="BJ189" s="59">
        <f t="shared" si="146"/>
        <v>184.07239726900434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0.14270720004618417</v>
      </c>
      <c r="BQ189" s="21">
        <f>EXP(-LN(2)/25)*BQ188+(1-EXP(-LN(2)/25))/(LN(2)/25)*Calculateur!BL189*Calculateur!BN189*VLOOKUP('Données projet'!$B$11,Paramètres!$A$1:$I$89,3,0)*0.475*44/12</f>
        <v>0.10393090028397958</v>
      </c>
      <c r="BR189" s="21">
        <f>EXP(-LN(2)/2)*BR188+(1-EXP(-LN(2)/2))/(LN(2)/2)*BL189*BO189*VLOOKUP('Données projet'!$B$11,Paramètres!$A$1:$I$89,3,0)*0.475*44/12</f>
        <v>3.2531943054802841E-23</v>
      </c>
      <c r="BS189" s="22">
        <f t="shared" si="169"/>
        <v>0.24663810033016376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 t="e">
        <f>BY189*VLOOKUP('Données projet'!$B$12,Paramètres!$A$1:$I$89,3,0)*VLOOKUP('Données projet'!$B$12,Paramètres!$A$1:$I$89,5,0)</f>
        <v>#N/A</v>
      </c>
      <c r="CA189" s="13" t="e">
        <f t="shared" si="170"/>
        <v>#N/A</v>
      </c>
      <c r="CB189" s="20" t="e">
        <f t="shared" si="171"/>
        <v>#N/A</v>
      </c>
      <c r="CC189" s="59" t="e">
        <f t="shared" si="119"/>
        <v>#N/A</v>
      </c>
      <c r="CD189" s="59" t="e">
        <f ca="1">AVERAGE(OFFSET($CC$3,0,0,'Données projet'!$E$12+1,1))-AVERAGE(OFFSET($H$3,0,0,'Données projet'!$E$12+1,1))</f>
        <v>#N/A</v>
      </c>
      <c r="CE189" s="59" t="e">
        <f t="shared" si="148"/>
        <v>#N/A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 t="e">
        <f>EXP(-LN(2)/35)*CK188+(1-EXP(-LN(2)/35))/(LN(2)/35)*CG189*CH189*VLOOKUP('Données projet'!$B$12,Paramètres!$A$1:$I$89,3,0)*0.475*44/12</f>
        <v>#N/A</v>
      </c>
      <c r="CL189" s="21" t="e">
        <f>EXP(-LN(2)/25)*CL188+(1-EXP(-LN(2)/25))/(LN(2)/25)*Calculateur!CG189*Calculateur!CI189*VLOOKUP('Données projet'!$B$12,Paramètres!$A$1:$I$89,3,0)*0.475*44/12</f>
        <v>#N/A</v>
      </c>
      <c r="CM189" s="21" t="e">
        <f>EXP(-LN(2)/2)*CM188+(1-EXP(-LN(2)/2))/(LN(2)/2)*CG189*CJ189*VLOOKUP('Données projet'!$B$12,Paramètres!$A$1:$I$89,3,0)*0.475*44/12</f>
        <v>#N/A</v>
      </c>
      <c r="CN189" s="22" t="e">
        <f t="shared" si="172"/>
        <v>#N/A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25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166.28039999999973</v>
      </c>
      <c r="D190" s="11">
        <f t="shared" si="140"/>
        <v>42.255887340755834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10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1609.7537970163587</v>
      </c>
      <c r="H190" s="67">
        <f t="shared" si="110"/>
        <v>656.53403378514918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-3.4106051316484809E-13</v>
      </c>
      <c r="O190" s="13">
        <f>N190*VLOOKUP('Données projet'!$B$9,Paramètres!$A$1:$I$89,3,0)*VLOOKUP('Données projet'!$B$9,Paramètres!$A$1:$I$89,5,0)</f>
        <v>-1.9065282685915009E-13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279.98352834501759</v>
      </c>
      <c r="T190" s="59">
        <f t="shared" si="142"/>
        <v>281.30062655265488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0.17839980590294818</v>
      </c>
      <c r="AA190" s="21">
        <f>EXP(-LN(2)/25)*AA189+(1-EXP(-LN(2)/25))/(LN(2)/25)*Calculateur!V190*Calculateur!X190*VLOOKUP('Données projet'!$B$9,Paramètres!$A$1:$I$89,3,0)*0.475*44/12</f>
        <v>0.31176712594047434</v>
      </c>
      <c r="AB190" s="21">
        <f>EXP(-LN(2)/2)*AB189+(1-EXP(-LN(2)/2))/(LN(2)/2)*V190*Y190*VLOOKUP('Données projet'!$B$9,Paramètres!$A$1:$I$89,3,0)*0.475*44/12</f>
        <v>6.6251350277001457E-23</v>
      </c>
      <c r="AC190" s="22">
        <f t="shared" si="163"/>
        <v>0.49016693184342253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-1.1368683772161603E-13</v>
      </c>
      <c r="AJ190" s="13">
        <f>AI190*VLOOKUP('Données projet'!$B$10,Paramètres!$A$1:$I$89,3,0)*VLOOKUP('Données projet'!$B$10,Paramètres!$A$1:$I$89,5,0)</f>
        <v>-1.1527845344971866E-13</v>
      </c>
      <c r="AK190" s="13" t="e">
        <f t="shared" si="164"/>
        <v>#NUM!</v>
      </c>
      <c r="AL190" s="20" t="e">
        <f t="shared" si="165"/>
        <v>#NUM!</v>
      </c>
      <c r="AM190" s="59" t="e">
        <f t="shared" si="113"/>
        <v>#NUM!</v>
      </c>
      <c r="AN190" s="59">
        <f ca="1">AVERAGE(OFFSET($AM$3,0,0,'Données projet'!$E$10+1,1))-AVERAGE(OFFSET($H$3,0,0,'Données projet'!$E$10+1,1))</f>
        <v>279.20364724206644</v>
      </c>
      <c r="AO190" s="59">
        <f t="shared" si="144"/>
        <v>173.99850582760712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0</v>
      </c>
      <c r="AV190" s="21">
        <f>EXP(-LN(2)/25)*AV189+(1-EXP(-LN(2)/25))/(LN(2)/25)*Calculateur!AQ190*Calculateur!AS190*VLOOKUP('Données projet'!$B$10,Paramètres!$A$1:$I$89,3,0)*0.475*44/12</f>
        <v>4.4792963534031553E-2</v>
      </c>
      <c r="AW190" s="21">
        <f>EXP(-LN(2)/2)*AW189+(1-EXP(-LN(2)/2))/(LN(2)/2)*AQ190*AT190*VLOOKUP('Données projet'!$B$10,Paramètres!$A$1:$I$89,3,0)*0.475*44/12</f>
        <v>1.6228395941354178E-23</v>
      </c>
      <c r="AX190" s="21">
        <f t="shared" si="166"/>
        <v>4.4792963534031553E-2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-1.1368683772161603E-13</v>
      </c>
      <c r="BE190" s="13">
        <f>BD190*VLOOKUP('Données projet'!$B$11,Paramètres!$A$1:$I$89,3,0)*VLOOKUP('Données projet'!$B$11,Paramètres!$A$1:$I$89,5,0)</f>
        <v>-5.3205440053716299E-14</v>
      </c>
      <c r="BF190" s="13" t="e">
        <f t="shared" si="167"/>
        <v>#NUM!</v>
      </c>
      <c r="BG190" s="20" t="e">
        <f t="shared" si="168"/>
        <v>#NUM!</v>
      </c>
      <c r="BH190" s="59" t="e">
        <f t="shared" si="116"/>
        <v>#NUM!</v>
      </c>
      <c r="BI190" s="59">
        <f ca="1">AVERAGE(OFFSET($BH$3,0,0,'Données projet'!$E$11+1,1))-AVERAGE(OFFSET($H$3,0,0,'Données projet'!$E$11+1,1))</f>
        <v>215.23235148064941</v>
      </c>
      <c r="BJ190" s="59">
        <f t="shared" si="146"/>
        <v>184.07239726900434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0.13990879889607577</v>
      </c>
      <c r="BQ190" s="21">
        <f>EXP(-LN(2)/25)*BQ189+(1-EXP(-LN(2)/25))/(LN(2)/25)*Calculateur!BL190*Calculateur!BN190*VLOOKUP('Données projet'!$B$11,Paramètres!$A$1:$I$89,3,0)*0.475*44/12</f>
        <v>0.10108890435022565</v>
      </c>
      <c r="BR190" s="21">
        <f>EXP(-LN(2)/2)*BR189+(1-EXP(-LN(2)/2))/(LN(2)/2)*BL190*BO190*VLOOKUP('Données projet'!$B$11,Paramètres!$A$1:$I$89,3,0)*0.475*44/12</f>
        <v>2.3003557539225697E-23</v>
      </c>
      <c r="BS190" s="22">
        <f t="shared" si="169"/>
        <v>0.24099770324630143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 t="e">
        <f>BY190*VLOOKUP('Données projet'!$B$12,Paramètres!$A$1:$I$89,3,0)*VLOOKUP('Données projet'!$B$12,Paramètres!$A$1:$I$89,5,0)</f>
        <v>#N/A</v>
      </c>
      <c r="CA190" s="13" t="e">
        <f t="shared" si="170"/>
        <v>#N/A</v>
      </c>
      <c r="CB190" s="20" t="e">
        <f t="shared" si="171"/>
        <v>#N/A</v>
      </c>
      <c r="CC190" s="59" t="e">
        <f t="shared" si="119"/>
        <v>#N/A</v>
      </c>
      <c r="CD190" s="59" t="e">
        <f ca="1">AVERAGE(OFFSET($CC$3,0,0,'Données projet'!$E$12+1,1))-AVERAGE(OFFSET($H$3,0,0,'Données projet'!$E$12+1,1))</f>
        <v>#N/A</v>
      </c>
      <c r="CE190" s="59" t="e">
        <f t="shared" si="148"/>
        <v>#N/A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 t="e">
        <f>EXP(-LN(2)/35)*CK189+(1-EXP(-LN(2)/35))/(LN(2)/35)*CG190*CH190*VLOOKUP('Données projet'!$B$12,Paramètres!$A$1:$I$89,3,0)*0.475*44/12</f>
        <v>#N/A</v>
      </c>
      <c r="CL190" s="21" t="e">
        <f>EXP(-LN(2)/25)*CL189+(1-EXP(-LN(2)/25))/(LN(2)/25)*Calculateur!CG190*Calculateur!CI190*VLOOKUP('Données projet'!$B$12,Paramètres!$A$1:$I$89,3,0)*0.475*44/12</f>
        <v>#N/A</v>
      </c>
      <c r="CM190" s="21" t="e">
        <f>EXP(-LN(2)/2)*CM189+(1-EXP(-LN(2)/2))/(LN(2)/2)*CG190*CJ190*VLOOKUP('Données projet'!$B$12,Paramètres!$A$1:$I$89,3,0)*0.475*44/12</f>
        <v>#N/A</v>
      </c>
      <c r="CN190" s="22" t="e">
        <f t="shared" si="172"/>
        <v>#N/A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25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167.16959999999972</v>
      </c>
      <c r="D191" s="11">
        <f t="shared" si="140"/>
        <v>42.455490039298816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10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1618.1585897770412</v>
      </c>
      <c r="H191" s="67">
        <f t="shared" si="110"/>
        <v>658.43036515177823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-3.4106051316484809E-13</v>
      </c>
      <c r="O191" s="13">
        <f>N191*VLOOKUP('Données projet'!$B$9,Paramètres!$A$1:$I$89,3,0)*VLOOKUP('Données projet'!$B$9,Paramètres!$A$1:$I$89,5,0)</f>
        <v>-1.9065282685915009E-13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279.98352834501759</v>
      </c>
      <c r="T191" s="59">
        <f t="shared" si="142"/>
        <v>281.30062655265488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0.17490149452232856</v>
      </c>
      <c r="AA191" s="21">
        <f>EXP(-LN(2)/25)*AA190+(1-EXP(-LN(2)/25))/(LN(2)/25)*Calculateur!V191*Calculateur!X191*VLOOKUP('Données projet'!$B$9,Paramètres!$A$1:$I$89,3,0)*0.475*44/12</f>
        <v>0.30324183748651146</v>
      </c>
      <c r="AB191" s="21">
        <f>EXP(-LN(2)/2)*AB190+(1-EXP(-LN(2)/2))/(LN(2)/2)*V191*Y191*VLOOKUP('Données projet'!$B$9,Paramètres!$A$1:$I$89,3,0)*0.475*44/12</f>
        <v>4.6846779043632985E-23</v>
      </c>
      <c r="AC191" s="22">
        <f t="shared" si="163"/>
        <v>0.47814333200884002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-1.1368683772161603E-13</v>
      </c>
      <c r="AJ191" s="13">
        <f>AI191*VLOOKUP('Données projet'!$B$10,Paramètres!$A$1:$I$89,3,0)*VLOOKUP('Données projet'!$B$10,Paramètres!$A$1:$I$89,5,0)</f>
        <v>-1.1527845344971866E-13</v>
      </c>
      <c r="AK191" s="13" t="e">
        <f t="shared" si="164"/>
        <v>#NUM!</v>
      </c>
      <c r="AL191" s="20" t="e">
        <f t="shared" si="165"/>
        <v>#NUM!</v>
      </c>
      <c r="AM191" s="59" t="e">
        <f t="shared" si="113"/>
        <v>#NUM!</v>
      </c>
      <c r="AN191" s="59">
        <f ca="1">AVERAGE(OFFSET($AM$3,0,0,'Données projet'!$E$10+1,1))-AVERAGE(OFFSET($H$3,0,0,'Données projet'!$E$10+1,1))</f>
        <v>279.20364724206644</v>
      </c>
      <c r="AO191" s="59">
        <f t="shared" si="144"/>
        <v>173.99850582760712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0</v>
      </c>
      <c r="AV191" s="21">
        <f>EXP(-LN(2)/25)*AV190+(1-EXP(-LN(2)/25))/(LN(2)/25)*Calculateur!AQ191*Calculateur!AS191*VLOOKUP('Données projet'!$B$10,Paramètres!$A$1:$I$89,3,0)*0.475*44/12</f>
        <v>4.3568097590633882E-2</v>
      </c>
      <c r="AW191" s="21">
        <f>EXP(-LN(2)/2)*AW190+(1-EXP(-LN(2)/2))/(LN(2)/2)*AQ191*AT191*VLOOKUP('Données projet'!$B$10,Paramètres!$A$1:$I$89,3,0)*0.475*44/12</f>
        <v>1.1475208817911785E-23</v>
      </c>
      <c r="AX191" s="21">
        <f t="shared" si="166"/>
        <v>4.3568097590633882E-2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-1.1368683772161603E-13</v>
      </c>
      <c r="BE191" s="13">
        <f>BD191*VLOOKUP('Données projet'!$B$11,Paramètres!$A$1:$I$89,3,0)*VLOOKUP('Données projet'!$B$11,Paramètres!$A$1:$I$89,5,0)</f>
        <v>-5.3205440053716299E-14</v>
      </c>
      <c r="BF191" s="13" t="e">
        <f t="shared" si="167"/>
        <v>#NUM!</v>
      </c>
      <c r="BG191" s="20" t="e">
        <f t="shared" si="168"/>
        <v>#NUM!</v>
      </c>
      <c r="BH191" s="59" t="e">
        <f t="shared" si="116"/>
        <v>#NUM!</v>
      </c>
      <c r="BI191" s="59">
        <f ca="1">AVERAGE(OFFSET($BH$3,0,0,'Données projet'!$E$11+1,1))-AVERAGE(OFFSET($H$3,0,0,'Données projet'!$E$11+1,1))</f>
        <v>215.23235148064941</v>
      </c>
      <c r="BJ191" s="59">
        <f t="shared" si="146"/>
        <v>184.07239726900434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0.13716527268566484</v>
      </c>
      <c r="BQ191" s="21">
        <f>EXP(-LN(2)/25)*BQ190+(1-EXP(-LN(2)/25))/(LN(2)/25)*Calculateur!BL191*Calculateur!BN191*VLOOKUP('Données projet'!$B$11,Paramètres!$A$1:$I$89,3,0)*0.475*44/12</f>
        <v>9.8324622944734291E-2</v>
      </c>
      <c r="BR191" s="21">
        <f>EXP(-LN(2)/2)*BR190+(1-EXP(-LN(2)/2))/(LN(2)/2)*BL191*BO191*VLOOKUP('Données projet'!$B$11,Paramètres!$A$1:$I$89,3,0)*0.475*44/12</f>
        <v>1.626597152740142E-23</v>
      </c>
      <c r="BS191" s="22">
        <f t="shared" si="169"/>
        <v>0.23548989563039913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 t="e">
        <f>BY191*VLOOKUP('Données projet'!$B$12,Paramètres!$A$1:$I$89,3,0)*VLOOKUP('Données projet'!$B$12,Paramètres!$A$1:$I$89,5,0)</f>
        <v>#N/A</v>
      </c>
      <c r="CA191" s="13" t="e">
        <f t="shared" si="170"/>
        <v>#N/A</v>
      </c>
      <c r="CB191" s="20" t="e">
        <f t="shared" si="171"/>
        <v>#N/A</v>
      </c>
      <c r="CC191" s="59" t="e">
        <f t="shared" si="119"/>
        <v>#N/A</v>
      </c>
      <c r="CD191" s="59" t="e">
        <f ca="1">AVERAGE(OFFSET($CC$3,0,0,'Données projet'!$E$12+1,1))-AVERAGE(OFFSET($H$3,0,0,'Données projet'!$E$12+1,1))</f>
        <v>#N/A</v>
      </c>
      <c r="CE191" s="59" t="e">
        <f t="shared" si="148"/>
        <v>#N/A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 t="e">
        <f>EXP(-LN(2)/35)*CK190+(1-EXP(-LN(2)/35))/(LN(2)/35)*CG191*CH191*VLOOKUP('Données projet'!$B$12,Paramètres!$A$1:$I$89,3,0)*0.475*44/12</f>
        <v>#N/A</v>
      </c>
      <c r="CL191" s="21" t="e">
        <f>EXP(-LN(2)/25)*CL190+(1-EXP(-LN(2)/25))/(LN(2)/25)*Calculateur!CG191*Calculateur!CI191*VLOOKUP('Données projet'!$B$12,Paramètres!$A$1:$I$89,3,0)*0.475*44/12</f>
        <v>#N/A</v>
      </c>
      <c r="CM191" s="21" t="e">
        <f>EXP(-LN(2)/2)*CM190+(1-EXP(-LN(2)/2))/(LN(2)/2)*CG191*CJ191*VLOOKUP('Données projet'!$B$12,Paramètres!$A$1:$I$89,3,0)*0.475*44/12</f>
        <v>#N/A</v>
      </c>
      <c r="CN191" s="22" t="e">
        <f t="shared" si="172"/>
        <v>#N/A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25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168.05879999999971</v>
      </c>
      <c r="D192" s="11">
        <f t="shared" si="140"/>
        <v>42.65496919167748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10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1626.5624288480346</v>
      </c>
      <c r="H192" s="67">
        <f t="shared" si="110"/>
        <v>660.32648134217106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-3.4106051316484809E-13</v>
      </c>
      <c r="O192" s="13">
        <f>N192*VLOOKUP('Données projet'!$B$9,Paramètres!$A$1:$I$89,3,0)*VLOOKUP('Données projet'!$B$9,Paramètres!$A$1:$I$89,5,0)</f>
        <v>-1.9065282685915009E-13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279.98352834501759</v>
      </c>
      <c r="T192" s="59">
        <f t="shared" si="142"/>
        <v>281.30062655265488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0.17147178289412365</v>
      </c>
      <c r="AA192" s="21">
        <f>EXP(-LN(2)/25)*AA191+(1-EXP(-LN(2)/25))/(LN(2)/25)*Calculateur!V192*Calculateur!X192*VLOOKUP('Données projet'!$B$9,Paramètres!$A$1:$I$89,3,0)*0.475*44/12</f>
        <v>0.29494967349364765</v>
      </c>
      <c r="AB192" s="21">
        <f>EXP(-LN(2)/2)*AB191+(1-EXP(-LN(2)/2))/(LN(2)/2)*V192*Y192*VLOOKUP('Données projet'!$B$9,Paramètres!$A$1:$I$89,3,0)*0.475*44/12</f>
        <v>3.3125675138500729E-23</v>
      </c>
      <c r="AC192" s="22">
        <f t="shared" si="163"/>
        <v>0.46642145638777133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-1.1368683772161603E-13</v>
      </c>
      <c r="AJ192" s="13">
        <f>AI192*VLOOKUP('Données projet'!$B$10,Paramètres!$A$1:$I$89,3,0)*VLOOKUP('Données projet'!$B$10,Paramètres!$A$1:$I$89,5,0)</f>
        <v>-1.1527845344971866E-13</v>
      </c>
      <c r="AK192" s="13" t="e">
        <f t="shared" si="164"/>
        <v>#NUM!</v>
      </c>
      <c r="AL192" s="20" t="e">
        <f t="shared" si="165"/>
        <v>#NUM!</v>
      </c>
      <c r="AM192" s="59" t="e">
        <f t="shared" si="113"/>
        <v>#NUM!</v>
      </c>
      <c r="AN192" s="59">
        <f ca="1">AVERAGE(OFFSET($AM$3,0,0,'Données projet'!$E$10+1,1))-AVERAGE(OFFSET($H$3,0,0,'Données projet'!$E$10+1,1))</f>
        <v>279.20364724206644</v>
      </c>
      <c r="AO192" s="59">
        <f t="shared" si="144"/>
        <v>173.99850582760712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0</v>
      </c>
      <c r="AV192" s="21">
        <f>EXP(-LN(2)/25)*AV191+(1-EXP(-LN(2)/25))/(LN(2)/25)*Calculateur!AQ192*Calculateur!AS192*VLOOKUP('Données projet'!$B$10,Paramètres!$A$1:$I$89,3,0)*0.475*44/12</f>
        <v>4.2376725670871321E-2</v>
      </c>
      <c r="AW192" s="21">
        <f>EXP(-LN(2)/2)*AW191+(1-EXP(-LN(2)/2))/(LN(2)/2)*AQ192*AT192*VLOOKUP('Données projet'!$B$10,Paramètres!$A$1:$I$89,3,0)*0.475*44/12</f>
        <v>8.1141979706770891E-24</v>
      </c>
      <c r="AX192" s="21">
        <f t="shared" si="166"/>
        <v>4.2376725670871321E-2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-1.1368683772161603E-13</v>
      </c>
      <c r="BE192" s="13">
        <f>BD192*VLOOKUP('Données projet'!$B$11,Paramètres!$A$1:$I$89,3,0)*VLOOKUP('Données projet'!$B$11,Paramètres!$A$1:$I$89,5,0)</f>
        <v>-5.3205440053716299E-14</v>
      </c>
      <c r="BF192" s="13" t="e">
        <f t="shared" si="167"/>
        <v>#NUM!</v>
      </c>
      <c r="BG192" s="20" t="e">
        <f t="shared" si="168"/>
        <v>#NUM!</v>
      </c>
      <c r="BH192" s="59" t="e">
        <f t="shared" si="116"/>
        <v>#NUM!</v>
      </c>
      <c r="BI192" s="59">
        <f ca="1">AVERAGE(OFFSET($BH$3,0,0,'Données projet'!$E$11+1,1))-AVERAGE(OFFSET($H$3,0,0,'Données projet'!$E$11+1,1))</f>
        <v>215.23235148064941</v>
      </c>
      <c r="BJ192" s="59">
        <f t="shared" si="146"/>
        <v>184.07239726900434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0.13447554535085429</v>
      </c>
      <c r="BQ192" s="21">
        <f>EXP(-LN(2)/25)*BQ191+(1-EXP(-LN(2)/25))/(LN(2)/25)*Calculateur!BL192*Calculateur!BN192*VLOOKUP('Données projet'!$B$11,Paramètres!$A$1:$I$89,3,0)*0.475*44/12</f>
        <v>9.5635930959643331E-2</v>
      </c>
      <c r="BR192" s="21">
        <f>EXP(-LN(2)/2)*BR191+(1-EXP(-LN(2)/2))/(LN(2)/2)*BL192*BO192*VLOOKUP('Données projet'!$B$11,Paramètres!$A$1:$I$89,3,0)*0.475*44/12</f>
        <v>1.1501778769612849E-23</v>
      </c>
      <c r="BS192" s="22">
        <f t="shared" si="169"/>
        <v>0.23011147631049761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 t="e">
        <f>BY192*VLOOKUP('Données projet'!$B$12,Paramètres!$A$1:$I$89,3,0)*VLOOKUP('Données projet'!$B$12,Paramètres!$A$1:$I$89,5,0)</f>
        <v>#N/A</v>
      </c>
      <c r="CA192" s="13" t="e">
        <f t="shared" si="170"/>
        <v>#N/A</v>
      </c>
      <c r="CB192" s="20" t="e">
        <f t="shared" si="171"/>
        <v>#N/A</v>
      </c>
      <c r="CC192" s="59" t="e">
        <f t="shared" si="119"/>
        <v>#N/A</v>
      </c>
      <c r="CD192" s="59" t="e">
        <f ca="1">AVERAGE(OFFSET($CC$3,0,0,'Données projet'!$E$12+1,1))-AVERAGE(OFFSET($H$3,0,0,'Données projet'!$E$12+1,1))</f>
        <v>#N/A</v>
      </c>
      <c r="CE192" s="59" t="e">
        <f t="shared" si="148"/>
        <v>#N/A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 t="e">
        <f>EXP(-LN(2)/35)*CK191+(1-EXP(-LN(2)/35))/(LN(2)/35)*CG192*CH192*VLOOKUP('Données projet'!$B$12,Paramètres!$A$1:$I$89,3,0)*0.475*44/12</f>
        <v>#N/A</v>
      </c>
      <c r="CL192" s="21" t="e">
        <f>EXP(-LN(2)/25)*CL191+(1-EXP(-LN(2)/25))/(LN(2)/25)*Calculateur!CG192*Calculateur!CI192*VLOOKUP('Données projet'!$B$12,Paramètres!$A$1:$I$89,3,0)*0.475*44/12</f>
        <v>#N/A</v>
      </c>
      <c r="CM192" s="21" t="e">
        <f>EXP(-LN(2)/2)*CM191+(1-EXP(-LN(2)/2))/(LN(2)/2)*CG192*CJ192*VLOOKUP('Données projet'!$B$12,Paramètres!$A$1:$I$89,3,0)*0.475*44/12</f>
        <v>#N/A</v>
      </c>
      <c r="CN192" s="22" t="e">
        <f t="shared" si="172"/>
        <v>#N/A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25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168.94799999999969</v>
      </c>
      <c r="D193" s="11">
        <f t="shared" si="140"/>
        <v>42.8543255274462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10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1634.965319860986</v>
      </c>
      <c r="H193" s="67">
        <f t="shared" si="110"/>
        <v>662.22238362696817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-3.4106051316484809E-13</v>
      </c>
      <c r="O193" s="13">
        <f>N193*VLOOKUP('Données projet'!$B$9,Paramètres!$A$1:$I$89,3,0)*VLOOKUP('Données projet'!$B$9,Paramètres!$A$1:$I$89,5,0)</f>
        <v>-1.9065282685915009E-13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279.98352834501759</v>
      </c>
      <c r="T193" s="59">
        <f t="shared" si="142"/>
        <v>281.30062655265488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0.16810932581903029</v>
      </c>
      <c r="AA193" s="21">
        <f>EXP(-LN(2)/25)*AA192+(1-EXP(-LN(2)/25))/(LN(2)/25)*Calculateur!V193*Calculateur!X193*VLOOKUP('Données projet'!$B$9,Paramètres!$A$1:$I$89,3,0)*0.475*44/12</f>
        <v>0.28688425916123461</v>
      </c>
      <c r="AB193" s="21">
        <f>EXP(-LN(2)/2)*AB192+(1-EXP(-LN(2)/2))/(LN(2)/2)*V193*Y193*VLOOKUP('Données projet'!$B$9,Paramètres!$A$1:$I$89,3,0)*0.475*44/12</f>
        <v>2.3423389521816492E-23</v>
      </c>
      <c r="AC193" s="22">
        <f t="shared" si="163"/>
        <v>0.45499358498026488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-1.1368683772161603E-13</v>
      </c>
      <c r="AJ193" s="13">
        <f>AI193*VLOOKUP('Données projet'!$B$10,Paramètres!$A$1:$I$89,3,0)*VLOOKUP('Données projet'!$B$10,Paramètres!$A$1:$I$89,5,0)</f>
        <v>-1.1527845344971866E-13</v>
      </c>
      <c r="AK193" s="13" t="e">
        <f t="shared" si="164"/>
        <v>#NUM!</v>
      </c>
      <c r="AL193" s="20" t="e">
        <f t="shared" si="165"/>
        <v>#NUM!</v>
      </c>
      <c r="AM193" s="59" t="e">
        <f t="shared" si="113"/>
        <v>#NUM!</v>
      </c>
      <c r="AN193" s="59">
        <f ca="1">AVERAGE(OFFSET($AM$3,0,0,'Données projet'!$E$10+1,1))-AVERAGE(OFFSET($H$3,0,0,'Données projet'!$E$10+1,1))</f>
        <v>279.20364724206644</v>
      </c>
      <c r="AO193" s="59">
        <f t="shared" si="144"/>
        <v>173.99850582760712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0</v>
      </c>
      <c r="AV193" s="21">
        <f>EXP(-LN(2)/25)*AV192+(1-EXP(-LN(2)/25))/(LN(2)/25)*Calculateur!AQ193*Calculateur!AS193*VLOOKUP('Données projet'!$B$10,Paramètres!$A$1:$I$89,3,0)*0.475*44/12</f>
        <v>4.1217931878906197E-2</v>
      </c>
      <c r="AW193" s="21">
        <f>EXP(-LN(2)/2)*AW192+(1-EXP(-LN(2)/2))/(LN(2)/2)*AQ193*AT193*VLOOKUP('Données projet'!$B$10,Paramètres!$A$1:$I$89,3,0)*0.475*44/12</f>
        <v>5.7376044089558924E-24</v>
      </c>
      <c r="AX193" s="21">
        <f t="shared" si="166"/>
        <v>4.1217931878906197E-2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-1.1368683772161603E-13</v>
      </c>
      <c r="BE193" s="13">
        <f>BD193*VLOOKUP('Données projet'!$B$11,Paramètres!$A$1:$I$89,3,0)*VLOOKUP('Données projet'!$B$11,Paramètres!$A$1:$I$89,5,0)</f>
        <v>-5.3205440053716299E-14</v>
      </c>
      <c r="BF193" s="13" t="e">
        <f t="shared" si="167"/>
        <v>#NUM!</v>
      </c>
      <c r="BG193" s="20" t="e">
        <f t="shared" si="168"/>
        <v>#NUM!</v>
      </c>
      <c r="BH193" s="59" t="e">
        <f t="shared" si="116"/>
        <v>#NUM!</v>
      </c>
      <c r="BI193" s="59">
        <f ca="1">AVERAGE(OFFSET($BH$3,0,0,'Données projet'!$E$11+1,1))-AVERAGE(OFFSET($H$3,0,0,'Données projet'!$E$11+1,1))</f>
        <v>215.23235148064941</v>
      </c>
      <c r="BJ193" s="59">
        <f t="shared" si="146"/>
        <v>184.07239726900434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0.13183856192850771</v>
      </c>
      <c r="BQ193" s="21">
        <f>EXP(-LN(2)/25)*BQ192+(1-EXP(-LN(2)/25))/(LN(2)/25)*Calculateur!BL193*Calculateur!BN193*VLOOKUP('Données projet'!$B$11,Paramètres!$A$1:$I$89,3,0)*0.475*44/12</f>
        <v>9.3020761398276849E-2</v>
      </c>
      <c r="BR193" s="21">
        <f>EXP(-LN(2)/2)*BR192+(1-EXP(-LN(2)/2))/(LN(2)/2)*BL193*BO193*VLOOKUP('Données projet'!$B$11,Paramètres!$A$1:$I$89,3,0)*0.475*44/12</f>
        <v>8.1329857637007102E-24</v>
      </c>
      <c r="BS193" s="22">
        <f t="shared" si="169"/>
        <v>0.22485932332678454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 t="e">
        <f>BY193*VLOOKUP('Données projet'!$B$12,Paramètres!$A$1:$I$89,3,0)*VLOOKUP('Données projet'!$B$12,Paramètres!$A$1:$I$89,5,0)</f>
        <v>#N/A</v>
      </c>
      <c r="CA193" s="13" t="e">
        <f t="shared" si="170"/>
        <v>#N/A</v>
      </c>
      <c r="CB193" s="20" t="e">
        <f t="shared" si="171"/>
        <v>#N/A</v>
      </c>
      <c r="CC193" s="59" t="e">
        <f t="shared" si="119"/>
        <v>#N/A</v>
      </c>
      <c r="CD193" s="59" t="e">
        <f ca="1">AVERAGE(OFFSET($CC$3,0,0,'Données projet'!$E$12+1,1))-AVERAGE(OFFSET($H$3,0,0,'Données projet'!$E$12+1,1))</f>
        <v>#N/A</v>
      </c>
      <c r="CE193" s="59" t="e">
        <f t="shared" si="148"/>
        <v>#N/A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 t="e">
        <f>EXP(-LN(2)/35)*CK192+(1-EXP(-LN(2)/35))/(LN(2)/35)*CG193*CH193*VLOOKUP('Données projet'!$B$12,Paramètres!$A$1:$I$89,3,0)*0.475*44/12</f>
        <v>#N/A</v>
      </c>
      <c r="CL193" s="21" t="e">
        <f>EXP(-LN(2)/25)*CL192+(1-EXP(-LN(2)/25))/(LN(2)/25)*Calculateur!CG193*Calculateur!CI193*VLOOKUP('Données projet'!$B$12,Paramètres!$A$1:$I$89,3,0)*0.475*44/12</f>
        <v>#N/A</v>
      </c>
      <c r="CM193" s="21" t="e">
        <f>EXP(-LN(2)/2)*CM192+(1-EXP(-LN(2)/2))/(LN(2)/2)*CG193*CJ193*VLOOKUP('Données projet'!$B$12,Paramètres!$A$1:$I$89,3,0)*0.475*44/12</f>
        <v>#N/A</v>
      </c>
      <c r="CN193" s="22" t="e">
        <f t="shared" si="172"/>
        <v>#N/A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25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169.83719999999968</v>
      </c>
      <c r="D194" s="11">
        <f t="shared" si="140"/>
        <v>43.053559768035143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10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1643.3672683848301</v>
      </c>
      <c r="H194" s="67">
        <f t="shared" si="110"/>
        <v>664.11807326266057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-3.4106051316484809E-13</v>
      </c>
      <c r="O194" s="13">
        <f>N194*VLOOKUP('Données projet'!$B$9,Paramètres!$A$1:$I$89,3,0)*VLOOKUP('Données projet'!$B$9,Paramètres!$A$1:$I$89,5,0)</f>
        <v>-1.9065282685915009E-13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279.98352834501759</v>
      </c>
      <c r="T194" s="59">
        <f t="shared" si="142"/>
        <v>281.30062655265488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0.16481280447628321</v>
      </c>
      <c r="AA194" s="21">
        <f>EXP(-LN(2)/25)*AA193+(1-EXP(-LN(2)/25))/(LN(2)/25)*Calculateur!V194*Calculateur!X194*VLOOKUP('Données projet'!$B$9,Paramètres!$A$1:$I$89,3,0)*0.475*44/12</f>
        <v>0.27903939400788313</v>
      </c>
      <c r="AB194" s="21">
        <f>EXP(-LN(2)/2)*AB193+(1-EXP(-LN(2)/2))/(LN(2)/2)*V194*Y194*VLOOKUP('Données projet'!$B$9,Paramètres!$A$1:$I$89,3,0)*0.475*44/12</f>
        <v>1.6562837569250364E-23</v>
      </c>
      <c r="AC194" s="22">
        <f t="shared" si="163"/>
        <v>0.44385219848416635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-1.1368683772161603E-13</v>
      </c>
      <c r="AJ194" s="13">
        <f>AI194*VLOOKUP('Données projet'!$B$10,Paramètres!$A$1:$I$89,3,0)*VLOOKUP('Données projet'!$B$10,Paramètres!$A$1:$I$89,5,0)</f>
        <v>-1.1527845344971866E-13</v>
      </c>
      <c r="AK194" s="13" t="e">
        <f t="shared" si="164"/>
        <v>#NUM!</v>
      </c>
      <c r="AL194" s="20" t="e">
        <f t="shared" si="165"/>
        <v>#NUM!</v>
      </c>
      <c r="AM194" s="59" t="e">
        <f t="shared" si="113"/>
        <v>#NUM!</v>
      </c>
      <c r="AN194" s="59">
        <f ca="1">AVERAGE(OFFSET($AM$3,0,0,'Données projet'!$E$10+1,1))-AVERAGE(OFFSET($H$3,0,0,'Données projet'!$E$10+1,1))</f>
        <v>279.20364724206644</v>
      </c>
      <c r="AO194" s="59">
        <f t="shared" si="144"/>
        <v>173.99850582760712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0</v>
      </c>
      <c r="AV194" s="21">
        <f>EXP(-LN(2)/25)*AV193+(1-EXP(-LN(2)/25))/(LN(2)/25)*Calculateur!AQ194*Calculateur!AS194*VLOOKUP('Données projet'!$B$10,Paramètres!$A$1:$I$89,3,0)*0.475*44/12</f>
        <v>4.0090825364120675E-2</v>
      </c>
      <c r="AW194" s="21">
        <f>EXP(-LN(2)/2)*AW193+(1-EXP(-LN(2)/2))/(LN(2)/2)*AQ194*AT194*VLOOKUP('Données projet'!$B$10,Paramètres!$A$1:$I$89,3,0)*0.475*44/12</f>
        <v>4.0570989853385445E-24</v>
      </c>
      <c r="AX194" s="21">
        <f t="shared" si="166"/>
        <v>4.0090825364120675E-2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-1.1368683772161603E-13</v>
      </c>
      <c r="BE194" s="13">
        <f>BD194*VLOOKUP('Données projet'!$B$11,Paramètres!$A$1:$I$89,3,0)*VLOOKUP('Données projet'!$B$11,Paramètres!$A$1:$I$89,5,0)</f>
        <v>-5.3205440053716299E-14</v>
      </c>
      <c r="BF194" s="13" t="e">
        <f t="shared" si="167"/>
        <v>#NUM!</v>
      </c>
      <c r="BG194" s="20" t="e">
        <f t="shared" si="168"/>
        <v>#NUM!</v>
      </c>
      <c r="BH194" s="59" t="e">
        <f t="shared" si="116"/>
        <v>#NUM!</v>
      </c>
      <c r="BI194" s="59">
        <f ca="1">AVERAGE(OFFSET($BH$3,0,0,'Données projet'!$E$11+1,1))-AVERAGE(OFFSET($H$3,0,0,'Données projet'!$E$11+1,1))</f>
        <v>215.23235148064941</v>
      </c>
      <c r="BJ194" s="59">
        <f t="shared" si="146"/>
        <v>184.07239726900434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0.12925328814267226</v>
      </c>
      <c r="BQ194" s="21">
        <f>EXP(-LN(2)/25)*BQ193+(1-EXP(-LN(2)/25))/(LN(2)/25)*Calculateur!BL194*Calculateur!BN194*VLOOKUP('Données projet'!$B$11,Paramètres!$A$1:$I$89,3,0)*0.475*44/12</f>
        <v>9.0477103786091723E-2</v>
      </c>
      <c r="BR194" s="21">
        <f>EXP(-LN(2)/2)*BR193+(1-EXP(-LN(2)/2))/(LN(2)/2)*BL194*BO194*VLOOKUP('Données projet'!$B$11,Paramètres!$A$1:$I$89,3,0)*0.475*44/12</f>
        <v>5.7508893848064243E-24</v>
      </c>
      <c r="BS194" s="22">
        <f t="shared" si="169"/>
        <v>0.21973039192876398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 t="e">
        <f>BY194*VLOOKUP('Données projet'!$B$12,Paramètres!$A$1:$I$89,3,0)*VLOOKUP('Données projet'!$B$12,Paramètres!$A$1:$I$89,5,0)</f>
        <v>#N/A</v>
      </c>
      <c r="CA194" s="13" t="e">
        <f t="shared" si="170"/>
        <v>#N/A</v>
      </c>
      <c r="CB194" s="20" t="e">
        <f t="shared" si="171"/>
        <v>#N/A</v>
      </c>
      <c r="CC194" s="59" t="e">
        <f t="shared" si="119"/>
        <v>#N/A</v>
      </c>
      <c r="CD194" s="59" t="e">
        <f ca="1">AVERAGE(OFFSET($CC$3,0,0,'Données projet'!$E$12+1,1))-AVERAGE(OFFSET($H$3,0,0,'Données projet'!$E$12+1,1))</f>
        <v>#N/A</v>
      </c>
      <c r="CE194" s="59" t="e">
        <f t="shared" si="148"/>
        <v>#N/A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 t="e">
        <f>EXP(-LN(2)/35)*CK193+(1-EXP(-LN(2)/35))/(LN(2)/35)*CG194*CH194*VLOOKUP('Données projet'!$B$12,Paramètres!$A$1:$I$89,3,0)*0.475*44/12</f>
        <v>#N/A</v>
      </c>
      <c r="CL194" s="21" t="e">
        <f>EXP(-LN(2)/25)*CL193+(1-EXP(-LN(2)/25))/(LN(2)/25)*Calculateur!CG194*Calculateur!CI194*VLOOKUP('Données projet'!$B$12,Paramètres!$A$1:$I$89,3,0)*0.475*44/12</f>
        <v>#N/A</v>
      </c>
      <c r="CM194" s="21" t="e">
        <f>EXP(-LN(2)/2)*CM193+(1-EXP(-LN(2)/2))/(LN(2)/2)*CG194*CJ194*VLOOKUP('Données projet'!$B$12,Paramètres!$A$1:$I$89,3,0)*0.475*44/12</f>
        <v>#N/A</v>
      </c>
      <c r="CN194" s="22" t="e">
        <f t="shared" si="172"/>
        <v>#N/A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25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170.72639999999967</v>
      </c>
      <c r="D195" s="11">
        <f t="shared" si="140"/>
        <v>43.252672626882983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10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1651.7682799268139</v>
      </c>
      <c r="H195" s="67">
        <f t="shared" si="110"/>
        <v>666.01355149182064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-3.4106051316484809E-13</v>
      </c>
      <c r="O195" s="13">
        <f>N195*VLOOKUP('Données projet'!$B$9,Paramètres!$A$1:$I$89,3,0)*VLOOKUP('Données projet'!$B$9,Paramètres!$A$1:$I$89,5,0)</f>
        <v>-1.9065282685915009E-13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279.98352834501759</v>
      </c>
      <c r="T195" s="59">
        <f t="shared" si="142"/>
        <v>281.30062655265488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0.16158092590638792</v>
      </c>
      <c r="AA195" s="21">
        <f>EXP(-LN(2)/25)*AA194+(1-EXP(-LN(2)/25))/(LN(2)/25)*Calculateur!V195*Calculateur!X195*VLOOKUP('Données projet'!$B$9,Paramètres!$A$1:$I$89,3,0)*0.475*44/12</f>
        <v>0.2714090471046936</v>
      </c>
      <c r="AB195" s="21">
        <f>EXP(-LN(2)/2)*AB194+(1-EXP(-LN(2)/2))/(LN(2)/2)*V195*Y195*VLOOKUP('Données projet'!$B$9,Paramètres!$A$1:$I$89,3,0)*0.475*44/12</f>
        <v>1.1711694760908246E-23</v>
      </c>
      <c r="AC195" s="22">
        <f t="shared" si="163"/>
        <v>0.43298997301108155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-1.1368683772161603E-13</v>
      </c>
      <c r="AJ195" s="13">
        <f>AI195*VLOOKUP('Données projet'!$B$10,Paramètres!$A$1:$I$89,3,0)*VLOOKUP('Données projet'!$B$10,Paramètres!$A$1:$I$89,5,0)</f>
        <v>-1.1527845344971866E-13</v>
      </c>
      <c r="AK195" s="13" t="e">
        <f t="shared" si="164"/>
        <v>#NUM!</v>
      </c>
      <c r="AL195" s="20" t="e">
        <f t="shared" si="165"/>
        <v>#NUM!</v>
      </c>
      <c r="AM195" s="59" t="e">
        <f t="shared" si="113"/>
        <v>#NUM!</v>
      </c>
      <c r="AN195" s="59">
        <f ca="1">AVERAGE(OFFSET($AM$3,0,0,'Données projet'!$E$10+1,1))-AVERAGE(OFFSET($H$3,0,0,'Données projet'!$E$10+1,1))</f>
        <v>279.20364724206644</v>
      </c>
      <c r="AO195" s="59">
        <f t="shared" si="144"/>
        <v>173.99850582760712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0</v>
      </c>
      <c r="AV195" s="21">
        <f>EXP(-LN(2)/25)*AV194+(1-EXP(-LN(2)/25))/(LN(2)/25)*Calculateur!AQ195*Calculateur!AS195*VLOOKUP('Données projet'!$B$10,Paramètres!$A$1:$I$89,3,0)*0.475*44/12</f>
        <v>3.8994539636253919E-2</v>
      </c>
      <c r="AW195" s="21">
        <f>EXP(-LN(2)/2)*AW194+(1-EXP(-LN(2)/2))/(LN(2)/2)*AQ195*AT195*VLOOKUP('Données projet'!$B$10,Paramètres!$A$1:$I$89,3,0)*0.475*44/12</f>
        <v>2.8688022044779462E-24</v>
      </c>
      <c r="AX195" s="21">
        <f t="shared" si="166"/>
        <v>3.8994539636253919E-2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-1.1368683772161603E-13</v>
      </c>
      <c r="BE195" s="13">
        <f>BD195*VLOOKUP('Données projet'!$B$11,Paramètres!$A$1:$I$89,3,0)*VLOOKUP('Données projet'!$B$11,Paramètres!$A$1:$I$89,5,0)</f>
        <v>-5.3205440053716299E-14</v>
      </c>
      <c r="BF195" s="13" t="e">
        <f t="shared" si="167"/>
        <v>#NUM!</v>
      </c>
      <c r="BG195" s="20" t="e">
        <f t="shared" si="168"/>
        <v>#NUM!</v>
      </c>
      <c r="BH195" s="59" t="e">
        <f t="shared" si="116"/>
        <v>#NUM!</v>
      </c>
      <c r="BI195" s="59">
        <f ca="1">AVERAGE(OFFSET($BH$3,0,0,'Données projet'!$E$11+1,1))-AVERAGE(OFFSET($H$3,0,0,'Données projet'!$E$11+1,1))</f>
        <v>215.23235148064941</v>
      </c>
      <c r="BJ195" s="59">
        <f t="shared" si="146"/>
        <v>184.07239726900434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0.12671870999891574</v>
      </c>
      <c r="BQ195" s="21">
        <f>EXP(-LN(2)/25)*BQ194+(1-EXP(-LN(2)/25))/(LN(2)/25)*Calculateur!BL195*Calculateur!BN195*VLOOKUP('Données projet'!$B$11,Paramètres!$A$1:$I$89,3,0)*0.475*44/12</f>
        <v>8.8003002625076945E-2</v>
      </c>
      <c r="BR195" s="21">
        <f>EXP(-LN(2)/2)*BR194+(1-EXP(-LN(2)/2))/(LN(2)/2)*BL195*BO195*VLOOKUP('Données projet'!$B$11,Paramètres!$A$1:$I$89,3,0)*0.475*44/12</f>
        <v>4.0664928818503551E-24</v>
      </c>
      <c r="BS195" s="22">
        <f t="shared" si="169"/>
        <v>0.2147217126239927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 t="e">
        <f>BY195*VLOOKUP('Données projet'!$B$12,Paramètres!$A$1:$I$89,3,0)*VLOOKUP('Données projet'!$B$12,Paramètres!$A$1:$I$89,5,0)</f>
        <v>#N/A</v>
      </c>
      <c r="CA195" s="13" t="e">
        <f t="shared" si="170"/>
        <v>#N/A</v>
      </c>
      <c r="CB195" s="20" t="e">
        <f t="shared" si="171"/>
        <v>#N/A</v>
      </c>
      <c r="CC195" s="59" t="e">
        <f t="shared" si="119"/>
        <v>#N/A</v>
      </c>
      <c r="CD195" s="59" t="e">
        <f ca="1">AVERAGE(OFFSET($CC$3,0,0,'Données projet'!$E$12+1,1))-AVERAGE(OFFSET($H$3,0,0,'Données projet'!$E$12+1,1))</f>
        <v>#N/A</v>
      </c>
      <c r="CE195" s="59" t="e">
        <f t="shared" si="148"/>
        <v>#N/A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 t="e">
        <f>EXP(-LN(2)/35)*CK194+(1-EXP(-LN(2)/35))/(LN(2)/35)*CG195*CH195*VLOOKUP('Données projet'!$B$12,Paramètres!$A$1:$I$89,3,0)*0.475*44/12</f>
        <v>#N/A</v>
      </c>
      <c r="CL195" s="21" t="e">
        <f>EXP(-LN(2)/25)*CL194+(1-EXP(-LN(2)/25))/(LN(2)/25)*Calculateur!CG195*Calculateur!CI195*VLOOKUP('Données projet'!$B$12,Paramètres!$A$1:$I$89,3,0)*0.475*44/12</f>
        <v>#N/A</v>
      </c>
      <c r="CM195" s="21" t="e">
        <f>EXP(-LN(2)/2)*CM194+(1-EXP(-LN(2)/2))/(LN(2)/2)*CG195*CJ195*VLOOKUP('Données projet'!$B$12,Paramètres!$A$1:$I$89,3,0)*0.475*44/12</f>
        <v>#N/A</v>
      </c>
      <c r="CN195" s="22" t="e">
        <f t="shared" si="172"/>
        <v>#N/A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25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171.61559999999966</v>
      </c>
      <c r="D196" s="11">
        <f t="shared" si="140"/>
        <v>43.451664809566452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10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1660.1683599334929</v>
      </c>
      <c r="H196" s="67">
        <f t="shared" ref="H196:H203" si="192">(B196+E196+F196)*44/12+(C196+D196)*0.475*44/12</f>
        <v>667.90881954332758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-3.4106051316484809E-13</v>
      </c>
      <c r="O196" s="13">
        <f>N196*VLOOKUP('Données projet'!$B$9,Paramètres!$A$1:$I$89,3,0)*VLOOKUP('Données projet'!$B$9,Paramètres!$A$1:$I$89,5,0)</f>
        <v>-1.9065282685915009E-13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279.98352834501759</v>
      </c>
      <c r="T196" s="59">
        <f t="shared" si="142"/>
        <v>281.30062655265488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0.15841242250399701</v>
      </c>
      <c r="AA196" s="21">
        <f>EXP(-LN(2)/25)*AA195+(1-EXP(-LN(2)/25))/(LN(2)/25)*Calculateur!V196*Calculateur!X196*VLOOKUP('Données projet'!$B$9,Paramètres!$A$1:$I$89,3,0)*0.475*44/12</f>
        <v>0.26398735243883426</v>
      </c>
      <c r="AB196" s="21">
        <f>EXP(-LN(2)/2)*AB195+(1-EXP(-LN(2)/2))/(LN(2)/2)*V196*Y196*VLOOKUP('Données projet'!$B$9,Paramètres!$A$1:$I$89,3,0)*0.475*44/12</f>
        <v>8.2814187846251822E-24</v>
      </c>
      <c r="AC196" s="22">
        <f t="shared" si="163"/>
        <v>0.42239977494283126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-1.1368683772161603E-13</v>
      </c>
      <c r="AJ196" s="13">
        <f>AI196*VLOOKUP('Données projet'!$B$10,Paramètres!$A$1:$I$89,3,0)*VLOOKUP('Données projet'!$B$10,Paramètres!$A$1:$I$89,5,0)</f>
        <v>-1.1527845344971866E-13</v>
      </c>
      <c r="AK196" s="13" t="e">
        <f t="shared" si="164"/>
        <v>#NUM!</v>
      </c>
      <c r="AL196" s="20" t="e">
        <f t="shared" si="165"/>
        <v>#NUM!</v>
      </c>
      <c r="AM196" s="59" t="e">
        <f t="shared" ref="AM196:AM203" si="193">AL196+(AD196+AE196)*44/12</f>
        <v>#NUM!</v>
      </c>
      <c r="AN196" s="59">
        <f ca="1">AVERAGE(OFFSET($AM$3,0,0,'Données projet'!$E$10+1,1))-AVERAGE(OFFSET($H$3,0,0,'Données projet'!$E$10+1,1))</f>
        <v>279.20364724206644</v>
      </c>
      <c r="AO196" s="59">
        <f t="shared" si="144"/>
        <v>173.99850582760712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0</v>
      </c>
      <c r="AV196" s="21">
        <f>EXP(-LN(2)/25)*AV195+(1-EXP(-LN(2)/25))/(LN(2)/25)*Calculateur!AQ196*Calculateur!AS196*VLOOKUP('Données projet'!$B$10,Paramètres!$A$1:$I$89,3,0)*0.475*44/12</f>
        <v>3.7928231899266841E-2</v>
      </c>
      <c r="AW196" s="21">
        <f>EXP(-LN(2)/2)*AW195+(1-EXP(-LN(2)/2))/(LN(2)/2)*AQ196*AT196*VLOOKUP('Données projet'!$B$10,Paramètres!$A$1:$I$89,3,0)*0.475*44/12</f>
        <v>2.0285494926692723E-24</v>
      </c>
      <c r="AX196" s="21">
        <f t="shared" si="166"/>
        <v>3.7928231899266841E-2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-1.1368683772161603E-13</v>
      </c>
      <c r="BE196" s="13">
        <f>BD196*VLOOKUP('Données projet'!$B$11,Paramètres!$A$1:$I$89,3,0)*VLOOKUP('Données projet'!$B$11,Paramètres!$A$1:$I$89,5,0)</f>
        <v>-5.3205440053716299E-14</v>
      </c>
      <c r="BF196" s="13" t="e">
        <f t="shared" si="167"/>
        <v>#NUM!</v>
      </c>
      <c r="BG196" s="20" t="e">
        <f t="shared" si="168"/>
        <v>#NUM!</v>
      </c>
      <c r="BH196" s="59" t="e">
        <f t="shared" ref="BH196:BH203" si="194">BG196+(AY196+AZ196)*44/12</f>
        <v>#NUM!</v>
      </c>
      <c r="BI196" s="59">
        <f ca="1">AVERAGE(OFFSET($BH$3,0,0,'Données projet'!$E$11+1,1))-AVERAGE(OFFSET($H$3,0,0,'Données projet'!$E$11+1,1))</f>
        <v>215.23235148064941</v>
      </c>
      <c r="BJ196" s="59">
        <f t="shared" si="146"/>
        <v>184.07239726900434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0.12423383338661827</v>
      </c>
      <c r="BQ196" s="21">
        <f>EXP(-LN(2)/25)*BQ195+(1-EXP(-LN(2)/25))/(LN(2)/25)*Calculateur!BL196*Calculateur!BN196*VLOOKUP('Données projet'!$B$11,Paramètres!$A$1:$I$89,3,0)*0.475*44/12</f>
        <v>8.5596555890417439E-2</v>
      </c>
      <c r="BR196" s="21">
        <f>EXP(-LN(2)/2)*BR195+(1-EXP(-LN(2)/2))/(LN(2)/2)*BL196*BO196*VLOOKUP('Données projet'!$B$11,Paramètres!$A$1:$I$89,3,0)*0.475*44/12</f>
        <v>2.8754446924032122E-24</v>
      </c>
      <c r="BS196" s="22">
        <f t="shared" si="169"/>
        <v>0.20983038927703571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 t="e">
        <f>BY196*VLOOKUP('Données projet'!$B$12,Paramètres!$A$1:$I$89,3,0)*VLOOKUP('Données projet'!$B$12,Paramètres!$A$1:$I$89,5,0)</f>
        <v>#N/A</v>
      </c>
      <c r="CA196" s="13" t="e">
        <f t="shared" si="170"/>
        <v>#N/A</v>
      </c>
      <c r="CB196" s="20" t="e">
        <f t="shared" si="171"/>
        <v>#N/A</v>
      </c>
      <c r="CC196" s="59" t="e">
        <f t="shared" ref="CC196:CC203" si="195">CB196+(BT196+BU196)*44/12</f>
        <v>#N/A</v>
      </c>
      <c r="CD196" s="59" t="e">
        <f ca="1">AVERAGE(OFFSET($CC$3,0,0,'Données projet'!$E$12+1,1))-AVERAGE(OFFSET($H$3,0,0,'Données projet'!$E$12+1,1))</f>
        <v>#N/A</v>
      </c>
      <c r="CE196" s="59" t="e">
        <f t="shared" si="148"/>
        <v>#N/A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 t="e">
        <f>EXP(-LN(2)/35)*CK195+(1-EXP(-LN(2)/35))/(LN(2)/35)*CG196*CH196*VLOOKUP('Données projet'!$B$12,Paramètres!$A$1:$I$89,3,0)*0.475*44/12</f>
        <v>#N/A</v>
      </c>
      <c r="CL196" s="21" t="e">
        <f>EXP(-LN(2)/25)*CL195+(1-EXP(-LN(2)/25))/(LN(2)/25)*Calculateur!CG196*Calculateur!CI196*VLOOKUP('Données projet'!$B$12,Paramètres!$A$1:$I$89,3,0)*0.475*44/12</f>
        <v>#N/A</v>
      </c>
      <c r="CM196" s="21" t="e">
        <f>EXP(-LN(2)/2)*CM195+(1-EXP(-LN(2)/2))/(LN(2)/2)*CG196*CJ196*VLOOKUP('Données projet'!$B$12,Paramètres!$A$1:$I$89,3,0)*0.475*44/12</f>
        <v>#N/A</v>
      </c>
      <c r="CN196" s="22" t="e">
        <f t="shared" si="172"/>
        <v>#N/A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25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172.50479999999965</v>
      </c>
      <c r="D197" s="11">
        <f t="shared" ref="D197:D203" si="202">IFERROR(EXP(-1.0587+0.8836*LN(C197)+0.284),0)</f>
        <v>43.650537013927277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10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1668.5675137917167</v>
      </c>
      <c r="H197" s="67">
        <f t="shared" si="192"/>
        <v>669.80387863258932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-3.4106051316484809E-13</v>
      </c>
      <c r="O197" s="13">
        <f>N197*VLOOKUP('Données projet'!$B$9,Paramètres!$A$1:$I$89,3,0)*VLOOKUP('Données projet'!$B$9,Paramètres!$A$1:$I$89,5,0)</f>
        <v>-1.9065282685915009E-13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279.98352834501759</v>
      </c>
      <c r="T197" s="59">
        <f t="shared" ref="T197:T203" si="204">$T$3</f>
        <v>281.30062655265488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0.15530605152073071</v>
      </c>
      <c r="AA197" s="21">
        <f>EXP(-LN(2)/25)*AA196+(1-EXP(-LN(2)/25))/(LN(2)/25)*Calculateur!V197*Calculateur!X197*VLOOKUP('Données projet'!$B$9,Paramètres!$A$1:$I$89,3,0)*0.475*44/12</f>
        <v>0.25676860440390281</v>
      </c>
      <c r="AB197" s="21">
        <f>EXP(-LN(2)/2)*AB196+(1-EXP(-LN(2)/2))/(LN(2)/2)*V197*Y197*VLOOKUP('Données projet'!$B$9,Paramètres!$A$1:$I$89,3,0)*0.475*44/12</f>
        <v>5.8558473804541231E-24</v>
      </c>
      <c r="AC197" s="22">
        <f t="shared" si="163"/>
        <v>0.41207465592463355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-1.1368683772161603E-13</v>
      </c>
      <c r="AJ197" s="13">
        <f>AI197*VLOOKUP('Données projet'!$B$10,Paramètres!$A$1:$I$89,3,0)*VLOOKUP('Données projet'!$B$10,Paramètres!$A$1:$I$89,5,0)</f>
        <v>-1.1527845344971866E-13</v>
      </c>
      <c r="AK197" s="13" t="e">
        <f t="shared" si="164"/>
        <v>#NUM!</v>
      </c>
      <c r="AL197" s="20" t="e">
        <f t="shared" si="165"/>
        <v>#NUM!</v>
      </c>
      <c r="AM197" s="59" t="e">
        <f t="shared" si="193"/>
        <v>#NUM!</v>
      </c>
      <c r="AN197" s="59">
        <f ca="1">AVERAGE(OFFSET($AM$3,0,0,'Données projet'!$E$10+1,1))-AVERAGE(OFFSET($H$3,0,0,'Données projet'!$E$10+1,1))</f>
        <v>279.20364724206644</v>
      </c>
      <c r="AO197" s="59">
        <f t="shared" ref="AO197:AO203" si="205">$AO$3</f>
        <v>173.99850582760712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0</v>
      </c>
      <c r="AV197" s="21">
        <f>EXP(-LN(2)/25)*AV196+(1-EXP(-LN(2)/25))/(LN(2)/25)*Calculateur!AQ197*Calculateur!AS197*VLOOKUP('Données projet'!$B$10,Paramètres!$A$1:$I$89,3,0)*0.475*44/12</f>
        <v>3.6891082403422357E-2</v>
      </c>
      <c r="AW197" s="21">
        <f>EXP(-LN(2)/2)*AW196+(1-EXP(-LN(2)/2))/(LN(2)/2)*AQ197*AT197*VLOOKUP('Données projet'!$B$10,Paramètres!$A$1:$I$89,3,0)*0.475*44/12</f>
        <v>1.4344011022389731E-24</v>
      </c>
      <c r="AX197" s="21">
        <f t="shared" si="166"/>
        <v>3.6891082403422357E-2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-1.1368683772161603E-13</v>
      </c>
      <c r="BE197" s="13">
        <f>BD197*VLOOKUP('Données projet'!$B$11,Paramètres!$A$1:$I$89,3,0)*VLOOKUP('Données projet'!$B$11,Paramètres!$A$1:$I$89,5,0)</f>
        <v>-5.3205440053716299E-14</v>
      </c>
      <c r="BF197" s="13" t="e">
        <f t="shared" si="167"/>
        <v>#NUM!</v>
      </c>
      <c r="BG197" s="20" t="e">
        <f t="shared" si="168"/>
        <v>#NUM!</v>
      </c>
      <c r="BH197" s="59" t="e">
        <f t="shared" si="194"/>
        <v>#NUM!</v>
      </c>
      <c r="BI197" s="59">
        <f ca="1">AVERAGE(OFFSET($BH$3,0,0,'Données projet'!$E$11+1,1))-AVERAGE(OFFSET($H$3,0,0,'Données projet'!$E$11+1,1))</f>
        <v>215.23235148064941</v>
      </c>
      <c r="BJ197" s="59">
        <f t="shared" ref="BJ197:BJ203" si="206">$BJ$3</f>
        <v>184.07239726900434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0.12179768368906288</v>
      </c>
      <c r="BQ197" s="21">
        <f>EXP(-LN(2)/25)*BQ196+(1-EXP(-LN(2)/25))/(LN(2)/25)*Calculateur!BL197*Calculateur!BN197*VLOOKUP('Données projet'!$B$11,Paramètres!$A$1:$I$89,3,0)*0.475*44/12</f>
        <v>8.325591356826674E-2</v>
      </c>
      <c r="BR197" s="21">
        <f>EXP(-LN(2)/2)*BR196+(1-EXP(-LN(2)/2))/(LN(2)/2)*BL197*BO197*VLOOKUP('Données projet'!$B$11,Paramètres!$A$1:$I$89,3,0)*0.475*44/12</f>
        <v>2.0332464409251776E-24</v>
      </c>
      <c r="BS197" s="22">
        <f t="shared" si="169"/>
        <v>0.20505359725732963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 t="e">
        <f>BY197*VLOOKUP('Données projet'!$B$12,Paramètres!$A$1:$I$89,3,0)*VLOOKUP('Données projet'!$B$12,Paramètres!$A$1:$I$89,5,0)</f>
        <v>#N/A</v>
      </c>
      <c r="CA197" s="13" t="e">
        <f t="shared" si="170"/>
        <v>#N/A</v>
      </c>
      <c r="CB197" s="20" t="e">
        <f t="shared" si="171"/>
        <v>#N/A</v>
      </c>
      <c r="CC197" s="59" t="e">
        <f t="shared" si="195"/>
        <v>#N/A</v>
      </c>
      <c r="CD197" s="59" t="e">
        <f ca="1">AVERAGE(OFFSET($CC$3,0,0,'Données projet'!$E$12+1,1))-AVERAGE(OFFSET($H$3,0,0,'Données projet'!$E$12+1,1))</f>
        <v>#N/A</v>
      </c>
      <c r="CE197" s="59" t="e">
        <f t="shared" ref="CE197:CE203" si="207">$CE$3</f>
        <v>#N/A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 t="e">
        <f>EXP(-LN(2)/35)*CK196+(1-EXP(-LN(2)/35))/(LN(2)/35)*CG197*CH197*VLOOKUP('Données projet'!$B$12,Paramètres!$A$1:$I$89,3,0)*0.475*44/12</f>
        <v>#N/A</v>
      </c>
      <c r="CL197" s="21" t="e">
        <f>EXP(-LN(2)/25)*CL196+(1-EXP(-LN(2)/25))/(LN(2)/25)*Calculateur!CG197*Calculateur!CI197*VLOOKUP('Données projet'!$B$12,Paramètres!$A$1:$I$89,3,0)*0.475*44/12</f>
        <v>#N/A</v>
      </c>
      <c r="CM197" s="21" t="e">
        <f>EXP(-LN(2)/2)*CM196+(1-EXP(-LN(2)/2))/(LN(2)/2)*CG197*CJ197*VLOOKUP('Données projet'!$B$12,Paramètres!$A$1:$I$89,3,0)*0.475*44/12</f>
        <v>#N/A</v>
      </c>
      <c r="CN197" s="22" t="e">
        <f t="shared" si="172"/>
        <v>#N/A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25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173.39399999999964</v>
      </c>
      <c r="D198" s="11">
        <f t="shared" si="202"/>
        <v>43.849289930196555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10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1676.9657468295848</v>
      </c>
      <c r="H198" s="67">
        <f t="shared" si="192"/>
        <v>671.69872996175832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-3.4106051316484809E-13</v>
      </c>
      <c r="O198" s="13">
        <f>N198*VLOOKUP('Données projet'!$B$9,Paramètres!$A$1:$I$89,3,0)*VLOOKUP('Données projet'!$B$9,Paramètres!$A$1:$I$89,5,0)</f>
        <v>-1.9065282685915009E-13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279.98352834501759</v>
      </c>
      <c r="T198" s="59">
        <f t="shared" si="204"/>
        <v>281.30062655265488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0.15226059457774707</v>
      </c>
      <c r="AA198" s="21">
        <f>EXP(-LN(2)/25)*AA197+(1-EXP(-LN(2)/25))/(LN(2)/25)*Calculateur!V198*Calculateur!X198*VLOOKUP('Données projet'!$B$9,Paramètres!$A$1:$I$89,3,0)*0.475*44/12</f>
        <v>0.24974725341360404</v>
      </c>
      <c r="AB198" s="21">
        <f>EXP(-LN(2)/2)*AB197+(1-EXP(-LN(2)/2))/(LN(2)/2)*V198*Y198*VLOOKUP('Données projet'!$B$9,Paramètres!$A$1:$I$89,3,0)*0.475*44/12</f>
        <v>4.1407093923125911E-24</v>
      </c>
      <c r="AC198" s="22">
        <f t="shared" si="163"/>
        <v>0.40200784799135114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-1.1368683772161603E-13</v>
      </c>
      <c r="AJ198" s="13">
        <f>AI198*VLOOKUP('Données projet'!$B$10,Paramètres!$A$1:$I$89,3,0)*VLOOKUP('Données projet'!$B$10,Paramètres!$A$1:$I$89,5,0)</f>
        <v>-1.1527845344971866E-13</v>
      </c>
      <c r="AK198" s="13" t="e">
        <f t="shared" si="164"/>
        <v>#NUM!</v>
      </c>
      <c r="AL198" s="20" t="e">
        <f t="shared" si="165"/>
        <v>#NUM!</v>
      </c>
      <c r="AM198" s="59" t="e">
        <f t="shared" si="193"/>
        <v>#NUM!</v>
      </c>
      <c r="AN198" s="59">
        <f ca="1">AVERAGE(OFFSET($AM$3,0,0,'Données projet'!$E$10+1,1))-AVERAGE(OFFSET($H$3,0,0,'Données projet'!$E$10+1,1))</f>
        <v>279.20364724206644</v>
      </c>
      <c r="AO198" s="59">
        <f t="shared" si="205"/>
        <v>173.99850582760712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0</v>
      </c>
      <c r="AV198" s="21">
        <f>EXP(-LN(2)/25)*AV197+(1-EXP(-LN(2)/25))/(LN(2)/25)*Calculateur!AQ198*Calculateur!AS198*VLOOKUP('Données projet'!$B$10,Paramètres!$A$1:$I$89,3,0)*0.475*44/12</f>
        <v>3.5882293815083066E-2</v>
      </c>
      <c r="AW198" s="21">
        <f>EXP(-LN(2)/2)*AW197+(1-EXP(-LN(2)/2))/(LN(2)/2)*AQ198*AT198*VLOOKUP('Données projet'!$B$10,Paramètres!$A$1:$I$89,3,0)*0.475*44/12</f>
        <v>1.0142747463346361E-24</v>
      </c>
      <c r="AX198" s="21">
        <f t="shared" si="166"/>
        <v>3.5882293815083066E-2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-1.1368683772161603E-13</v>
      </c>
      <c r="BE198" s="13">
        <f>BD198*VLOOKUP('Données projet'!$B$11,Paramètres!$A$1:$I$89,3,0)*VLOOKUP('Données projet'!$B$11,Paramètres!$A$1:$I$89,5,0)</f>
        <v>-5.3205440053716299E-14</v>
      </c>
      <c r="BF198" s="13" t="e">
        <f t="shared" si="167"/>
        <v>#NUM!</v>
      </c>
      <c r="BG198" s="20" t="e">
        <f t="shared" si="168"/>
        <v>#NUM!</v>
      </c>
      <c r="BH198" s="59" t="e">
        <f t="shared" si="194"/>
        <v>#NUM!</v>
      </c>
      <c r="BI198" s="59">
        <f ca="1">AVERAGE(OFFSET($BH$3,0,0,'Données projet'!$E$11+1,1))-AVERAGE(OFFSET($H$3,0,0,'Données projet'!$E$11+1,1))</f>
        <v>215.23235148064941</v>
      </c>
      <c r="BJ198" s="59">
        <f t="shared" si="206"/>
        <v>184.07239726900434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0.11940930540117195</v>
      </c>
      <c r="BQ198" s="21">
        <f>EXP(-LN(2)/25)*BQ197+(1-EXP(-LN(2)/25))/(LN(2)/25)*Calculateur!BL198*Calculateur!BN198*VLOOKUP('Données projet'!$B$11,Paramètres!$A$1:$I$89,3,0)*0.475*44/12</f>
        <v>8.0979276233504274E-2</v>
      </c>
      <c r="BR198" s="21">
        <f>EXP(-LN(2)/2)*BR197+(1-EXP(-LN(2)/2))/(LN(2)/2)*BL198*BO198*VLOOKUP('Données projet'!$B$11,Paramètres!$A$1:$I$89,3,0)*0.475*44/12</f>
        <v>1.4377223462016061E-24</v>
      </c>
      <c r="BS198" s="22">
        <f t="shared" si="169"/>
        <v>0.20038858163467621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 t="e">
        <f>BY198*VLOOKUP('Données projet'!$B$12,Paramètres!$A$1:$I$89,3,0)*VLOOKUP('Données projet'!$B$12,Paramètres!$A$1:$I$89,5,0)</f>
        <v>#N/A</v>
      </c>
      <c r="CA198" s="13" t="e">
        <f t="shared" si="170"/>
        <v>#N/A</v>
      </c>
      <c r="CB198" s="20" t="e">
        <f t="shared" si="171"/>
        <v>#N/A</v>
      </c>
      <c r="CC198" s="59" t="e">
        <f t="shared" si="195"/>
        <v>#N/A</v>
      </c>
      <c r="CD198" s="59" t="e">
        <f ca="1">AVERAGE(OFFSET($CC$3,0,0,'Données projet'!$E$12+1,1))-AVERAGE(OFFSET($H$3,0,0,'Données projet'!$E$12+1,1))</f>
        <v>#N/A</v>
      </c>
      <c r="CE198" s="59" t="e">
        <f t="shared" si="207"/>
        <v>#N/A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 t="e">
        <f>EXP(-LN(2)/35)*CK197+(1-EXP(-LN(2)/35))/(LN(2)/35)*CG198*CH198*VLOOKUP('Données projet'!$B$12,Paramètres!$A$1:$I$89,3,0)*0.475*44/12</f>
        <v>#N/A</v>
      </c>
      <c r="CL198" s="21" t="e">
        <f>EXP(-LN(2)/25)*CL197+(1-EXP(-LN(2)/25))/(LN(2)/25)*Calculateur!CG198*Calculateur!CI198*VLOOKUP('Données projet'!$B$12,Paramètres!$A$1:$I$89,3,0)*0.475*44/12</f>
        <v>#N/A</v>
      </c>
      <c r="CM198" s="21" t="e">
        <f>EXP(-LN(2)/2)*CM197+(1-EXP(-LN(2)/2))/(LN(2)/2)*CG198*CJ198*VLOOKUP('Données projet'!$B$12,Paramètres!$A$1:$I$89,3,0)*0.475*44/12</f>
        <v>#N/A</v>
      </c>
      <c r="CN198" s="22" t="e">
        <f t="shared" si="172"/>
        <v>#N/A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25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174.28319999999962</v>
      </c>
      <c r="D199" s="11">
        <f t="shared" si="202"/>
        <v>44.047924241116036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10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1685.3630643173844</v>
      </c>
      <c r="H199" s="67">
        <f t="shared" si="192"/>
        <v>673.59337471994309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-3.4106051316484809E-13</v>
      </c>
      <c r="O199" s="13">
        <f>N199*VLOOKUP('Données projet'!$B$9,Paramètres!$A$1:$I$89,3,0)*VLOOKUP('Données projet'!$B$9,Paramètres!$A$1:$I$89,5,0)</f>
        <v>-1.9065282685915009E-13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279.98352834501759</v>
      </c>
      <c r="T199" s="59">
        <f t="shared" si="204"/>
        <v>281.30062655265488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0.14927485718787001</v>
      </c>
      <c r="AA199" s="21">
        <f>EXP(-LN(2)/25)*AA198+(1-EXP(-LN(2)/25))/(LN(2)/25)*Calculateur!V199*Calculateur!X199*VLOOKUP('Données projet'!$B$9,Paramètres!$A$1:$I$89,3,0)*0.475*44/12</f>
        <v>0.24291790163537177</v>
      </c>
      <c r="AB199" s="21">
        <f>EXP(-LN(2)/2)*AB198+(1-EXP(-LN(2)/2))/(LN(2)/2)*V199*Y199*VLOOKUP('Données projet'!$B$9,Paramètres!$A$1:$I$89,3,0)*0.475*44/12</f>
        <v>2.9279236902270615E-24</v>
      </c>
      <c r="AC199" s="22">
        <f t="shared" si="163"/>
        <v>0.39219275882324178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-1.1368683772161603E-13</v>
      </c>
      <c r="AJ199" s="13">
        <f>AI199*VLOOKUP('Données projet'!$B$10,Paramètres!$A$1:$I$89,3,0)*VLOOKUP('Données projet'!$B$10,Paramètres!$A$1:$I$89,5,0)</f>
        <v>-1.1527845344971866E-13</v>
      </c>
      <c r="AK199" s="13" t="e">
        <f t="shared" si="164"/>
        <v>#NUM!</v>
      </c>
      <c r="AL199" s="20" t="e">
        <f t="shared" si="165"/>
        <v>#NUM!</v>
      </c>
      <c r="AM199" s="59" t="e">
        <f t="shared" si="193"/>
        <v>#NUM!</v>
      </c>
      <c r="AN199" s="59">
        <f ca="1">AVERAGE(OFFSET($AM$3,0,0,'Données projet'!$E$10+1,1))-AVERAGE(OFFSET($H$3,0,0,'Données projet'!$E$10+1,1))</f>
        <v>279.20364724206644</v>
      </c>
      <c r="AO199" s="59">
        <f t="shared" si="205"/>
        <v>173.99850582760712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0</v>
      </c>
      <c r="AV199" s="21">
        <f>EXP(-LN(2)/25)*AV198+(1-EXP(-LN(2)/25))/(LN(2)/25)*Calculateur!AQ199*Calculateur!AS199*VLOOKUP('Données projet'!$B$10,Paramètres!$A$1:$I$89,3,0)*0.475*44/12</f>
        <v>3.4901090603741795E-2</v>
      </c>
      <c r="AW199" s="21">
        <f>EXP(-LN(2)/2)*AW198+(1-EXP(-LN(2)/2))/(LN(2)/2)*AQ199*AT199*VLOOKUP('Données projet'!$B$10,Paramètres!$A$1:$I$89,3,0)*0.475*44/12</f>
        <v>7.1720055111948655E-25</v>
      </c>
      <c r="AX199" s="21">
        <f t="shared" si="166"/>
        <v>3.4901090603741795E-2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-1.1368683772161603E-13</v>
      </c>
      <c r="BE199" s="13">
        <f>BD199*VLOOKUP('Données projet'!$B$11,Paramètres!$A$1:$I$89,3,0)*VLOOKUP('Données projet'!$B$11,Paramètres!$A$1:$I$89,5,0)</f>
        <v>-5.3205440053716299E-14</v>
      </c>
      <c r="BF199" s="13" t="e">
        <f t="shared" si="167"/>
        <v>#NUM!</v>
      </c>
      <c r="BG199" s="20" t="e">
        <f t="shared" si="168"/>
        <v>#NUM!</v>
      </c>
      <c r="BH199" s="59" t="e">
        <f t="shared" si="194"/>
        <v>#NUM!</v>
      </c>
      <c r="BI199" s="59">
        <f ca="1">AVERAGE(OFFSET($BH$3,0,0,'Données projet'!$E$11+1,1))-AVERAGE(OFFSET($H$3,0,0,'Données projet'!$E$11+1,1))</f>
        <v>215.23235148064941</v>
      </c>
      <c r="BJ199" s="59">
        <f t="shared" si="206"/>
        <v>184.07239726900434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0.11706776175473965</v>
      </c>
      <c r="BQ199" s="21">
        <f>EXP(-LN(2)/25)*BQ198+(1-EXP(-LN(2)/25))/(LN(2)/25)*Calculateur!BL199*Calculateur!BN199*VLOOKUP('Données projet'!$B$11,Paramètres!$A$1:$I$89,3,0)*0.475*44/12</f>
        <v>7.8764893666384048E-2</v>
      </c>
      <c r="BR199" s="21">
        <f>EXP(-LN(2)/2)*BR198+(1-EXP(-LN(2)/2))/(LN(2)/2)*BL199*BO199*VLOOKUP('Données projet'!$B$11,Paramètres!$A$1:$I$89,3,0)*0.475*44/12</f>
        <v>1.0166232204625888E-24</v>
      </c>
      <c r="BS199" s="22">
        <f t="shared" si="169"/>
        <v>0.19583265542112371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 t="e">
        <f>BY199*VLOOKUP('Données projet'!$B$12,Paramètres!$A$1:$I$89,3,0)*VLOOKUP('Données projet'!$B$12,Paramètres!$A$1:$I$89,5,0)</f>
        <v>#N/A</v>
      </c>
      <c r="CA199" s="13" t="e">
        <f t="shared" si="170"/>
        <v>#N/A</v>
      </c>
      <c r="CB199" s="20" t="e">
        <f t="shared" si="171"/>
        <v>#N/A</v>
      </c>
      <c r="CC199" s="59" t="e">
        <f t="shared" si="195"/>
        <v>#N/A</v>
      </c>
      <c r="CD199" s="59" t="e">
        <f ca="1">AVERAGE(OFFSET($CC$3,0,0,'Données projet'!$E$12+1,1))-AVERAGE(OFFSET($H$3,0,0,'Données projet'!$E$12+1,1))</f>
        <v>#N/A</v>
      </c>
      <c r="CE199" s="59" t="e">
        <f t="shared" si="207"/>
        <v>#N/A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 t="e">
        <f>EXP(-LN(2)/35)*CK198+(1-EXP(-LN(2)/35))/(LN(2)/35)*CG199*CH199*VLOOKUP('Données projet'!$B$12,Paramètres!$A$1:$I$89,3,0)*0.475*44/12</f>
        <v>#N/A</v>
      </c>
      <c r="CL199" s="21" t="e">
        <f>EXP(-LN(2)/25)*CL198+(1-EXP(-LN(2)/25))/(LN(2)/25)*Calculateur!CG199*Calculateur!CI199*VLOOKUP('Données projet'!$B$12,Paramètres!$A$1:$I$89,3,0)*0.475*44/12</f>
        <v>#N/A</v>
      </c>
      <c r="CM199" s="21" t="e">
        <f>EXP(-LN(2)/2)*CM198+(1-EXP(-LN(2)/2))/(LN(2)/2)*CG199*CJ199*VLOOKUP('Données projet'!$B$12,Paramètres!$A$1:$I$89,3,0)*0.475*44/12</f>
        <v>#N/A</v>
      </c>
      <c r="CN199" s="22" t="e">
        <f t="shared" si="172"/>
        <v>#N/A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25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175.17239999999961</v>
      </c>
      <c r="D200" s="11">
        <f t="shared" si="202"/>
        <v>44.246440622057428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10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1693.7594714685104</v>
      </c>
      <c r="H200" s="67">
        <f t="shared" si="192"/>
        <v>675.48781408341597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-3.4106051316484809E-13</v>
      </c>
      <c r="O200" s="13">
        <f>N200*VLOOKUP('Données projet'!$B$9,Paramètres!$A$1:$I$89,3,0)*VLOOKUP('Données projet'!$B$9,Paramètres!$A$1:$I$89,5,0)</f>
        <v>-1.9065282685915009E-13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279.98352834501759</v>
      </c>
      <c r="T200" s="59">
        <f t="shared" si="204"/>
        <v>281.30062655265488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0.14634766828708845</v>
      </c>
      <c r="AA200" s="21">
        <f>EXP(-LN(2)/25)*AA199+(1-EXP(-LN(2)/25))/(LN(2)/25)*Calculateur!V200*Calculateur!X200*VLOOKUP('Données projet'!$B$9,Paramètres!$A$1:$I$89,3,0)*0.475*44/12</f>
        <v>0.23627529884065529</v>
      </c>
      <c r="AB200" s="21">
        <f>EXP(-LN(2)/2)*AB199+(1-EXP(-LN(2)/2))/(LN(2)/2)*V200*Y200*VLOOKUP('Données projet'!$B$9,Paramètres!$A$1:$I$89,3,0)*0.475*44/12</f>
        <v>2.0703546961562955E-24</v>
      </c>
      <c r="AC200" s="22">
        <f t="shared" si="163"/>
        <v>0.38262296712774374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-1.1368683772161603E-13</v>
      </c>
      <c r="AJ200" s="13">
        <f>AI200*VLOOKUP('Données projet'!$B$10,Paramètres!$A$1:$I$89,3,0)*VLOOKUP('Données projet'!$B$10,Paramètres!$A$1:$I$89,5,0)</f>
        <v>-1.1527845344971866E-13</v>
      </c>
      <c r="AK200" s="13" t="e">
        <f t="shared" si="164"/>
        <v>#NUM!</v>
      </c>
      <c r="AL200" s="20" t="e">
        <f t="shared" si="165"/>
        <v>#NUM!</v>
      </c>
      <c r="AM200" s="59" t="e">
        <f t="shared" si="193"/>
        <v>#NUM!</v>
      </c>
      <c r="AN200" s="59">
        <f ca="1">AVERAGE(OFFSET($AM$3,0,0,'Données projet'!$E$10+1,1))-AVERAGE(OFFSET($H$3,0,0,'Données projet'!$E$10+1,1))</f>
        <v>279.20364724206644</v>
      </c>
      <c r="AO200" s="59">
        <f t="shared" si="205"/>
        <v>173.99850582760712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0</v>
      </c>
      <c r="AV200" s="21">
        <f>EXP(-LN(2)/25)*AV199+(1-EXP(-LN(2)/25))/(LN(2)/25)*Calculateur!AQ200*Calculateur!AS200*VLOOKUP('Données projet'!$B$10,Paramètres!$A$1:$I$89,3,0)*0.475*44/12</f>
        <v>3.3946718445813887E-2</v>
      </c>
      <c r="AW200" s="21">
        <f>EXP(-LN(2)/2)*AW199+(1-EXP(-LN(2)/2))/(LN(2)/2)*AQ200*AT200*VLOOKUP('Données projet'!$B$10,Paramètres!$A$1:$I$89,3,0)*0.475*44/12</f>
        <v>5.0713737316731807E-25</v>
      </c>
      <c r="AX200" s="21">
        <f t="shared" si="166"/>
        <v>3.3946718445813887E-2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-1.1368683772161603E-13</v>
      </c>
      <c r="BE200" s="13">
        <f>BD200*VLOOKUP('Données projet'!$B$11,Paramètres!$A$1:$I$89,3,0)*VLOOKUP('Données projet'!$B$11,Paramètres!$A$1:$I$89,5,0)</f>
        <v>-5.3205440053716299E-14</v>
      </c>
      <c r="BF200" s="13" t="e">
        <f t="shared" si="167"/>
        <v>#NUM!</v>
      </c>
      <c r="BG200" s="20" t="e">
        <f t="shared" si="168"/>
        <v>#NUM!</v>
      </c>
      <c r="BH200" s="59" t="e">
        <f t="shared" si="194"/>
        <v>#NUM!</v>
      </c>
      <c r="BI200" s="59">
        <f ca="1">AVERAGE(OFFSET($BH$3,0,0,'Données projet'!$E$11+1,1))-AVERAGE(OFFSET($H$3,0,0,'Données projet'!$E$11+1,1))</f>
        <v>215.23235148064941</v>
      </c>
      <c r="BJ200" s="59">
        <f t="shared" si="206"/>
        <v>184.07239726900434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0.11477213435101329</v>
      </c>
      <c r="BQ200" s="21">
        <f>EXP(-LN(2)/25)*BQ199+(1-EXP(-LN(2)/25))/(LN(2)/25)*Calculateur!BL200*Calculateur!BN200*VLOOKUP('Données projet'!$B$11,Paramètres!$A$1:$I$89,3,0)*0.475*44/12</f>
        <v>7.6611063507011037E-2</v>
      </c>
      <c r="BR200" s="21">
        <f>EXP(-LN(2)/2)*BR199+(1-EXP(-LN(2)/2))/(LN(2)/2)*BL200*BO200*VLOOKUP('Données projet'!$B$11,Paramètres!$A$1:$I$89,3,0)*0.475*44/12</f>
        <v>7.1886117310080304E-25</v>
      </c>
      <c r="BS200" s="22">
        <f t="shared" si="169"/>
        <v>0.19138319785802432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 t="e">
        <f>BY200*VLOOKUP('Données projet'!$B$12,Paramètres!$A$1:$I$89,3,0)*VLOOKUP('Données projet'!$B$12,Paramètres!$A$1:$I$89,5,0)</f>
        <v>#N/A</v>
      </c>
      <c r="CA200" s="13" t="e">
        <f t="shared" si="170"/>
        <v>#N/A</v>
      </c>
      <c r="CB200" s="20" t="e">
        <f t="shared" si="171"/>
        <v>#N/A</v>
      </c>
      <c r="CC200" s="59" t="e">
        <f t="shared" si="195"/>
        <v>#N/A</v>
      </c>
      <c r="CD200" s="59" t="e">
        <f ca="1">AVERAGE(OFFSET($CC$3,0,0,'Données projet'!$E$12+1,1))-AVERAGE(OFFSET($H$3,0,0,'Données projet'!$E$12+1,1))</f>
        <v>#N/A</v>
      </c>
      <c r="CE200" s="59" t="e">
        <f t="shared" si="207"/>
        <v>#N/A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 t="e">
        <f>EXP(-LN(2)/35)*CK199+(1-EXP(-LN(2)/35))/(LN(2)/35)*CG200*CH200*VLOOKUP('Données projet'!$B$12,Paramètres!$A$1:$I$89,3,0)*0.475*44/12</f>
        <v>#N/A</v>
      </c>
      <c r="CL200" s="21" t="e">
        <f>EXP(-LN(2)/25)*CL199+(1-EXP(-LN(2)/25))/(LN(2)/25)*Calculateur!CG200*Calculateur!CI200*VLOOKUP('Données projet'!$B$12,Paramètres!$A$1:$I$89,3,0)*0.475*44/12</f>
        <v>#N/A</v>
      </c>
      <c r="CM200" s="21" t="e">
        <f>EXP(-LN(2)/2)*CM199+(1-EXP(-LN(2)/2))/(LN(2)/2)*CG200*CJ200*VLOOKUP('Données projet'!$B$12,Paramètres!$A$1:$I$89,3,0)*0.475*44/12</f>
        <v>#N/A</v>
      </c>
      <c r="CN200" s="22" t="e">
        <f t="shared" si="172"/>
        <v>#N/A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25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176.0615999999996</v>
      </c>
      <c r="D201" s="11">
        <f t="shared" si="202"/>
        <v>44.44483974113885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10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1702.154973440367</v>
      </c>
      <c r="H201" s="67">
        <f t="shared" si="192"/>
        <v>677.3820492158161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-3.4106051316484809E-13</v>
      </c>
      <c r="O201" s="13">
        <f>N201*VLOOKUP('Données projet'!$B$9,Paramètres!$A$1:$I$89,3,0)*VLOOKUP('Données projet'!$B$9,Paramètres!$A$1:$I$89,5,0)</f>
        <v>-1.9065282685915009E-13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279.98352834501759</v>
      </c>
      <c r="T201" s="59">
        <f t="shared" si="204"/>
        <v>281.30062655265488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0.14347787977524229</v>
      </c>
      <c r="AA201" s="21">
        <f>EXP(-LN(2)/25)*AA200+(1-EXP(-LN(2)/25))/(LN(2)/25)*Calculateur!V201*Calculateur!X201*VLOOKUP('Données projet'!$B$9,Paramètres!$A$1:$I$89,3,0)*0.475*44/12</f>
        <v>0.22981433836867962</v>
      </c>
      <c r="AB201" s="21">
        <f>EXP(-LN(2)/2)*AB200+(1-EXP(-LN(2)/2))/(LN(2)/2)*V201*Y201*VLOOKUP('Données projet'!$B$9,Paramètres!$A$1:$I$89,3,0)*0.475*44/12</f>
        <v>1.4639618451135308E-24</v>
      </c>
      <c r="AC201" s="22">
        <f t="shared" si="163"/>
        <v>0.37329221814392188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-1.1368683772161603E-13</v>
      </c>
      <c r="AJ201" s="13">
        <f>AI201*VLOOKUP('Données projet'!$B$10,Paramètres!$A$1:$I$89,3,0)*VLOOKUP('Données projet'!$B$10,Paramètres!$A$1:$I$89,5,0)</f>
        <v>-1.1527845344971866E-13</v>
      </c>
      <c r="AK201" s="13" t="e">
        <f t="shared" si="164"/>
        <v>#NUM!</v>
      </c>
      <c r="AL201" s="20" t="e">
        <f t="shared" si="165"/>
        <v>#NUM!</v>
      </c>
      <c r="AM201" s="59" t="e">
        <f t="shared" si="193"/>
        <v>#NUM!</v>
      </c>
      <c r="AN201" s="59">
        <f ca="1">AVERAGE(OFFSET($AM$3,0,0,'Données projet'!$E$10+1,1))-AVERAGE(OFFSET($H$3,0,0,'Données projet'!$E$10+1,1))</f>
        <v>279.20364724206644</v>
      </c>
      <c r="AO201" s="59">
        <f t="shared" si="205"/>
        <v>173.99850582760712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0</v>
      </c>
      <c r="AV201" s="21">
        <f>EXP(-LN(2)/25)*AV200+(1-EXP(-LN(2)/25))/(LN(2)/25)*Calculateur!AQ201*Calculateur!AS201*VLOOKUP('Données projet'!$B$10,Paramètres!$A$1:$I$89,3,0)*0.475*44/12</f>
        <v>3.3018443644732769E-2</v>
      </c>
      <c r="AW201" s="21">
        <f>EXP(-LN(2)/2)*AW200+(1-EXP(-LN(2)/2))/(LN(2)/2)*AQ201*AT201*VLOOKUP('Données projet'!$B$10,Paramètres!$A$1:$I$89,3,0)*0.475*44/12</f>
        <v>3.5860027555974328E-25</v>
      </c>
      <c r="AX201" s="21">
        <f t="shared" si="166"/>
        <v>3.3018443644732769E-2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-1.1368683772161603E-13</v>
      </c>
      <c r="BE201" s="13">
        <f>BD201*VLOOKUP('Données projet'!$B$11,Paramètres!$A$1:$I$89,3,0)*VLOOKUP('Données projet'!$B$11,Paramètres!$A$1:$I$89,5,0)</f>
        <v>-5.3205440053716299E-14</v>
      </c>
      <c r="BF201" s="13" t="e">
        <f t="shared" si="167"/>
        <v>#NUM!</v>
      </c>
      <c r="BG201" s="20" t="e">
        <f t="shared" si="168"/>
        <v>#NUM!</v>
      </c>
      <c r="BH201" s="59" t="e">
        <f t="shared" si="194"/>
        <v>#NUM!</v>
      </c>
      <c r="BI201" s="59">
        <f ca="1">AVERAGE(OFFSET($BH$3,0,0,'Données projet'!$E$11+1,1))-AVERAGE(OFFSET($H$3,0,0,'Données projet'!$E$11+1,1))</f>
        <v>215.23235148064941</v>
      </c>
      <c r="BJ201" s="59">
        <f t="shared" si="206"/>
        <v>184.07239726900434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0.11252152280047954</v>
      </c>
      <c r="BQ201" s="21">
        <f>EXP(-LN(2)/25)*BQ200+(1-EXP(-LN(2)/25))/(LN(2)/25)*Calculateur!BL201*Calculateur!BN201*VLOOKUP('Données projet'!$B$11,Paramètres!$A$1:$I$89,3,0)*0.475*44/12</f>
        <v>7.4516129946611082E-2</v>
      </c>
      <c r="BR201" s="21">
        <f>EXP(-LN(2)/2)*BR200+(1-EXP(-LN(2)/2))/(LN(2)/2)*BL201*BO201*VLOOKUP('Données projet'!$B$11,Paramètres!$A$1:$I$89,3,0)*0.475*44/12</f>
        <v>5.0831161023129439E-25</v>
      </c>
      <c r="BS201" s="22">
        <f t="shared" si="169"/>
        <v>0.18703765274709061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 t="e">
        <f>BY201*VLOOKUP('Données projet'!$B$12,Paramètres!$A$1:$I$89,3,0)*VLOOKUP('Données projet'!$B$12,Paramètres!$A$1:$I$89,5,0)</f>
        <v>#N/A</v>
      </c>
      <c r="CA201" s="13" t="e">
        <f t="shared" si="170"/>
        <v>#N/A</v>
      </c>
      <c r="CB201" s="20" t="e">
        <f t="shared" si="171"/>
        <v>#N/A</v>
      </c>
      <c r="CC201" s="59" t="e">
        <f t="shared" si="195"/>
        <v>#N/A</v>
      </c>
      <c r="CD201" s="59" t="e">
        <f ca="1">AVERAGE(OFFSET($CC$3,0,0,'Données projet'!$E$12+1,1))-AVERAGE(OFFSET($H$3,0,0,'Données projet'!$E$12+1,1))</f>
        <v>#N/A</v>
      </c>
      <c r="CE201" s="59" t="e">
        <f t="shared" si="207"/>
        <v>#N/A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 t="e">
        <f>EXP(-LN(2)/35)*CK200+(1-EXP(-LN(2)/35))/(LN(2)/35)*CG201*CH201*VLOOKUP('Données projet'!$B$12,Paramètres!$A$1:$I$89,3,0)*0.475*44/12</f>
        <v>#N/A</v>
      </c>
      <c r="CL201" s="21" t="e">
        <f>EXP(-LN(2)/25)*CL200+(1-EXP(-LN(2)/25))/(LN(2)/25)*Calculateur!CG201*Calculateur!CI201*VLOOKUP('Données projet'!$B$12,Paramètres!$A$1:$I$89,3,0)*0.475*44/12</f>
        <v>#N/A</v>
      </c>
      <c r="CM201" s="21" t="e">
        <f>EXP(-LN(2)/2)*CM200+(1-EXP(-LN(2)/2))/(LN(2)/2)*CG201*CJ201*VLOOKUP('Données projet'!$B$12,Paramètres!$A$1:$I$89,3,0)*0.475*44/12</f>
        <v>#N/A</v>
      </c>
      <c r="CN201" s="22" t="e">
        <f t="shared" si="172"/>
        <v>#N/A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25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176.95079999999959</v>
      </c>
      <c r="D202" s="11">
        <f t="shared" si="202"/>
        <v>44.643122259339037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10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1710.5495753352454</v>
      </c>
      <c r="H202" s="67">
        <f t="shared" si="192"/>
        <v>679.27608126834809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-3.4106051316484809E-13</v>
      </c>
      <c r="O202" s="13">
        <f>N202*VLOOKUP('Données projet'!$B$9,Paramètres!$A$1:$I$89,3,0)*VLOOKUP('Données projet'!$B$9,Paramètres!$A$1:$I$89,5,0)</f>
        <v>-1.9065282685915009E-13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279.98352834501759</v>
      </c>
      <c r="T202" s="59">
        <f t="shared" si="204"/>
        <v>281.30062655265488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0.14066436606571528</v>
      </c>
      <c r="AA202" s="21">
        <f>EXP(-LN(2)/25)*AA201+(1-EXP(-LN(2)/25))/(LN(2)/25)*Calculateur!V202*Calculateur!X202*VLOOKUP('Données projet'!$B$9,Paramètres!$A$1:$I$89,3,0)*0.475*44/12</f>
        <v>0.22353005320057728</v>
      </c>
      <c r="AB202" s="21">
        <f>EXP(-LN(2)/2)*AB201+(1-EXP(-LN(2)/2))/(LN(2)/2)*V202*Y202*VLOOKUP('Données projet'!$B$9,Paramètres!$A$1:$I$89,3,0)*0.475*44/12</f>
        <v>1.0351773480781478E-24</v>
      </c>
      <c r="AC202" s="22">
        <f t="shared" si="163"/>
        <v>0.36419441926629259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-1.1368683772161603E-13</v>
      </c>
      <c r="AJ202" s="13">
        <f>AI202*VLOOKUP('Données projet'!$B$10,Paramètres!$A$1:$I$89,3,0)*VLOOKUP('Données projet'!$B$10,Paramètres!$A$1:$I$89,5,0)</f>
        <v>-1.1527845344971866E-13</v>
      </c>
      <c r="AK202" s="13" t="e">
        <f t="shared" si="164"/>
        <v>#NUM!</v>
      </c>
      <c r="AL202" s="20" t="e">
        <f t="shared" si="165"/>
        <v>#NUM!</v>
      </c>
      <c r="AM202" s="59" t="e">
        <f t="shared" si="193"/>
        <v>#NUM!</v>
      </c>
      <c r="AN202" s="59">
        <f ca="1">AVERAGE(OFFSET($AM$3,0,0,'Données projet'!$E$10+1,1))-AVERAGE(OFFSET($H$3,0,0,'Données projet'!$E$10+1,1))</f>
        <v>279.20364724206644</v>
      </c>
      <c r="AO202" s="59">
        <f t="shared" si="205"/>
        <v>173.99850582760712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0</v>
      </c>
      <c r="AV202" s="21">
        <f>EXP(-LN(2)/25)*AV201+(1-EXP(-LN(2)/25))/(LN(2)/25)*Calculateur!AQ202*Calculateur!AS202*VLOOKUP('Données projet'!$B$10,Paramètres!$A$1:$I$89,3,0)*0.475*44/12</f>
        <v>3.2115552566903065E-2</v>
      </c>
      <c r="AW202" s="21">
        <f>EXP(-LN(2)/2)*AW201+(1-EXP(-LN(2)/2))/(LN(2)/2)*AQ202*AT202*VLOOKUP('Données projet'!$B$10,Paramètres!$A$1:$I$89,3,0)*0.475*44/12</f>
        <v>2.5356868658365903E-25</v>
      </c>
      <c r="AX202" s="21">
        <f t="shared" si="166"/>
        <v>3.2115552566903065E-2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-1.1368683772161603E-13</v>
      </c>
      <c r="BE202" s="13">
        <f>BD202*VLOOKUP('Données projet'!$B$11,Paramètres!$A$1:$I$89,3,0)*VLOOKUP('Données projet'!$B$11,Paramètres!$A$1:$I$89,5,0)</f>
        <v>-5.3205440053716299E-14</v>
      </c>
      <c r="BF202" s="13" t="e">
        <f t="shared" si="167"/>
        <v>#NUM!</v>
      </c>
      <c r="BG202" s="20" t="e">
        <f t="shared" si="168"/>
        <v>#NUM!</v>
      </c>
      <c r="BH202" s="59" t="e">
        <f t="shared" si="194"/>
        <v>#NUM!</v>
      </c>
      <c r="BI202" s="59">
        <f ca="1">AVERAGE(OFFSET($BH$3,0,0,'Données projet'!$E$11+1,1))-AVERAGE(OFFSET($H$3,0,0,'Données projet'!$E$11+1,1))</f>
        <v>215.23235148064941</v>
      </c>
      <c r="BJ202" s="59">
        <f t="shared" si="206"/>
        <v>184.07239726900434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0.11031504436971426</v>
      </c>
      <c r="BQ202" s="21">
        <f>EXP(-LN(2)/25)*BQ201+(1-EXP(-LN(2)/25))/(LN(2)/25)*Calculateur!BL202*Calculateur!BN202*VLOOKUP('Données projet'!$B$11,Paramètres!$A$1:$I$89,3,0)*0.475*44/12</f>
        <v>7.2478482454588031E-2</v>
      </c>
      <c r="BR202" s="21">
        <f>EXP(-LN(2)/2)*BR201+(1-EXP(-LN(2)/2))/(LN(2)/2)*BL202*BO202*VLOOKUP('Données projet'!$B$11,Paramètres!$A$1:$I$89,3,0)*0.475*44/12</f>
        <v>3.5943058655040152E-25</v>
      </c>
      <c r="BS202" s="22">
        <f t="shared" si="169"/>
        <v>0.18279352682430228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 t="e">
        <f>BY202*VLOOKUP('Données projet'!$B$12,Paramètres!$A$1:$I$89,3,0)*VLOOKUP('Données projet'!$B$12,Paramètres!$A$1:$I$89,5,0)</f>
        <v>#N/A</v>
      </c>
      <c r="CA202" s="13" t="e">
        <f t="shared" si="170"/>
        <v>#N/A</v>
      </c>
      <c r="CB202" s="20" t="e">
        <f t="shared" si="171"/>
        <v>#N/A</v>
      </c>
      <c r="CC202" s="59" t="e">
        <f t="shared" si="195"/>
        <v>#N/A</v>
      </c>
      <c r="CD202" s="59" t="e">
        <f ca="1">AVERAGE(OFFSET($CC$3,0,0,'Données projet'!$E$12+1,1))-AVERAGE(OFFSET($H$3,0,0,'Données projet'!$E$12+1,1))</f>
        <v>#N/A</v>
      </c>
      <c r="CE202" s="59" t="e">
        <f t="shared" si="207"/>
        <v>#N/A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 t="e">
        <f>EXP(-LN(2)/35)*CK201+(1-EXP(-LN(2)/35))/(LN(2)/35)*CG202*CH202*VLOOKUP('Données projet'!$B$12,Paramètres!$A$1:$I$89,3,0)*0.475*44/12</f>
        <v>#N/A</v>
      </c>
      <c r="CL202" s="21" t="e">
        <f>EXP(-LN(2)/25)*CL201+(1-EXP(-LN(2)/25))/(LN(2)/25)*Calculateur!CG202*Calculateur!CI202*VLOOKUP('Données projet'!$B$12,Paramètres!$A$1:$I$89,3,0)*0.475*44/12</f>
        <v>#N/A</v>
      </c>
      <c r="CM202" s="21" t="e">
        <f>EXP(-LN(2)/2)*CM201+(1-EXP(-LN(2)/2))/(LN(2)/2)*CG202*CJ202*VLOOKUP('Données projet'!$B$12,Paramètres!$A$1:$I$89,3,0)*0.475*44/12</f>
        <v>#N/A</v>
      </c>
      <c r="CN202" s="22" t="e">
        <f t="shared" si="172"/>
        <v>#N/A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.75" thickBot="1" x14ac:dyDescent="0.3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177.83999999999958</v>
      </c>
      <c r="D203" s="11">
        <f t="shared" si="202"/>
        <v>44.841288830609059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10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1718.9432822011897</v>
      </c>
      <c r="H203" s="67">
        <f t="shared" si="192"/>
        <v>681.16991137997661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-3.4106051316484809E-13</v>
      </c>
      <c r="O203" s="13">
        <f>N203*VLOOKUP('Données projet'!$B$9,Paramètres!$A$1:$I$89,3,0)*VLOOKUP('Données projet'!$B$9,Paramètres!$A$1:$I$89,5,0)</f>
        <v>-1.9065282685915009E-13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279.98352834501759</v>
      </c>
      <c r="T203" s="59">
        <f t="shared" si="204"/>
        <v>281.30062655265488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0.13790602364395818</v>
      </c>
      <c r="AA203" s="21">
        <f>EXP(-LN(2)/25)*AA202+(1-EXP(-LN(2)/25))/(LN(2)/25)*Calculateur!V203*Calculateur!X203*VLOOKUP('Données projet'!$B$9,Paramètres!$A$1:$I$89,3,0)*0.475*44/12</f>
        <v>0.21741761214087288</v>
      </c>
      <c r="AB203" s="21">
        <f>EXP(-LN(2)/2)*AB202+(1-EXP(-LN(2)/2))/(LN(2)/2)*V203*Y203*VLOOKUP('Données projet'!$B$9,Paramètres!$A$1:$I$89,3,0)*0.475*44/12</f>
        <v>7.3198092255676539E-25</v>
      </c>
      <c r="AC203" s="22">
        <f t="shared" si="163"/>
        <v>0.35532363578483106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-1.1368683772161603E-13</v>
      </c>
      <c r="AJ203" s="13">
        <f>AI203*VLOOKUP('Données projet'!$B$10,Paramètres!$A$1:$I$89,3,0)*VLOOKUP('Données projet'!$B$10,Paramètres!$A$1:$I$89,5,0)</f>
        <v>-1.1527845344971866E-13</v>
      </c>
      <c r="AK203" s="13" t="e">
        <f t="shared" si="164"/>
        <v>#NUM!</v>
      </c>
      <c r="AL203" s="20" t="e">
        <f t="shared" si="165"/>
        <v>#NUM!</v>
      </c>
      <c r="AM203" s="59" t="e">
        <f t="shared" si="193"/>
        <v>#NUM!</v>
      </c>
      <c r="AN203" s="59">
        <f ca="1">AVERAGE(OFFSET($AM$3,0,0,'Données projet'!$E$10+1,1))-AVERAGE(OFFSET($H$3,0,0,'Données projet'!$E$10+1,1))</f>
        <v>279.20364724206644</v>
      </c>
      <c r="AO203" s="59">
        <f t="shared" si="205"/>
        <v>173.99850582760712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0</v>
      </c>
      <c r="AV203" s="21">
        <f>EXP(-LN(2)/25)*AV202+(1-EXP(-LN(2)/25))/(LN(2)/25)*Calculateur!AQ203*Calculateur!AS203*VLOOKUP('Données projet'!$B$10,Paramètres!$A$1:$I$89,3,0)*0.475*44/12</f>
        <v>3.1237351093077591E-2</v>
      </c>
      <c r="AW203" s="21">
        <f>EXP(-LN(2)/2)*AW202+(1-EXP(-LN(2)/2))/(LN(2)/2)*AQ203*AT203*VLOOKUP('Données projet'!$B$10,Paramètres!$A$1:$I$89,3,0)*0.475*44/12</f>
        <v>1.7930013777987164E-25</v>
      </c>
      <c r="AX203" s="21">
        <f t="shared" si="166"/>
        <v>3.1237351093077591E-2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-1.1368683772161603E-13</v>
      </c>
      <c r="BE203" s="13">
        <f>BD203*VLOOKUP('Données projet'!$B$11,Paramètres!$A$1:$I$89,3,0)*VLOOKUP('Données projet'!$B$11,Paramètres!$A$1:$I$89,5,0)</f>
        <v>-5.3205440053716299E-14</v>
      </c>
      <c r="BF203" s="13" t="e">
        <f t="shared" si="167"/>
        <v>#NUM!</v>
      </c>
      <c r="BG203" s="20" t="e">
        <f t="shared" si="168"/>
        <v>#NUM!</v>
      </c>
      <c r="BH203" s="59" t="e">
        <f t="shared" si="194"/>
        <v>#NUM!</v>
      </c>
      <c r="BI203" s="59">
        <f ca="1">AVERAGE(OFFSET($BH$3,0,0,'Données projet'!$E$11+1,1))-AVERAGE(OFFSET($H$3,0,0,'Données projet'!$E$11+1,1))</f>
        <v>215.23235148064941</v>
      </c>
      <c r="BJ203" s="59">
        <f t="shared" si="206"/>
        <v>184.07239726900434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0.10815183363515733</v>
      </c>
      <c r="BQ203" s="21">
        <f>EXP(-LN(2)/25)*BQ202+(1-EXP(-LN(2)/25))/(LN(2)/25)*Calculateur!BL203*Calculateur!BN203*VLOOKUP('Données projet'!$B$11,Paramètres!$A$1:$I$89,3,0)*0.475*44/12</f>
        <v>7.0496554540389583E-2</v>
      </c>
      <c r="BR203" s="21">
        <f>EXP(-LN(2)/2)*BR202+(1-EXP(-LN(2)/2))/(LN(2)/2)*BL203*BO203*VLOOKUP('Données projet'!$B$11,Paramètres!$A$1:$I$89,3,0)*0.475*44/12</f>
        <v>2.5415580511564719E-25</v>
      </c>
      <c r="BS203" s="22">
        <f t="shared" si="169"/>
        <v>0.1786483881755469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 t="e">
        <f>BY203*VLOOKUP('Données projet'!$B$12,Paramètres!$A$1:$I$89,3,0)*VLOOKUP('Données projet'!$B$12,Paramètres!$A$1:$I$89,5,0)</f>
        <v>#N/A</v>
      </c>
      <c r="CA203" s="13" t="e">
        <f t="shared" si="170"/>
        <v>#N/A</v>
      </c>
      <c r="CB203" s="20" t="e">
        <f t="shared" si="171"/>
        <v>#N/A</v>
      </c>
      <c r="CC203" s="59" t="e">
        <f t="shared" si="195"/>
        <v>#N/A</v>
      </c>
      <c r="CD203" s="59" t="e">
        <f ca="1">AVERAGE(OFFSET($CC$3,0,0,'Données projet'!$E$12+1,1))-AVERAGE(OFFSET($H$3,0,0,'Données projet'!$E$12+1,1))</f>
        <v>#N/A</v>
      </c>
      <c r="CE203" s="59" t="e">
        <f t="shared" si="207"/>
        <v>#N/A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 t="e">
        <f>EXP(-LN(2)/35)*CK202+(1-EXP(-LN(2)/35))/(LN(2)/35)*CG203*CH203*VLOOKUP('Données projet'!$B$12,Paramètres!$A$1:$I$89,3,0)*0.475*44/12</f>
        <v>#N/A</v>
      </c>
      <c r="CL203" s="21" t="e">
        <f>EXP(-LN(2)/25)*CL202+(1-EXP(-LN(2)/25))/(LN(2)/25)*Calculateur!CG203*Calculateur!CI203*VLOOKUP('Données projet'!$B$12,Paramètres!$A$1:$I$89,3,0)*0.475*44/12</f>
        <v>#N/A</v>
      </c>
      <c r="CM203" s="21" t="e">
        <f>EXP(-LN(2)/2)*CM202+(1-EXP(-LN(2)/2))/(LN(2)/2)*CG203*CJ203*VLOOKUP('Données projet'!$B$12,Paramètres!$A$1:$I$89,3,0)*0.475*44/12</f>
        <v>#N/A</v>
      </c>
      <c r="CN203" s="22" t="e">
        <f t="shared" si="172"/>
        <v>#N/A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.75" thickBot="1" x14ac:dyDescent="0.3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5.75" thickBot="1" x14ac:dyDescent="0.3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1.3013682980565777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1.2054868146447177</v>
      </c>
      <c r="BA205" s="82">
        <f>EXP(LN('Données projet'!B88)/'Données projet'!A88)</f>
        <v>1.2880503926580862</v>
      </c>
      <c r="BV205" s="82" t="e">
        <f>EXP(LN('Données projet'!B114)/'Données projet'!A114)</f>
        <v>#NUM!</v>
      </c>
      <c r="CQ205" s="82" t="e">
        <f>EXP(LN('Données projet'!B140)/'Données projet'!A140)</f>
        <v>#NUM!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4" bestFit="1" customWidth="1"/>
    <col min="2" max="2" width="27.7109375" style="4" bestFit="1" customWidth="1"/>
    <col min="3" max="3" width="11.85546875" style="4" bestFit="1" customWidth="1"/>
    <col min="4" max="4" width="40" style="4" bestFit="1" customWidth="1"/>
    <col min="5" max="5" width="11.85546875" style="4" bestFit="1" customWidth="1"/>
    <col min="6" max="6" width="13.7109375" style="4" bestFit="1" customWidth="1"/>
    <col min="7" max="7" width="11.42578125" style="4" bestFit="1" customWidth="1"/>
    <col min="8" max="8" width="39" style="4" bestFit="1" customWidth="1"/>
    <col min="9" max="9" width="16.7109375" style="4" customWidth="1"/>
    <col min="10" max="14" width="11.42578125" style="4"/>
    <col min="15" max="15" width="23.42578125" style="4" bestFit="1" customWidth="1"/>
    <col min="16" max="16384" width="11.42578125" style="4"/>
  </cols>
  <sheetData>
    <row r="1" spans="1:16" ht="45.75" thickBot="1" x14ac:dyDescent="0.3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25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2" t="s">
        <v>238</v>
      </c>
      <c r="P2" s="121">
        <v>0</v>
      </c>
    </row>
    <row r="3" spans="1:16" ht="15.75" thickBot="1" x14ac:dyDescent="0.3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3"/>
      <c r="P3" s="128">
        <v>0.2</v>
      </c>
    </row>
    <row r="4" spans="1:16" ht="15.75" thickBot="1" x14ac:dyDescent="0.3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25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2" t="s">
        <v>237</v>
      </c>
      <c r="P5" s="121">
        <v>0</v>
      </c>
    </row>
    <row r="6" spans="1:16" x14ac:dyDescent="0.25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4"/>
      <c r="P6" s="129">
        <v>0.05</v>
      </c>
    </row>
    <row r="7" spans="1:16" x14ac:dyDescent="0.25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4"/>
      <c r="P7" s="129">
        <v>0.1</v>
      </c>
    </row>
    <row r="8" spans="1:16" ht="15.75" thickBot="1" x14ac:dyDescent="0.3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3"/>
      <c r="P8" s="128">
        <v>0.15</v>
      </c>
    </row>
    <row r="9" spans="1:16" ht="15.75" thickBot="1" x14ac:dyDescent="0.3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25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2" t="s">
        <v>236</v>
      </c>
      <c r="P10" s="121">
        <v>0</v>
      </c>
    </row>
    <row r="11" spans="1:16" ht="15.75" thickBot="1" x14ac:dyDescent="0.3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3"/>
      <c r="P11" s="128">
        <v>0.1</v>
      </c>
    </row>
    <row r="12" spans="1:16" x14ac:dyDescent="0.25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25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25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25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25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25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25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25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25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25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25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25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25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25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25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25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25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25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25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25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25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25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25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25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25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25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25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25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25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25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25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25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25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25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25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25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25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25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25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25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25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25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25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25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25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25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25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25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25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25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25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25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25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25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25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25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25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25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25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25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25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25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25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25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25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25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25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25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25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25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25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25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25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25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25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25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25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5.75" thickBot="1" x14ac:dyDescent="0.3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25">
      <c r="A93" s="122" t="s">
        <v>208</v>
      </c>
    </row>
    <row r="94" spans="1:14" x14ac:dyDescent="0.25">
      <c r="A94" s="122" t="s">
        <v>209</v>
      </c>
    </row>
    <row r="95" spans="1:14" x14ac:dyDescent="0.25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zoomScale="90" zoomScaleNormal="90" workbookViewId="0">
      <selection activeCell="I8" sqref="I8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2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7" thickBot="1" x14ac:dyDescent="0.45">
      <c r="A2" s="273" t="s">
        <v>271</v>
      </c>
      <c r="B2" s="274"/>
      <c r="C2" s="274"/>
      <c r="D2" s="274"/>
      <c r="E2" s="274"/>
      <c r="F2" s="274"/>
      <c r="G2" s="274"/>
      <c r="H2" s="274"/>
      <c r="I2" s="274"/>
      <c r="J2" s="274"/>
      <c r="K2" s="274"/>
      <c r="L2" s="275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2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.75" thickBot="1" x14ac:dyDescent="0.3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5.75" thickBot="1" x14ac:dyDescent="0.3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25">
      <c r="A6" s="145" t="str">
        <f>IF('Données projet'!$B$9="","",'Données projet'!$B$9)</f>
        <v>Douglas</v>
      </c>
      <c r="B6" s="146">
        <f>'Données projet'!D9</f>
        <v>1.6169</v>
      </c>
      <c r="C6" s="147">
        <f ca="1">IF(OR('Données projet'!B9="",'Données projet'!C9="",'Données projet'!C9=0%),0,Calculateur!S3)</f>
        <v>279.98352834501759</v>
      </c>
      <c r="D6" s="147">
        <f>IF(OR('Données projet'!B9="",'Données projet'!C9="",'Données projet'!C9=0%),0,Calculateur!T3)</f>
        <v>281.30062655265488</v>
      </c>
      <c r="E6" s="147">
        <f ca="1">MIN(C6,D6)</f>
        <v>279.98352834501759</v>
      </c>
      <c r="F6" s="147">
        <f ca="1">E6*B6</f>
        <v>452.70536698105894</v>
      </c>
      <c r="G6" s="147">
        <f ca="1">F6*(100%-'Données projet'!$C$24)*(100%-'Données projet'!$C$25)*(100%-'Données projet'!$C$26)*(100%-'Données projet'!$C$27)</f>
        <v>407.43483028295304</v>
      </c>
      <c r="H6" s="148">
        <f>IF(OR('Données projet'!B9="",'Données projet'!C9="",'Données projet'!C9=0%),0,AVERAGE(Calculateur!$AC$3:$AC$33)*B6)</f>
        <v>9.0338170398328295</v>
      </c>
      <c r="I6" s="149">
        <f>H6*(100%-'Données projet'!$C$24)*(100%-'Données projet'!$C$25)*(100%-'Données projet'!$C$26)*(100%-'Données projet'!$C$27)</f>
        <v>8.1304353358495476</v>
      </c>
      <c r="J6" s="150">
        <f>IF(OR('Données projet'!B9="",'Données projet'!C9="",'Données projet'!C9=0%),0,SUM(Calculateur!$V$3:$V$33)*VLOOKUP('Données projet'!$B$9,Paramètres!$A$1:$I$89,9,0)*B6)</f>
        <v>96.642112999999995</v>
      </c>
      <c r="K6" s="151">
        <f>J6*(100%-'Données projet'!$C$24)*(100%-'Données projet'!$C$25)*(100%-'Données projet'!$C$26)*(100%-'Données projet'!$C$27)</f>
        <v>86.977901700000004</v>
      </c>
      <c r="L6" s="152">
        <f ca="1">G6+I6+K6</f>
        <v>502.5431673188026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25">
      <c r="A7" s="153" t="str">
        <f>IF('Données projet'!$B$10="","",'Données projet'!$B$10)</f>
        <v>Chêne pubescent</v>
      </c>
      <c r="B7" s="154">
        <f>'Données projet'!D10</f>
        <v>4.3400999999999996</v>
      </c>
      <c r="C7" s="147">
        <f ca="1">IF(OR('Données projet'!B10="",'Données projet'!C10="",'Données projet'!C10=0%),0,Calculateur!AN3)</f>
        <v>279.20364724206644</v>
      </c>
      <c r="D7" s="147">
        <f>IF(OR('Données projet'!B10="",'Données projet'!C10="",'Données projet'!C10=0%),0,Calculateur!AO3)</f>
        <v>173.99850582760712</v>
      </c>
      <c r="E7" s="147">
        <f t="shared" ref="E7:E15" ca="1" si="0">MIN(C7,D7)</f>
        <v>173.99850582760712</v>
      </c>
      <c r="F7" s="147">
        <f t="shared" ref="F7:F15" ca="1" si="1">E7*B7</f>
        <v>755.17091514239758</v>
      </c>
      <c r="G7" s="147">
        <f ca="1">F7*(100%-'Données projet'!$C$24)*(100%-'Données projet'!$C$25)*(100%-'Données projet'!$C$26)*(100%-'Données projet'!$C$27)</f>
        <v>679.65382362815785</v>
      </c>
      <c r="H7" s="155">
        <f>IF(OR('Données projet'!B10="",'Données projet'!C10="",'Données projet'!C10=0%),0,AVERAGE(Calculateur!$AX$3:$AX$33)*B7)</f>
        <v>1.4584319285610883</v>
      </c>
      <c r="I7" s="149">
        <f>H7*(100%-'Données projet'!$C$24)*(100%-'Données projet'!$C$25)*(100%-'Données projet'!$C$26)*(100%-'Données projet'!$C$27)</f>
        <v>1.3125887357049795</v>
      </c>
      <c r="J7" s="150">
        <f>IF(OR('Données projet'!B10="",'Données projet'!C10="",'Données projet'!C10=0%),0,SUM(Calculateur!$AQ$3:$AQ$33)*VLOOKUP('Données projet'!$B$10,Paramètres!$A$1:$I$89,9,0)*B7)</f>
        <v>31.465724999999999</v>
      </c>
      <c r="K7" s="151">
        <f>J7*(100%-'Données projet'!$C$24)*(100%-'Données projet'!$C$25)*(100%-'Données projet'!$C$26)*(100%-'Données projet'!$C$27)</f>
        <v>28.319152500000001</v>
      </c>
      <c r="L7" s="152">
        <f t="shared" ref="L7:L15" ca="1" si="2">G7+I7+K7</f>
        <v>709.28556486386276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25">
      <c r="A8" s="153" t="str">
        <f>IF('Données projet'!$B$11="","",'Données projet'!$B$11)</f>
        <v>Cèdre de l'Atlas</v>
      </c>
      <c r="B8" s="154">
        <f>'Données projet'!D11</f>
        <v>2.5529999999999999</v>
      </c>
      <c r="C8" s="147">
        <f ca="1">IF(OR('Données projet'!B11="",'Données projet'!C11="",'Données projet'!C11=0%),0,Calculateur!BI3)</f>
        <v>215.23235148064941</v>
      </c>
      <c r="D8" s="147">
        <f>IF(OR('Données projet'!B11="",'Données projet'!C11="",'Données projet'!C11=0%),0,Calculateur!BJ3)</f>
        <v>184.07239726900434</v>
      </c>
      <c r="E8" s="147">
        <f t="shared" ca="1" si="0"/>
        <v>184.07239726900434</v>
      </c>
      <c r="F8" s="147">
        <f t="shared" ca="1" si="1"/>
        <v>469.9368302277681</v>
      </c>
      <c r="G8" s="147">
        <f ca="1">F8*(100%-'Données projet'!$C$24)*(100%-'Données projet'!$C$25)*(100%-'Données projet'!$C$26)*(100%-'Données projet'!$C$27)</f>
        <v>422.94314720499131</v>
      </c>
      <c r="H8" s="155">
        <f>IF(OR('Données projet'!B11="",'Données projet'!C11="",'Données projet'!C11=0%),0,AVERAGE(Calculateur!$BS$3:$BS$33)*B8)</f>
        <v>4.1670921393553177</v>
      </c>
      <c r="I8" s="149">
        <f>H8*(100%-'Données projet'!$C$24)*(100%-'Données projet'!$C$25)*(100%-'Données projet'!$C$26)*(100%-'Données projet'!$C$27)</f>
        <v>3.7503829254197862</v>
      </c>
      <c r="J8" s="150">
        <f>IF(OR('Données projet'!B11="",'Données projet'!C11="",'Données projet'!C11=0%),0,SUM(Calculateur!$BL$3:$BL$33)*VLOOKUP('Données projet'!$B$11,Paramètres!$A$1:$I$89,9,0)*B8)</f>
        <v>64.110935999999995</v>
      </c>
      <c r="K8" s="151">
        <f>J8*(100%-'Données projet'!$C$24)*(100%-'Données projet'!$C$25)*(100%-'Données projet'!$C$26)*(100%-'Données projet'!$C$27)</f>
        <v>57.699842399999994</v>
      </c>
      <c r="L8" s="152">
        <f t="shared" ca="1" si="2"/>
        <v>484.39337253041106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25">
      <c r="A9" s="153" t="str">
        <f>IF('Données projet'!$B$12="","",'Données projet'!$B$12)</f>
        <v/>
      </c>
      <c r="B9" s="154">
        <f>'Données projet'!D12</f>
        <v>0</v>
      </c>
      <c r="C9" s="147">
        <f>IF(OR('Données projet'!B12="",'Données projet'!C12="",'Données projet'!C12=0%),0,Calculateur!CD3)</f>
        <v>0</v>
      </c>
      <c r="D9" s="147">
        <f>IF(OR('Données projet'!B12="",'Données projet'!C12="",'Données projet'!C12=0%),0,Calculateur!CE3)</f>
        <v>0</v>
      </c>
      <c r="E9" s="147">
        <f t="shared" si="0"/>
        <v>0</v>
      </c>
      <c r="F9" s="147">
        <f t="shared" si="1"/>
        <v>0</v>
      </c>
      <c r="G9" s="147">
        <f>F9*(100%-'Données projet'!$C$24)*(100%-'Données projet'!$C$25)*(100%-'Données projet'!$C$26)*(100%-'Données projet'!$C$27)</f>
        <v>0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0</v>
      </c>
      <c r="K9" s="151">
        <f>J9*(100%-'Données projet'!$C$24)*(100%-'Données projet'!$C$25)*(100%-'Données projet'!$C$26)*(100%-'Données projet'!$C$27)</f>
        <v>0</v>
      </c>
      <c r="L9" s="152">
        <f t="shared" si="2"/>
        <v>0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25">
      <c r="A10" s="153" t="str">
        <f>IF('Données projet'!$B$13="","",'Données projet'!$B$13)</f>
        <v/>
      </c>
      <c r="B10" s="154">
        <f>'Données projet'!D13</f>
        <v>0</v>
      </c>
      <c r="C10" s="147">
        <f>IF(OR('Données projet'!B13="",'Données projet'!C13="",'Données projet'!C13=0%),0,Calculateur!CY3)</f>
        <v>0</v>
      </c>
      <c r="D10" s="147">
        <f>IF(OR('Données projet'!B13="",'Données projet'!C13="",'Données projet'!C13=0%),0,Calculateur!CZ3)</f>
        <v>0</v>
      </c>
      <c r="E10" s="147">
        <f t="shared" si="0"/>
        <v>0</v>
      </c>
      <c r="F10" s="147">
        <f t="shared" si="1"/>
        <v>0</v>
      </c>
      <c r="G10" s="147">
        <f>F10*(100%-'Données projet'!$C$24)*(100%-'Données projet'!$C$25)*(100%-'Données projet'!$C$26)*(100%-'Données projet'!$C$27)</f>
        <v>0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25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25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25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25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.75" thickBot="1" x14ac:dyDescent="0.3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.75" thickBot="1" x14ac:dyDescent="0.3">
      <c r="A16" s="209"/>
      <c r="B16" s="213"/>
      <c r="C16" s="214"/>
      <c r="D16" s="23"/>
      <c r="E16" s="23"/>
      <c r="F16" s="165">
        <f t="shared" ref="F16:L16" ca="1" si="3">SUM(F6:F15)</f>
        <v>1677.8131123512246</v>
      </c>
      <c r="G16" s="166">
        <f t="shared" ca="1" si="3"/>
        <v>1510.0318011161021</v>
      </c>
      <c r="H16" s="167">
        <f t="shared" si="3"/>
        <v>14.659341107749235</v>
      </c>
      <c r="I16" s="167">
        <f t="shared" si="3"/>
        <v>13.193406996974314</v>
      </c>
      <c r="J16" s="168">
        <f t="shared" si="3"/>
        <v>192.218774</v>
      </c>
      <c r="K16" s="168">
        <f t="shared" si="3"/>
        <v>172.99689660000001</v>
      </c>
      <c r="L16" s="169">
        <f t="shared" ca="1" si="3"/>
        <v>1696.2221047130765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25">
      <c r="A17" s="209"/>
      <c r="B17" s="213"/>
      <c r="C17" s="214"/>
      <c r="D17" s="23"/>
      <c r="E17" s="23"/>
      <c r="F17" s="285" t="s">
        <v>246</v>
      </c>
      <c r="G17" s="286"/>
      <c r="H17" s="286"/>
      <c r="I17" s="286"/>
      <c r="J17" s="286"/>
      <c r="K17" s="286"/>
      <c r="L17" s="286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25">
      <c r="A18" s="209"/>
      <c r="B18" s="213"/>
      <c r="C18" s="214"/>
      <c r="D18" s="23"/>
      <c r="E18" s="23"/>
      <c r="F18" s="272"/>
      <c r="G18" s="272"/>
      <c r="H18" s="272"/>
      <c r="I18" s="272"/>
      <c r="J18" s="272"/>
      <c r="K18" s="272"/>
      <c r="L18" s="272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2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.75" thickBot="1" x14ac:dyDescent="0.3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.75" thickBot="1" x14ac:dyDescent="0.3">
      <c r="A21" s="170" t="str">
        <f>A6</f>
        <v>Douglas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25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25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25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25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25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25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25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25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25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25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25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25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25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25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25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25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.75" thickBot="1" x14ac:dyDescent="0.3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.75" thickBot="1" x14ac:dyDescent="0.3">
      <c r="A39" s="170" t="str">
        <f>A7</f>
        <v>Chêne pubescent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25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25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25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25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25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25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25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25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25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25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25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25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25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25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25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25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.75" thickBot="1" x14ac:dyDescent="0.3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.75" thickBot="1" x14ac:dyDescent="0.3">
      <c r="A57" s="170" t="str">
        <f>A8</f>
        <v>Cèdre de l'Atlas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25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25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25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25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25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25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25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25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25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25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25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25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25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25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25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25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25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.75" thickBot="1" x14ac:dyDescent="0.3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.75" thickBot="1" x14ac:dyDescent="0.3">
      <c r="A76" s="170" t="str">
        <f>A9</f>
        <v/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25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25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25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25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25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25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25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25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25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25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25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25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25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25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25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25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.75" thickBot="1" x14ac:dyDescent="0.3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.75" thickBot="1" x14ac:dyDescent="0.3">
      <c r="A94" s="170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25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25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25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25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25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25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25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25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25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25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25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25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25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25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25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25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.75" thickBot="1" x14ac:dyDescent="0.3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.75" thickBot="1" x14ac:dyDescent="0.3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25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25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25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25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25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25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25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25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25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25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25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25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25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25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25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25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.75" thickBot="1" x14ac:dyDescent="0.3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.75" thickBot="1" x14ac:dyDescent="0.3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25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25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25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25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25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25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25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25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25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25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25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25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25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25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25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25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.75" thickBot="1" x14ac:dyDescent="0.3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.75" thickBot="1" x14ac:dyDescent="0.3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25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25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25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25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25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25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25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25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25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25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25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25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25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25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25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25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.75" thickBot="1" x14ac:dyDescent="0.3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.75" thickBot="1" x14ac:dyDescent="0.3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25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25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25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25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25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25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25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25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25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25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25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25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25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25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25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25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.75" thickBot="1" x14ac:dyDescent="0.3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.75" thickBot="1" x14ac:dyDescent="0.3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25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25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25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25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25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25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25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25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25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25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25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25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25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25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25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25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25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25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25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abSelected="1" zoomScale="80" zoomScaleNormal="80" workbookViewId="0">
      <selection activeCell="G35" sqref="G35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1" customWidth="1"/>
    <col min="7" max="7" width="17.5703125" style="1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7" thickBot="1" x14ac:dyDescent="0.45">
      <c r="A2" s="4"/>
      <c r="B2" s="273" t="s">
        <v>272</v>
      </c>
      <c r="C2" s="274"/>
      <c r="D2" s="274"/>
      <c r="E2" s="274"/>
      <c r="F2" s="274"/>
      <c r="G2" s="274"/>
      <c r="H2" s="274"/>
      <c r="I2" s="274"/>
      <c r="J2" s="274"/>
      <c r="K2" s="274"/>
      <c r="L2" s="274"/>
      <c r="M2" s="274"/>
      <c r="N2" s="274"/>
      <c r="O2" s="274"/>
      <c r="P2" s="275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25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25">
      <c r="A4" s="4"/>
      <c r="B4" s="4"/>
      <c r="C4" s="4"/>
      <c r="D4" s="4"/>
      <c r="E4" s="4"/>
      <c r="G4" s="4"/>
      <c r="H4" s="263" t="s">
        <v>315</v>
      </c>
      <c r="I4" s="263"/>
      <c r="K4" s="287" t="s">
        <v>253</v>
      </c>
      <c r="L4" s="288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25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.75" thickBot="1" x14ac:dyDescent="0.3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45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297" t="s">
        <v>310</v>
      </c>
      <c r="S7" s="298"/>
      <c r="T7" s="298"/>
      <c r="U7" s="298"/>
      <c r="V7" s="299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25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25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25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Douglas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2678.7567341031063</v>
      </c>
      <c r="U10" s="178">
        <f>'Données projet'!D9</f>
        <v>1.6169</v>
      </c>
      <c r="V10" s="177">
        <f>U10*T10</f>
        <v>4331.281763371313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25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Chêne pubescent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-1186.6892043225589</v>
      </c>
      <c r="U11" s="178">
        <f>'Données projet'!D10</f>
        <v>4.3400999999999996</v>
      </c>
      <c r="V11" s="177">
        <f t="shared" ref="V11" si="0">U11*T11</f>
        <v>-5150.3498156803371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25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>Cèdre de l'Atlas</v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-933.29293968185425</v>
      </c>
      <c r="U12" s="178">
        <f>'Données projet'!D11</f>
        <v>2.5529999999999999</v>
      </c>
      <c r="V12" s="177">
        <f t="shared" ref="V12:V19" si="1">U12*T12</f>
        <v>-2382.696875007774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25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/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8">
        <f>'Données projet'!D12</f>
        <v>0</v>
      </c>
      <c r="V13" s="177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25">
      <c r="A14" s="46" t="s">
        <v>165</v>
      </c>
      <c r="B14" s="174" t="str">
        <f>IF('Données projet'!$B$9="","",'Données projet'!$B$9)</f>
        <v>Douglas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/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8">
        <f>'Données projet'!D13</f>
        <v>0</v>
      </c>
      <c r="V14" s="177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25">
      <c r="A15" s="4"/>
      <c r="B15" s="4"/>
      <c r="C15" s="4"/>
      <c r="D15" s="4"/>
      <c r="E15" s="4"/>
      <c r="F15" s="230"/>
      <c r="G15" s="290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/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25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290"/>
      <c r="H16" s="190"/>
      <c r="I16" s="191"/>
      <c r="J16" s="202"/>
      <c r="K16" s="208"/>
      <c r="L16" s="287" t="s">
        <v>254</v>
      </c>
      <c r="M16" s="288"/>
      <c r="N16" s="2">
        <v>80</v>
      </c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25">
      <c r="A17" s="49">
        <v>0</v>
      </c>
      <c r="B17" s="199" t="s">
        <v>132</v>
      </c>
      <c r="C17" s="198" t="s">
        <v>132</v>
      </c>
      <c r="D17" s="197" t="s">
        <v>132</v>
      </c>
      <c r="E17" s="193">
        <v>1584.03</v>
      </c>
      <c r="F17" s="230"/>
      <c r="G17" s="290"/>
      <c r="J17" s="202"/>
      <c r="K17" s="208"/>
      <c r="L17" s="260" t="s">
        <v>289</v>
      </c>
      <c r="M17" s="262"/>
      <c r="N17" s="175">
        <f>VLOOKUP(N16,Calculateur!$A$2:$H$153,3,0)/VLOOKUP('Scénario référence'!$G$15,Paramètres!A1:I89,3,0)/VLOOKUP('Scénario référence'!$G$15,Paramètres!A1:I89,5,0)</f>
        <v>80.000000000000114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25">
      <c r="A18" s="49">
        <v>1</v>
      </c>
      <c r="B18" s="199" t="s">
        <v>132</v>
      </c>
      <c r="C18" s="198" t="s">
        <v>132</v>
      </c>
      <c r="D18" s="197" t="s">
        <v>132</v>
      </c>
      <c r="E18" s="193"/>
      <c r="F18" s="230"/>
      <c r="G18" s="290"/>
      <c r="J18" s="202"/>
      <c r="K18" s="208"/>
      <c r="L18" s="260" t="s">
        <v>255</v>
      </c>
      <c r="M18" s="262"/>
      <c r="N18" s="192">
        <v>30</v>
      </c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25">
      <c r="A19" s="49">
        <v>2</v>
      </c>
      <c r="B19" s="199" t="s">
        <v>132</v>
      </c>
      <c r="C19" s="198" t="s">
        <v>132</v>
      </c>
      <c r="D19" s="197" t="s">
        <v>132</v>
      </c>
      <c r="E19" s="193"/>
      <c r="F19" s="230"/>
      <c r="G19" s="290"/>
      <c r="H19" s="212" t="s">
        <v>178</v>
      </c>
      <c r="I19" s="212" t="s">
        <v>287</v>
      </c>
      <c r="J19" s="93"/>
      <c r="K19" s="173"/>
      <c r="L19" s="287" t="s">
        <v>288</v>
      </c>
      <c r="M19" s="288"/>
      <c r="N19" s="179">
        <f>N17*N18</f>
        <v>2400.0000000000036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25">
      <c r="A20" s="49">
        <v>3</v>
      </c>
      <c r="B20" s="199" t="s">
        <v>132</v>
      </c>
      <c r="C20" s="198" t="s">
        <v>132</v>
      </c>
      <c r="D20" s="197" t="s">
        <v>132</v>
      </c>
      <c r="E20" s="193"/>
      <c r="F20" s="230"/>
      <c r="G20" s="290"/>
      <c r="H20" s="190">
        <v>0</v>
      </c>
      <c r="I20" s="191">
        <f>700+950.04</f>
        <v>1650.04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25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>
        <v>1</v>
      </c>
      <c r="I21" s="191">
        <v>420</v>
      </c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25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>
        <v>2</v>
      </c>
      <c r="I22" s="191">
        <v>450</v>
      </c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25">
      <c r="A23" s="180">
        <f>'Données projet'!A36</f>
        <v>15</v>
      </c>
      <c r="B23" s="181">
        <f>'Données projet'!D36</f>
        <v>0</v>
      </c>
      <c r="C23" s="191"/>
      <c r="D23" s="182">
        <f>B23*C23</f>
        <v>0</v>
      </c>
      <c r="E23" s="193"/>
      <c r="F23" s="230"/>
      <c r="H23" s="190">
        <v>3</v>
      </c>
      <c r="I23" s="191">
        <v>450</v>
      </c>
      <c r="K23" s="208"/>
      <c r="L23" s="289" t="s">
        <v>260</v>
      </c>
      <c r="M23" s="289"/>
      <c r="N23" s="289"/>
      <c r="O23" s="23"/>
      <c r="P23" s="23"/>
      <c r="Q23" s="234"/>
      <c r="R23" s="23"/>
      <c r="S23" s="36" t="s">
        <v>264</v>
      </c>
      <c r="T23" s="302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-27526.458102148335</v>
      </c>
      <c r="U23" s="302"/>
      <c r="V23" s="302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25">
      <c r="A24" s="180">
        <f>'Données projet'!A37</f>
        <v>20</v>
      </c>
      <c r="B24" s="181">
        <f>'Données projet'!D37</f>
        <v>41</v>
      </c>
      <c r="C24" s="191">
        <v>12</v>
      </c>
      <c r="D24" s="182">
        <f t="shared" ref="D24:D42" si="2">B24*C24</f>
        <v>492</v>
      </c>
      <c r="E24" s="193"/>
      <c r="F24" s="233"/>
      <c r="H24" s="190"/>
      <c r="I24" s="191"/>
      <c r="K24" s="208"/>
      <c r="O24" s="23"/>
      <c r="P24" s="23"/>
      <c r="Q24" s="234"/>
      <c r="R24" s="23"/>
      <c r="S24" s="36" t="s">
        <v>261</v>
      </c>
      <c r="T24" s="303">
        <f ca="1">'Scénario référence'!$B$8*$M$30*'Données projet'!$C$5+('Scénario référence'!B9+'Scénario référence'!B10+'Scénario référence'!F8+'Scénario référence'!F9)*$N$19/(1+M4)^N16*'Données projet'!$C$5</f>
        <v>603.7227839333051</v>
      </c>
      <c r="U24" s="303"/>
      <c r="V24" s="303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25">
      <c r="A25" s="180">
        <f>'Données projet'!A38</f>
        <v>30</v>
      </c>
      <c r="B25" s="181">
        <f>'Données projet'!D38</f>
        <v>98</v>
      </c>
      <c r="C25" s="191">
        <v>35</v>
      </c>
      <c r="D25" s="182">
        <f t="shared" si="2"/>
        <v>3430</v>
      </c>
      <c r="E25" s="193"/>
      <c r="F25" s="233"/>
      <c r="H25" s="190"/>
      <c r="I25" s="191"/>
      <c r="K25" s="208"/>
      <c r="L25" s="130" t="s">
        <v>285</v>
      </c>
      <c r="M25" s="130"/>
      <c r="N25" s="130"/>
      <c r="O25" s="130"/>
      <c r="P25" s="192"/>
      <c r="Q25" s="234"/>
      <c r="R25" s="23"/>
      <c r="S25" s="186" t="s">
        <v>266</v>
      </c>
      <c r="T25" s="304">
        <f ca="1">T23-T24</f>
        <v>-28130.180886081642</v>
      </c>
      <c r="U25" s="304"/>
      <c r="V25" s="30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25">
      <c r="A26" s="180">
        <f>'Données projet'!A39</f>
        <v>40</v>
      </c>
      <c r="B26" s="181">
        <f>'Données projet'!D39</f>
        <v>98</v>
      </c>
      <c r="C26" s="191">
        <v>45</v>
      </c>
      <c r="D26" s="182">
        <f t="shared" si="2"/>
        <v>4410</v>
      </c>
      <c r="E26" s="193"/>
      <c r="F26" s="233"/>
      <c r="G26" s="229"/>
      <c r="H26" s="190"/>
      <c r="I26" s="191"/>
      <c r="K26" s="208"/>
      <c r="L26" s="291" t="s">
        <v>258</v>
      </c>
      <c r="M26" s="292"/>
      <c r="N26" s="292"/>
      <c r="O26" s="292"/>
      <c r="P26" s="293"/>
      <c r="Q26" s="234"/>
      <c r="R26" s="23"/>
      <c r="S26" s="186" t="s">
        <v>265</v>
      </c>
      <c r="T26" s="301" t="str">
        <f ca="1">IF(T25&lt;0,"Votre projet est additionnel","Votre projet n'est pas additionnel")</f>
        <v>Votre projet est additionnel</v>
      </c>
      <c r="U26" s="301"/>
      <c r="V26" s="301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25">
      <c r="A27" s="180">
        <f>'Données projet'!A40</f>
        <v>50</v>
      </c>
      <c r="B27" s="181">
        <f>'Données projet'!D40</f>
        <v>98</v>
      </c>
      <c r="C27" s="191">
        <v>50</v>
      </c>
      <c r="D27" s="182">
        <f t="shared" si="2"/>
        <v>4900</v>
      </c>
      <c r="E27" s="193"/>
      <c r="F27" s="233"/>
      <c r="G27" s="229"/>
      <c r="H27" s="190"/>
      <c r="I27" s="191"/>
      <c r="K27" s="208"/>
      <c r="L27" s="294"/>
      <c r="M27" s="295"/>
      <c r="N27" s="295"/>
      <c r="O27" s="295"/>
      <c r="P27" s="296"/>
      <c r="Q27" s="234"/>
      <c r="R27" s="23"/>
      <c r="S27" s="300" t="s">
        <v>267</v>
      </c>
      <c r="T27" s="300"/>
      <c r="U27" s="300"/>
      <c r="V27" s="300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25">
      <c r="A28" s="180">
        <f>'Données projet'!A41</f>
        <v>60</v>
      </c>
      <c r="B28" s="181">
        <f>'Données projet'!D41</f>
        <v>76</v>
      </c>
      <c r="C28" s="191">
        <v>55</v>
      </c>
      <c r="D28" s="182">
        <f t="shared" si="2"/>
        <v>4180</v>
      </c>
      <c r="E28" s="193"/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25">
      <c r="A29" s="180">
        <f>'Données projet'!A42</f>
        <v>70</v>
      </c>
      <c r="B29" s="181">
        <f>'Données projet'!D42</f>
        <v>61</v>
      </c>
      <c r="C29" s="191">
        <v>60</v>
      </c>
      <c r="D29" s="182">
        <f t="shared" si="2"/>
        <v>3660</v>
      </c>
      <c r="E29" s="193"/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25">
      <c r="A30" s="180">
        <f>'Données projet'!A43</f>
        <v>80</v>
      </c>
      <c r="B30" s="181">
        <f>'Données projet'!D43</f>
        <v>582</v>
      </c>
      <c r="C30" s="191">
        <v>80</v>
      </c>
      <c r="D30" s="182">
        <f t="shared" si="2"/>
        <v>46560</v>
      </c>
      <c r="E30" s="193"/>
      <c r="F30" s="233"/>
      <c r="G30" s="203"/>
      <c r="H30" s="190"/>
      <c r="I30" s="191"/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25">
      <c r="A31" s="180">
        <f>'Données projet'!A44</f>
        <v>0</v>
      </c>
      <c r="B31" s="181">
        <f>'Données projet'!D44</f>
        <v>0</v>
      </c>
      <c r="C31" s="193"/>
      <c r="D31" s="182">
        <f t="shared" si="2"/>
        <v>0</v>
      </c>
      <c r="E31" s="193"/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25">
      <c r="A32" s="180">
        <f>'Données projet'!A45</f>
        <v>0</v>
      </c>
      <c r="B32" s="181">
        <f>'Données projet'!D45</f>
        <v>0</v>
      </c>
      <c r="C32" s="193"/>
      <c r="D32" s="182">
        <f t="shared" si="2"/>
        <v>0</v>
      </c>
      <c r="E32" s="193"/>
      <c r="F32" s="233"/>
      <c r="G32" s="203"/>
      <c r="H32" s="190"/>
      <c r="I32" s="191"/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25">
      <c r="A33" s="180">
        <f>'Données projet'!A46</f>
        <v>0</v>
      </c>
      <c r="B33" s="181">
        <f>'Données projet'!D46</f>
        <v>0</v>
      </c>
      <c r="C33" s="193"/>
      <c r="D33" s="182">
        <f t="shared" si="2"/>
        <v>0</v>
      </c>
      <c r="E33" s="193"/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25">
      <c r="A34" s="180">
        <f>'Données projet'!A47</f>
        <v>0</v>
      </c>
      <c r="B34" s="181">
        <f>'Données projet'!D47</f>
        <v>0</v>
      </c>
      <c r="C34" s="193"/>
      <c r="D34" s="182">
        <f t="shared" si="2"/>
        <v>0</v>
      </c>
      <c r="E34" s="193"/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25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25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25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25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25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25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25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25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25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25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25">
      <c r="A45" s="46" t="s">
        <v>166</v>
      </c>
      <c r="B45" s="174" t="str">
        <f>IF('Données projet'!$B$10="","",'Données projet'!$B$10)</f>
        <v>Chêne pubescent</v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25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25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25">
      <c r="A48" s="49">
        <v>0</v>
      </c>
      <c r="B48" s="199" t="s">
        <v>132</v>
      </c>
      <c r="C48" s="198" t="s">
        <v>132</v>
      </c>
      <c r="D48" s="197" t="s">
        <v>132</v>
      </c>
      <c r="E48" s="193">
        <v>1917.51</v>
      </c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25">
      <c r="A49" s="49">
        <v>1</v>
      </c>
      <c r="B49" s="199" t="s">
        <v>132</v>
      </c>
      <c r="C49" s="198" t="s">
        <v>132</v>
      </c>
      <c r="D49" s="197" t="s">
        <v>132</v>
      </c>
      <c r="E49" s="193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25">
      <c r="A50" s="49">
        <v>2</v>
      </c>
      <c r="B50" s="199" t="s">
        <v>132</v>
      </c>
      <c r="C50" s="198" t="s">
        <v>132</v>
      </c>
      <c r="D50" s="197" t="s">
        <v>132</v>
      </c>
      <c r="E50" s="193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25">
      <c r="A51" s="49">
        <v>3</v>
      </c>
      <c r="B51" s="199" t="s">
        <v>132</v>
      </c>
      <c r="C51" s="198" t="s">
        <v>132</v>
      </c>
      <c r="D51" s="197" t="s">
        <v>132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25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25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25">
      <c r="A54" s="180">
        <f>'Données projet'!A62</f>
        <v>20</v>
      </c>
      <c r="B54" s="181">
        <f>'Données projet'!D62</f>
        <v>0</v>
      </c>
      <c r="C54" s="191">
        <v>8</v>
      </c>
      <c r="D54" s="179">
        <f>B54*C54</f>
        <v>0</v>
      </c>
      <c r="E54" s="193"/>
      <c r="F54" s="232"/>
      <c r="G54" s="205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25">
      <c r="A55" s="180">
        <f>'Données projet'!A63</f>
        <v>30</v>
      </c>
      <c r="B55" s="181">
        <f>'Données projet'!D63</f>
        <v>29</v>
      </c>
      <c r="C55" s="191">
        <v>12</v>
      </c>
      <c r="D55" s="179">
        <f t="shared" ref="D55:D73" si="4">B55*C55</f>
        <v>348</v>
      </c>
      <c r="E55" s="193"/>
      <c r="F55" s="232"/>
      <c r="G55" s="205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25">
      <c r="A56" s="180">
        <f>'Données projet'!A64</f>
        <v>40</v>
      </c>
      <c r="B56" s="181">
        <f>'Données projet'!D64</f>
        <v>42</v>
      </c>
      <c r="C56" s="191">
        <v>15</v>
      </c>
      <c r="D56" s="179">
        <f t="shared" si="4"/>
        <v>630</v>
      </c>
      <c r="E56" s="193"/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25">
      <c r="A57" s="180">
        <f>'Données projet'!A65</f>
        <v>50</v>
      </c>
      <c r="B57" s="181">
        <f>'Données projet'!D65</f>
        <v>42</v>
      </c>
      <c r="C57" s="191">
        <v>20</v>
      </c>
      <c r="D57" s="179">
        <f t="shared" si="4"/>
        <v>840</v>
      </c>
      <c r="E57" s="193"/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25">
      <c r="A58" s="180">
        <f>'Données projet'!A66</f>
        <v>60</v>
      </c>
      <c r="B58" s="181">
        <f>'Données projet'!D66</f>
        <v>42</v>
      </c>
      <c r="C58" s="191">
        <v>25</v>
      </c>
      <c r="D58" s="179">
        <f t="shared" si="4"/>
        <v>1050</v>
      </c>
      <c r="E58" s="193"/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25">
      <c r="A59" s="180">
        <f>'Données projet'!A67</f>
        <v>70</v>
      </c>
      <c r="B59" s="181">
        <f>'Données projet'!D67</f>
        <v>42</v>
      </c>
      <c r="C59" s="191">
        <v>30</v>
      </c>
      <c r="D59" s="179">
        <f t="shared" si="4"/>
        <v>1260</v>
      </c>
      <c r="E59" s="193"/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25">
      <c r="A60" s="180">
        <f>'Données projet'!A68</f>
        <v>80</v>
      </c>
      <c r="B60" s="181">
        <f>'Données projet'!D68</f>
        <v>42</v>
      </c>
      <c r="C60" s="191">
        <v>35</v>
      </c>
      <c r="D60" s="179">
        <f t="shared" si="4"/>
        <v>1470</v>
      </c>
      <c r="E60" s="193"/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0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25">
      <c r="A61" s="180">
        <f>'Données projet'!A69</f>
        <v>90</v>
      </c>
      <c r="B61" s="181">
        <f>'Données projet'!D69</f>
        <v>42</v>
      </c>
      <c r="C61" s="191">
        <v>40</v>
      </c>
      <c r="D61" s="179">
        <f t="shared" si="4"/>
        <v>1680</v>
      </c>
      <c r="E61" s="193"/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0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25">
      <c r="A62" s="180">
        <f>'Données projet'!A70</f>
        <v>100</v>
      </c>
      <c r="B62" s="181">
        <f>'Données projet'!D70</f>
        <v>42</v>
      </c>
      <c r="C62" s="191">
        <v>50</v>
      </c>
      <c r="D62" s="179">
        <f t="shared" si="4"/>
        <v>2100</v>
      </c>
      <c r="E62" s="193"/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0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25">
      <c r="A63" s="180">
        <f>'Données projet'!A71</f>
        <v>110</v>
      </c>
      <c r="B63" s="181">
        <f>'Données projet'!D71</f>
        <v>39</v>
      </c>
      <c r="C63" s="191">
        <v>60</v>
      </c>
      <c r="D63" s="179">
        <f t="shared" si="4"/>
        <v>2340</v>
      </c>
      <c r="E63" s="193"/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0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25">
      <c r="A64" s="180">
        <f>'Données projet'!A72</f>
        <v>120</v>
      </c>
      <c r="B64" s="181">
        <f>'Données projet'!D72</f>
        <v>303</v>
      </c>
      <c r="C64" s="191">
        <v>180</v>
      </c>
      <c r="D64" s="179">
        <f t="shared" si="4"/>
        <v>54540</v>
      </c>
      <c r="E64" s="193"/>
      <c r="F64" s="232"/>
      <c r="G64" s="206"/>
      <c r="H64" s="190"/>
      <c r="I64" s="191"/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0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25">
      <c r="A65" s="180">
        <f>'Données projet'!A73</f>
        <v>0</v>
      </c>
      <c r="B65" s="181">
        <f>'Données projet'!D73</f>
        <v>0</v>
      </c>
      <c r="C65" s="191"/>
      <c r="D65" s="179">
        <f t="shared" si="4"/>
        <v>0</v>
      </c>
      <c r="E65" s="193"/>
      <c r="F65" s="232"/>
      <c r="G65" s="206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0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25">
      <c r="A66" s="180">
        <f>'Données projet'!A74</f>
        <v>0</v>
      </c>
      <c r="B66" s="181">
        <f>'Données projet'!D74</f>
        <v>0</v>
      </c>
      <c r="C66" s="191"/>
      <c r="D66" s="179">
        <f t="shared" si="4"/>
        <v>0</v>
      </c>
      <c r="E66" s="193"/>
      <c r="F66" s="232"/>
      <c r="G66" s="206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0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25">
      <c r="A67" s="180">
        <f>'Données projet'!A75</f>
        <v>0</v>
      </c>
      <c r="B67" s="181">
        <f>'Données projet'!D75</f>
        <v>0</v>
      </c>
      <c r="C67" s="191"/>
      <c r="D67" s="179">
        <f t="shared" si="4"/>
        <v>0</v>
      </c>
      <c r="E67" s="193"/>
      <c r="F67" s="232"/>
      <c r="G67" s="206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0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25">
      <c r="A68" s="180">
        <f>'Données projet'!A76</f>
        <v>0</v>
      </c>
      <c r="B68" s="181">
        <f>'Données projet'!D76</f>
        <v>0</v>
      </c>
      <c r="C68" s="191"/>
      <c r="D68" s="179">
        <f t="shared" si="4"/>
        <v>0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0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25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0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25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0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25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0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25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0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25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0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25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0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25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0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25">
      <c r="A76" s="46" t="s">
        <v>167</v>
      </c>
      <c r="B76" s="174" t="str">
        <f>IF('Données projet'!B11="","",'Données projet'!B11)</f>
        <v>Cèdre de l'Atlas</v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0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25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0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ht="30" x14ac:dyDescent="0.25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0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25">
      <c r="A79" s="49">
        <v>0</v>
      </c>
      <c r="B79" s="199" t="s">
        <v>132</v>
      </c>
      <c r="C79" s="198" t="s">
        <v>132</v>
      </c>
      <c r="D79" s="197" t="s">
        <v>132</v>
      </c>
      <c r="E79" s="193">
        <v>2632.11</v>
      </c>
      <c r="F79" s="231"/>
      <c r="G79" s="206"/>
      <c r="H79" s="190"/>
      <c r="I79" s="191"/>
      <c r="J79" s="4"/>
      <c r="K79" s="173"/>
      <c r="L79" s="4"/>
      <c r="M79" s="4"/>
      <c r="N79" s="4"/>
      <c r="O79" s="194">
        <f>IF(O78+1&lt;=MIN('Données projet'!$E$9:$E$18),O78+1,"STOP")</f>
        <v>46</v>
      </c>
      <c r="P79" s="185">
        <f t="shared" si="5"/>
        <v>0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25">
      <c r="A80" s="49">
        <v>1</v>
      </c>
      <c r="B80" s="199" t="s">
        <v>132</v>
      </c>
      <c r="C80" s="198" t="s">
        <v>132</v>
      </c>
      <c r="D80" s="197" t="s">
        <v>132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>
        <f>IF(O79+1&lt;=MIN('Données projet'!$E$9:$E$18),O79+1,"STOP")</f>
        <v>47</v>
      </c>
      <c r="P80" s="185">
        <f t="shared" si="5"/>
        <v>0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25">
      <c r="A81" s="49">
        <v>2</v>
      </c>
      <c r="B81" s="199" t="s">
        <v>132</v>
      </c>
      <c r="C81" s="198" t="s">
        <v>132</v>
      </c>
      <c r="D81" s="197" t="s">
        <v>132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>
        <f>IF(O80+1&lt;=MIN('Données projet'!$E$9:$E$18),O80+1,"STOP")</f>
        <v>48</v>
      </c>
      <c r="P81" s="185">
        <f t="shared" si="5"/>
        <v>0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25">
      <c r="A82" s="49">
        <v>3</v>
      </c>
      <c r="B82" s="199" t="s">
        <v>132</v>
      </c>
      <c r="C82" s="198" t="s">
        <v>132</v>
      </c>
      <c r="D82" s="197" t="s">
        <v>132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>
        <f>IF(O81+1&lt;=MIN('Données projet'!$E$9:$E$18),O81+1,"STOP")</f>
        <v>49</v>
      </c>
      <c r="P82" s="185">
        <f t="shared" si="5"/>
        <v>0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25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>
        <f>IF(O82+1&lt;=MIN('Données projet'!$E$9:$E$18),O82+1,"STOP")</f>
        <v>50</v>
      </c>
      <c r="P83" s="185">
        <f t="shared" si="5"/>
        <v>0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25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>
        <f>IF(O83+1&lt;=MIN('Données projet'!$E$9:$E$18),O83+1,"STOP")</f>
        <v>51</v>
      </c>
      <c r="P84" s="185">
        <f t="shared" si="5"/>
        <v>0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25">
      <c r="A85" s="180">
        <f>'Données projet'!A88</f>
        <v>20</v>
      </c>
      <c r="B85" s="181">
        <f>'Données projet'!D88</f>
        <v>12.5</v>
      </c>
      <c r="C85" s="193">
        <v>8</v>
      </c>
      <c r="D85" s="179">
        <f>B85*C85</f>
        <v>100</v>
      </c>
      <c r="E85" s="193"/>
      <c r="F85" s="232"/>
      <c r="G85" s="205"/>
      <c r="H85" s="190"/>
      <c r="I85" s="191"/>
      <c r="J85" s="4"/>
      <c r="K85" s="173"/>
      <c r="L85" s="4"/>
      <c r="M85" s="4"/>
      <c r="N85" s="4"/>
      <c r="O85" s="194">
        <f>IF(O84+1&lt;=MIN('Données projet'!$E$9:$E$18),O84+1,"STOP")</f>
        <v>52</v>
      </c>
      <c r="P85" s="185">
        <f t="shared" si="5"/>
        <v>0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25">
      <c r="A86" s="180">
        <f>'Données projet'!A89</f>
        <v>30</v>
      </c>
      <c r="B86" s="181">
        <f>'Données projet'!D89</f>
        <v>45.9</v>
      </c>
      <c r="C86" s="193">
        <v>8</v>
      </c>
      <c r="D86" s="179">
        <f t="shared" ref="D86:D104" si="6">B86*C86</f>
        <v>367.2</v>
      </c>
      <c r="E86" s="193"/>
      <c r="F86" s="232"/>
      <c r="G86" s="205"/>
      <c r="H86" s="190"/>
      <c r="I86" s="191"/>
      <c r="J86" s="4"/>
      <c r="K86" s="173"/>
      <c r="L86" s="4"/>
      <c r="M86" s="4"/>
      <c r="N86" s="4"/>
      <c r="O86" s="194">
        <f>IF(O85+1&lt;=MIN('Données projet'!$E$9:$E$18),O85+1,"STOP")</f>
        <v>53</v>
      </c>
      <c r="P86" s="185">
        <f t="shared" si="5"/>
        <v>0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25">
      <c r="A87" s="180">
        <f>'Données projet'!A90</f>
        <v>40</v>
      </c>
      <c r="B87" s="181">
        <f>'Données projet'!D90</f>
        <v>83.4</v>
      </c>
      <c r="C87" s="193">
        <v>15</v>
      </c>
      <c r="D87" s="179">
        <f t="shared" si="6"/>
        <v>1251</v>
      </c>
      <c r="E87" s="193"/>
      <c r="F87" s="232"/>
      <c r="G87" s="205"/>
      <c r="H87" s="190"/>
      <c r="I87" s="191"/>
      <c r="J87" s="4"/>
      <c r="K87" s="173"/>
      <c r="L87" s="4"/>
      <c r="M87" s="4"/>
      <c r="N87" s="4"/>
      <c r="O87" s="194">
        <f>IF(O86+1&lt;=MIN('Données projet'!$E$9:$E$18),O86+1,"STOP")</f>
        <v>54</v>
      </c>
      <c r="P87" s="185">
        <f t="shared" si="5"/>
        <v>0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25">
      <c r="A88" s="180">
        <f>'Données projet'!A91</f>
        <v>50</v>
      </c>
      <c r="B88" s="181">
        <f>'Données projet'!D91</f>
        <v>83.4</v>
      </c>
      <c r="C88" s="193">
        <v>25</v>
      </c>
      <c r="D88" s="179">
        <f t="shared" si="6"/>
        <v>2085</v>
      </c>
      <c r="E88" s="193"/>
      <c r="F88" s="232"/>
      <c r="G88" s="205"/>
      <c r="H88" s="190"/>
      <c r="I88" s="191"/>
      <c r="J88" s="4"/>
      <c r="K88" s="173"/>
      <c r="L88" s="4"/>
      <c r="M88" s="4"/>
      <c r="N88" s="4"/>
      <c r="O88" s="194">
        <f>IF(O87+1&lt;=MIN('Données projet'!$E$9:$E$18),O87+1,"STOP")</f>
        <v>55</v>
      </c>
      <c r="P88" s="185">
        <f t="shared" si="5"/>
        <v>0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25">
      <c r="A89" s="180">
        <f>'Données projet'!A92</f>
        <v>60</v>
      </c>
      <c r="B89" s="181">
        <f>'Données projet'!D92</f>
        <v>83.4</v>
      </c>
      <c r="C89" s="193">
        <v>30</v>
      </c>
      <c r="D89" s="179">
        <f t="shared" si="6"/>
        <v>2502</v>
      </c>
      <c r="E89" s="193"/>
      <c r="F89" s="232"/>
      <c r="G89" s="205"/>
      <c r="H89" s="190"/>
      <c r="I89" s="191"/>
      <c r="J89" s="4"/>
      <c r="K89" s="173"/>
      <c r="L89" s="4"/>
      <c r="M89" s="4"/>
      <c r="N89" s="4"/>
      <c r="O89" s="194">
        <f>IF(O88+1&lt;=MIN('Données projet'!$E$9:$E$18),O88+1,"STOP")</f>
        <v>56</v>
      </c>
      <c r="P89" s="185">
        <f t="shared" si="5"/>
        <v>0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25">
      <c r="A90" s="180">
        <f>'Données projet'!A93</f>
        <v>70</v>
      </c>
      <c r="B90" s="181">
        <f>'Données projet'!D93</f>
        <v>83.4</v>
      </c>
      <c r="C90" s="193">
        <v>35</v>
      </c>
      <c r="D90" s="179">
        <f t="shared" si="6"/>
        <v>2919</v>
      </c>
      <c r="E90" s="193"/>
      <c r="F90" s="232"/>
      <c r="G90" s="205"/>
      <c r="H90" s="190"/>
      <c r="I90" s="191"/>
      <c r="J90" s="4"/>
      <c r="K90" s="173"/>
      <c r="L90" s="4"/>
      <c r="M90" s="4"/>
      <c r="N90" s="4"/>
      <c r="O90" s="194">
        <f>IF(O89+1&lt;=MIN('Données projet'!$E$9:$E$18),O89+1,"STOP")</f>
        <v>57</v>
      </c>
      <c r="P90" s="185">
        <f t="shared" si="5"/>
        <v>0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25">
      <c r="A91" s="180">
        <f>'Données projet'!A94</f>
        <v>80</v>
      </c>
      <c r="B91" s="181">
        <f>'Données projet'!D94</f>
        <v>83.4</v>
      </c>
      <c r="C91" s="193">
        <v>40</v>
      </c>
      <c r="D91" s="179">
        <f t="shared" si="6"/>
        <v>3336</v>
      </c>
      <c r="E91" s="193"/>
      <c r="F91" s="232"/>
      <c r="G91" s="206"/>
      <c r="H91" s="190"/>
      <c r="I91" s="191"/>
      <c r="J91" s="4"/>
      <c r="K91" s="173"/>
      <c r="L91" s="4"/>
      <c r="M91" s="4"/>
      <c r="N91" s="4"/>
      <c r="O91" s="194">
        <f>IF(O90+1&lt;=MIN('Données projet'!$E$9:$E$18),O90+1,"STOP")</f>
        <v>58</v>
      </c>
      <c r="P91" s="185">
        <f t="shared" si="5"/>
        <v>0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25">
      <c r="A92" s="180">
        <f>'Données projet'!A95</f>
        <v>90</v>
      </c>
      <c r="B92" s="181">
        <f>'Données projet'!D95</f>
        <v>83.4</v>
      </c>
      <c r="C92" s="193">
        <v>50</v>
      </c>
      <c r="D92" s="179">
        <f t="shared" si="6"/>
        <v>4170</v>
      </c>
      <c r="E92" s="193"/>
      <c r="F92" s="232"/>
      <c r="G92" s="206"/>
      <c r="H92" s="190"/>
      <c r="I92" s="191"/>
      <c r="J92" s="4"/>
      <c r="K92" s="173"/>
      <c r="L92" s="4"/>
      <c r="M92" s="4"/>
      <c r="N92" s="4"/>
      <c r="O92" s="194">
        <f>IF(O91+1&lt;=MIN('Données projet'!$E$9:$E$18),O91+1,"STOP")</f>
        <v>59</v>
      </c>
      <c r="P92" s="185">
        <f t="shared" si="5"/>
        <v>0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25">
      <c r="A93" s="180">
        <f>'Données projet'!A96</f>
        <v>100</v>
      </c>
      <c r="B93" s="181">
        <f>'Données projet'!D96</f>
        <v>726.2</v>
      </c>
      <c r="C93" s="193">
        <v>70</v>
      </c>
      <c r="D93" s="179">
        <f t="shared" si="6"/>
        <v>50834</v>
      </c>
      <c r="E93" s="193"/>
      <c r="F93" s="232"/>
      <c r="G93" s="206"/>
      <c r="H93" s="190"/>
      <c r="I93" s="191"/>
      <c r="J93" s="4"/>
      <c r="K93" s="173"/>
      <c r="L93" s="4"/>
      <c r="M93" s="4"/>
      <c r="N93" s="4"/>
      <c r="O93" s="194">
        <f>IF(O92+1&lt;=MIN('Données projet'!$E$9:$E$18),O92+1,"STOP")</f>
        <v>60</v>
      </c>
      <c r="P93" s="185">
        <f t="shared" si="5"/>
        <v>0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25">
      <c r="A94" s="180">
        <f>'Données projet'!A97</f>
        <v>0</v>
      </c>
      <c r="B94" s="181">
        <f>'Données projet'!D97</f>
        <v>0</v>
      </c>
      <c r="C94" s="191"/>
      <c r="D94" s="179">
        <f t="shared" si="6"/>
        <v>0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>
        <f>IF(O93+1&lt;=MIN('Données projet'!$E$9:$E$18),O93+1,"STOP")</f>
        <v>61</v>
      </c>
      <c r="P94" s="185">
        <f t="shared" si="5"/>
        <v>0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25">
      <c r="A95" s="180">
        <f>'Données projet'!A98</f>
        <v>0</v>
      </c>
      <c r="B95" s="181">
        <f>'Données projet'!D98</f>
        <v>0</v>
      </c>
      <c r="C95" s="191"/>
      <c r="D95" s="179">
        <f t="shared" si="6"/>
        <v>0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>
        <f>IF(O94+1&lt;=MIN('Données projet'!$E$9:$E$18),O94+1,"STOP")</f>
        <v>62</v>
      </c>
      <c r="P95" s="185">
        <f t="shared" si="5"/>
        <v>0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25">
      <c r="A96" s="180">
        <f>'Données projet'!A99</f>
        <v>0</v>
      </c>
      <c r="B96" s="181">
        <f>'Données projet'!D99</f>
        <v>0</v>
      </c>
      <c r="C96" s="191"/>
      <c r="D96" s="179">
        <f t="shared" si="6"/>
        <v>0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>
        <f>IF(O95+1&lt;=MIN('Données projet'!$E$9:$E$18),O95+1,"STOP")</f>
        <v>63</v>
      </c>
      <c r="P96" s="185">
        <f t="shared" si="5"/>
        <v>0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25">
      <c r="A97" s="180">
        <f>'Données projet'!A100</f>
        <v>0</v>
      </c>
      <c r="B97" s="181">
        <f>'Données projet'!D100</f>
        <v>0</v>
      </c>
      <c r="C97" s="191"/>
      <c r="D97" s="179">
        <f t="shared" si="6"/>
        <v>0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>
        <f>IF(O96+1&lt;=MIN('Données projet'!$E$9:$E$18),O96+1,"STOP")</f>
        <v>64</v>
      </c>
      <c r="P97" s="185">
        <f t="shared" ref="P97:P128" si="7">$P$25/(1+$M$4)^O97</f>
        <v>0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25">
      <c r="A98" s="180">
        <f>'Données projet'!A101</f>
        <v>0</v>
      </c>
      <c r="B98" s="181">
        <f>'Données projet'!D101</f>
        <v>0</v>
      </c>
      <c r="C98" s="191"/>
      <c r="D98" s="179">
        <f t="shared" si="6"/>
        <v>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>
        <f>IF(O97+1&lt;=MIN('Données projet'!$E$9:$E$18),O97+1,"STOP")</f>
        <v>65</v>
      </c>
      <c r="P98" s="185">
        <f t="shared" si="7"/>
        <v>0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25">
      <c r="A99" s="180">
        <f>'Données projet'!A102</f>
        <v>0</v>
      </c>
      <c r="B99" s="181">
        <f>'Données projet'!D102</f>
        <v>0</v>
      </c>
      <c r="C99" s="191"/>
      <c r="D99" s="179">
        <f t="shared" si="6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>
        <f>IF(O98+1&lt;=MIN('Données projet'!$E$9:$E$18),O98+1,"STOP")</f>
        <v>66</v>
      </c>
      <c r="P99" s="185">
        <f t="shared" si="7"/>
        <v>0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25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>
        <f>IF(O99+1&lt;=MIN('Données projet'!$E$9:$E$18),O99+1,"STOP")</f>
        <v>67</v>
      </c>
      <c r="P100" s="185">
        <f t="shared" si="7"/>
        <v>0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25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>
        <f>IF(O100+1&lt;=MIN('Données projet'!$E$9:$E$18),O100+1,"STOP")</f>
        <v>68</v>
      </c>
      <c r="P101" s="185">
        <f t="shared" si="7"/>
        <v>0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25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>
        <f>IF(O101+1&lt;=MIN('Données projet'!$E$9:$E$18),O101+1,"STOP")</f>
        <v>69</v>
      </c>
      <c r="P102" s="185">
        <f t="shared" si="7"/>
        <v>0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25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>
        <f>IF(O102+1&lt;=MIN('Données projet'!$E$9:$E$18),O102+1,"STOP")</f>
        <v>70</v>
      </c>
      <c r="P103" s="185">
        <f t="shared" si="7"/>
        <v>0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25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>
        <f>IF(O103+1&lt;=MIN('Données projet'!$E$9:$E$18),O103+1,"STOP")</f>
        <v>71</v>
      </c>
      <c r="P104" s="185">
        <f t="shared" si="7"/>
        <v>0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25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>
        <f>IF(O104+1&lt;=MIN('Données projet'!$E$9:$E$18),O104+1,"STOP")</f>
        <v>72</v>
      </c>
      <c r="P105" s="185">
        <f t="shared" si="7"/>
        <v>0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25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>
        <f>IF(O105+1&lt;=MIN('Données projet'!$E$9:$E$18),O105+1,"STOP")</f>
        <v>73</v>
      </c>
      <c r="P106" s="185">
        <f t="shared" si="7"/>
        <v>0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25">
      <c r="A107" s="46" t="s">
        <v>168</v>
      </c>
      <c r="B107" s="174" t="str">
        <f>IF('Données projet'!B12="","",'Données projet'!B12)</f>
        <v/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>
        <f>IF(O106+1&lt;=MIN('Données projet'!$E$9:$E$18),O106+1,"STOP")</f>
        <v>74</v>
      </c>
      <c r="P107" s="185">
        <f t="shared" si="7"/>
        <v>0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25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>
        <f>IF(O107+1&lt;=MIN('Données projet'!$E$9:$E$18),O107+1,"STOP")</f>
        <v>75</v>
      </c>
      <c r="P108" s="185">
        <f t="shared" si="7"/>
        <v>0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ht="30" x14ac:dyDescent="0.25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>
        <f>IF(O108+1&lt;=MIN('Données projet'!$E$9:$E$18),O108+1,"STOP")</f>
        <v>76</v>
      </c>
      <c r="P109" s="185">
        <f t="shared" si="7"/>
        <v>0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25">
      <c r="A110" s="49">
        <v>0</v>
      </c>
      <c r="B110" s="199" t="s">
        <v>132</v>
      </c>
      <c r="C110" s="198" t="s">
        <v>132</v>
      </c>
      <c r="D110" s="197" t="s">
        <v>132</v>
      </c>
      <c r="E110" s="193"/>
      <c r="F110" s="231"/>
      <c r="G110" s="206"/>
      <c r="H110" s="190"/>
      <c r="I110" s="191"/>
      <c r="J110" s="4"/>
      <c r="K110" s="173"/>
      <c r="L110" s="4"/>
      <c r="M110" s="4"/>
      <c r="N110" s="4"/>
      <c r="O110" s="194">
        <f>IF(O109+1&lt;=MIN('Données projet'!$E$9:$E$18),O109+1,"STOP")</f>
        <v>77</v>
      </c>
      <c r="P110" s="185">
        <f t="shared" si="7"/>
        <v>0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25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>
        <f>IF(O110+1&lt;=MIN('Données projet'!$E$9:$E$18),O110+1,"STOP")</f>
        <v>78</v>
      </c>
      <c r="P111" s="185">
        <f t="shared" si="7"/>
        <v>0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25">
      <c r="A112" s="49">
        <v>2</v>
      </c>
      <c r="B112" s="199" t="s">
        <v>132</v>
      </c>
      <c r="C112" s="198" t="s">
        <v>132</v>
      </c>
      <c r="D112" s="197" t="s">
        <v>132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>
        <f>IF(O111+1&lt;=MIN('Données projet'!$E$9:$E$18),O111+1,"STOP")</f>
        <v>79</v>
      </c>
      <c r="P112" s="185">
        <f t="shared" si="7"/>
        <v>0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25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>
        <f>IF(O112+1&lt;=MIN('Données projet'!$E$9:$E$18),O112+1,"STOP")</f>
        <v>80</v>
      </c>
      <c r="P113" s="185">
        <f t="shared" si="7"/>
        <v>0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25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str">
        <f>IF(O113+1&lt;=MIN('Données projet'!$E$9:$E$18),O113+1,"STOP")</f>
        <v>STOP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25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25">
      <c r="A116" s="180">
        <f>'Données projet'!A114</f>
        <v>0</v>
      </c>
      <c r="B116" s="181">
        <f>'Données projet'!D114</f>
        <v>0</v>
      </c>
      <c r="C116" s="191"/>
      <c r="D116" s="179">
        <f>B116*C116</f>
        <v>0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25">
      <c r="A117" s="180">
        <f>'Données projet'!A115</f>
        <v>0</v>
      </c>
      <c r="B117" s="181">
        <f>'Données projet'!D115</f>
        <v>0</v>
      </c>
      <c r="C117" s="191"/>
      <c r="D117" s="179">
        <f t="shared" ref="D117:D135" si="8">B117*C117</f>
        <v>0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25">
      <c r="A118" s="180">
        <f>'Données projet'!A116</f>
        <v>0</v>
      </c>
      <c r="B118" s="181">
        <f>'Données projet'!D116</f>
        <v>0</v>
      </c>
      <c r="C118" s="191"/>
      <c r="D118" s="179">
        <f t="shared" si="8"/>
        <v>0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25">
      <c r="A119" s="180">
        <f>'Données projet'!A117</f>
        <v>0</v>
      </c>
      <c r="B119" s="181">
        <f>'Données projet'!D117</f>
        <v>0</v>
      </c>
      <c r="C119" s="191"/>
      <c r="D119" s="179">
        <f t="shared" si="8"/>
        <v>0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25">
      <c r="A120" s="180">
        <f>'Données projet'!A118</f>
        <v>0</v>
      </c>
      <c r="B120" s="181">
        <f>'Données projet'!D118</f>
        <v>0</v>
      </c>
      <c r="C120" s="191"/>
      <c r="D120" s="179">
        <f t="shared" si="8"/>
        <v>0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25">
      <c r="A121" s="180">
        <f>'Données projet'!A119</f>
        <v>0</v>
      </c>
      <c r="B121" s="181">
        <f>'Données projet'!D119</f>
        <v>0</v>
      </c>
      <c r="C121" s="191"/>
      <c r="D121" s="179">
        <f t="shared" si="8"/>
        <v>0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25">
      <c r="A122" s="180">
        <f>'Données projet'!A120</f>
        <v>0</v>
      </c>
      <c r="B122" s="181">
        <f>'Données projet'!D120</f>
        <v>0</v>
      </c>
      <c r="C122" s="191"/>
      <c r="D122" s="179">
        <f t="shared" si="8"/>
        <v>0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25">
      <c r="A123" s="180">
        <f>'Données projet'!A121</f>
        <v>0</v>
      </c>
      <c r="B123" s="181">
        <f>'Données projet'!D121</f>
        <v>0</v>
      </c>
      <c r="C123" s="191"/>
      <c r="D123" s="179">
        <f t="shared" si="8"/>
        <v>0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25">
      <c r="A124" s="180">
        <f>'Données projet'!A122</f>
        <v>0</v>
      </c>
      <c r="B124" s="181">
        <f>'Données projet'!D122</f>
        <v>0</v>
      </c>
      <c r="C124" s="191"/>
      <c r="D124" s="179">
        <f t="shared" si="8"/>
        <v>0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25">
      <c r="A125" s="180">
        <f>'Données projet'!A123</f>
        <v>0</v>
      </c>
      <c r="B125" s="181">
        <f>'Données projet'!D123</f>
        <v>0</v>
      </c>
      <c r="C125" s="191"/>
      <c r="D125" s="179">
        <f t="shared" si="8"/>
        <v>0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25">
      <c r="A126" s="180">
        <f>'Données projet'!A124</f>
        <v>0</v>
      </c>
      <c r="B126" s="181">
        <f>'Données projet'!D124</f>
        <v>0</v>
      </c>
      <c r="C126" s="191"/>
      <c r="D126" s="179">
        <f t="shared" si="8"/>
        <v>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25">
      <c r="A127" s="180">
        <f>'Données projet'!A125</f>
        <v>0</v>
      </c>
      <c r="B127" s="181">
        <f>'Données projet'!D125</f>
        <v>0</v>
      </c>
      <c r="C127" s="191"/>
      <c r="D127" s="179">
        <f t="shared" si="8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25">
      <c r="A128" s="180">
        <f>'Données projet'!A126</f>
        <v>0</v>
      </c>
      <c r="B128" s="181">
        <f>'Données projet'!D126</f>
        <v>0</v>
      </c>
      <c r="C128" s="191"/>
      <c r="D128" s="179">
        <f t="shared" si="8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25">
      <c r="A129" s="180">
        <f>'Données projet'!A127</f>
        <v>0</v>
      </c>
      <c r="B129" s="181">
        <f>'Données projet'!D127</f>
        <v>0</v>
      </c>
      <c r="C129" s="191"/>
      <c r="D129" s="179">
        <f t="shared" si="8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25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25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25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25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25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25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25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25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25">
      <c r="A138" s="46" t="s">
        <v>169</v>
      </c>
      <c r="B138" s="174" t="str">
        <f>IF('Données projet'!B13="","",'Données projet'!B13)</f>
        <v/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25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ht="30" x14ac:dyDescent="0.25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25">
      <c r="A141" s="49">
        <v>0</v>
      </c>
      <c r="B141" s="199" t="s">
        <v>132</v>
      </c>
      <c r="C141" s="198" t="s">
        <v>132</v>
      </c>
      <c r="D141" s="197" t="s">
        <v>132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25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25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25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25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25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25">
      <c r="A147" s="42">
        <f>'Données projet'!A140</f>
        <v>0</v>
      </c>
      <c r="B147" s="175">
        <f>'Données projet'!D140</f>
        <v>0</v>
      </c>
      <c r="C147" s="191"/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25">
      <c r="A148" s="42">
        <f>'Données projet'!A141</f>
        <v>0</v>
      </c>
      <c r="B148" s="175">
        <f>'Données projet'!D141</f>
        <v>0</v>
      </c>
      <c r="C148" s="191"/>
      <c r="D148" s="182">
        <f t="shared" ref="D148:D166" si="10">B148*C148</f>
        <v>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25">
      <c r="A149" s="42">
        <f>'Données projet'!A142</f>
        <v>0</v>
      </c>
      <c r="B149" s="175">
        <f>'Données projet'!D142</f>
        <v>0</v>
      </c>
      <c r="C149" s="191"/>
      <c r="D149" s="182">
        <f t="shared" si="10"/>
        <v>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25">
      <c r="A150" s="42">
        <f>'Données projet'!A143</f>
        <v>0</v>
      </c>
      <c r="B150" s="175">
        <f>'Données projet'!D143</f>
        <v>0</v>
      </c>
      <c r="C150" s="191"/>
      <c r="D150" s="182">
        <f t="shared" si="10"/>
        <v>0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25">
      <c r="A151" s="42">
        <f>'Données projet'!A144</f>
        <v>0</v>
      </c>
      <c r="B151" s="175">
        <f>'Données projet'!D144</f>
        <v>0</v>
      </c>
      <c r="C151" s="191"/>
      <c r="D151" s="182">
        <f t="shared" si="10"/>
        <v>0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25">
      <c r="A152" s="42">
        <f>'Données projet'!A145</f>
        <v>0</v>
      </c>
      <c r="B152" s="175">
        <f>'Données projet'!D145</f>
        <v>0</v>
      </c>
      <c r="C152" s="191"/>
      <c r="D152" s="182">
        <f t="shared" si="10"/>
        <v>0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25">
      <c r="A153" s="42">
        <f>'Données projet'!A146</f>
        <v>0</v>
      </c>
      <c r="B153" s="175">
        <f>'Données projet'!D146</f>
        <v>0</v>
      </c>
      <c r="C153" s="191"/>
      <c r="D153" s="182">
        <f t="shared" si="10"/>
        <v>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25">
      <c r="A154" s="42">
        <f>'Données projet'!A147</f>
        <v>0</v>
      </c>
      <c r="B154" s="175">
        <f>'Données projet'!D147</f>
        <v>0</v>
      </c>
      <c r="C154" s="191"/>
      <c r="D154" s="182">
        <f t="shared" si="10"/>
        <v>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25">
      <c r="A155" s="42">
        <f>'Données projet'!A148</f>
        <v>0</v>
      </c>
      <c r="B155" s="175">
        <f>'Données projet'!D148</f>
        <v>0</v>
      </c>
      <c r="C155" s="191"/>
      <c r="D155" s="182">
        <f t="shared" si="10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25">
      <c r="A156" s="42">
        <f>'Données projet'!A149</f>
        <v>0</v>
      </c>
      <c r="B156" s="175">
        <f>'Données projet'!D149</f>
        <v>0</v>
      </c>
      <c r="C156" s="191"/>
      <c r="D156" s="182">
        <f t="shared" si="10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25">
      <c r="A157" s="42">
        <f>'Données projet'!A150</f>
        <v>0</v>
      </c>
      <c r="B157" s="175">
        <f>'Données projet'!D150</f>
        <v>0</v>
      </c>
      <c r="C157" s="191"/>
      <c r="D157" s="182">
        <f t="shared" si="10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25">
      <c r="A158" s="42">
        <f>'Données projet'!A151</f>
        <v>0</v>
      </c>
      <c r="B158" s="175">
        <f>'Données projet'!D151</f>
        <v>0</v>
      </c>
      <c r="C158" s="191"/>
      <c r="D158" s="182">
        <f t="shared" si="10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25">
      <c r="A159" s="42">
        <f>'Données projet'!A152</f>
        <v>0</v>
      </c>
      <c r="B159" s="175">
        <f>'Données projet'!D152</f>
        <v>0</v>
      </c>
      <c r="C159" s="191"/>
      <c r="D159" s="182">
        <f t="shared" si="10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25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25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25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25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25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25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25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25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25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25">
      <c r="A169" s="46" t="s">
        <v>170</v>
      </c>
      <c r="B169" s="174" t="str">
        <f>IF('Données projet'!B14="","",'Données projet'!B14)</f>
        <v/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25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ht="30" x14ac:dyDescent="0.25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25">
      <c r="A172" s="49">
        <v>0</v>
      </c>
      <c r="B172" s="199" t="s">
        <v>132</v>
      </c>
      <c r="C172" s="198" t="s">
        <v>132</v>
      </c>
      <c r="D172" s="197" t="s">
        <v>132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25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25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25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25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25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25">
      <c r="A178" s="180">
        <f>'Données projet'!A166</f>
        <v>0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25">
      <c r="A179" s="180">
        <f>'Données projet'!A167</f>
        <v>0</v>
      </c>
      <c r="B179" s="181">
        <f>'Données projet'!D167</f>
        <v>0</v>
      </c>
      <c r="C179" s="193"/>
      <c r="D179" s="179">
        <f t="shared" ref="D179:D197" si="11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25">
      <c r="A180" s="180">
        <f>'Données projet'!A168</f>
        <v>0</v>
      </c>
      <c r="B180" s="181">
        <f>'Données projet'!D168</f>
        <v>0</v>
      </c>
      <c r="C180" s="193"/>
      <c r="D180" s="179">
        <f t="shared" si="11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25">
      <c r="A181" s="180">
        <f>'Données projet'!A169</f>
        <v>0</v>
      </c>
      <c r="B181" s="181">
        <f>'Données projet'!D169</f>
        <v>0</v>
      </c>
      <c r="C181" s="193"/>
      <c r="D181" s="179">
        <f t="shared" si="11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25">
      <c r="A182" s="180">
        <f>'Données projet'!A170</f>
        <v>0</v>
      </c>
      <c r="B182" s="181">
        <f>'Données projet'!D170</f>
        <v>0</v>
      </c>
      <c r="C182" s="193"/>
      <c r="D182" s="179">
        <f t="shared" si="11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25">
      <c r="A183" s="180">
        <f>'Données projet'!A171</f>
        <v>0</v>
      </c>
      <c r="B183" s="181">
        <f>'Données projet'!D171</f>
        <v>0</v>
      </c>
      <c r="C183" s="193"/>
      <c r="D183" s="179">
        <f t="shared" si="11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25">
      <c r="A184" s="180">
        <f>'Données projet'!A172</f>
        <v>0</v>
      </c>
      <c r="B184" s="181">
        <f>'Données projet'!D172</f>
        <v>0</v>
      </c>
      <c r="C184" s="193"/>
      <c r="D184" s="179">
        <f t="shared" si="11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25">
      <c r="A185" s="180">
        <f>'Données projet'!A173</f>
        <v>0</v>
      </c>
      <c r="B185" s="181">
        <f>'Données projet'!D173</f>
        <v>0</v>
      </c>
      <c r="C185" s="193"/>
      <c r="D185" s="179">
        <f t="shared" si="11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25">
      <c r="A186" s="180">
        <f>'Données projet'!A174</f>
        <v>0</v>
      </c>
      <c r="B186" s="181">
        <f>'Données projet'!D174</f>
        <v>0</v>
      </c>
      <c r="C186" s="193"/>
      <c r="D186" s="179">
        <f t="shared" si="11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25">
      <c r="A187" s="180">
        <f>'Données projet'!A175</f>
        <v>0</v>
      </c>
      <c r="B187" s="181">
        <f>'Données projet'!D175</f>
        <v>0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25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25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25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25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25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25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25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25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25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25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25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25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25">
      <c r="A200" s="46" t="s">
        <v>171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25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ht="30" x14ac:dyDescent="0.25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25">
      <c r="A203" s="49">
        <v>0</v>
      </c>
      <c r="B203" s="199" t="s">
        <v>132</v>
      </c>
      <c r="C203" s="198" t="s">
        <v>132</v>
      </c>
      <c r="D203" s="197" t="s">
        <v>132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25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25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25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25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25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25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25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2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25">
      <c r="A211" s="180">
        <f>'Données projet'!A194</f>
        <v>0</v>
      </c>
      <c r="B211" s="181">
        <f>'Données projet'!D194</f>
        <v>0</v>
      </c>
      <c r="C211" s="193"/>
      <c r="D211" s="179">
        <f t="shared" si="12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25">
      <c r="A212" s="180">
        <f>'Données projet'!A195</f>
        <v>0</v>
      </c>
      <c r="B212" s="181">
        <f>'Données projet'!D195</f>
        <v>0</v>
      </c>
      <c r="C212" s="193"/>
      <c r="D212" s="179">
        <f t="shared" si="12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25">
      <c r="A213" s="180">
        <f>'Données projet'!A196</f>
        <v>0</v>
      </c>
      <c r="B213" s="181">
        <f>'Données projet'!D196</f>
        <v>0</v>
      </c>
      <c r="C213" s="193"/>
      <c r="D213" s="179">
        <f t="shared" si="12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25">
      <c r="A214" s="180">
        <f>'Données projet'!A197</f>
        <v>0</v>
      </c>
      <c r="B214" s="181">
        <f>'Données projet'!D197</f>
        <v>0</v>
      </c>
      <c r="C214" s="193"/>
      <c r="D214" s="179">
        <f t="shared" si="12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25">
      <c r="A215" s="180">
        <f>'Données projet'!A198</f>
        <v>0</v>
      </c>
      <c r="B215" s="181">
        <f>'Données projet'!D198</f>
        <v>0</v>
      </c>
      <c r="C215" s="193"/>
      <c r="D215" s="179">
        <f t="shared" si="12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25">
      <c r="A216" s="180">
        <f>'Données projet'!A199</f>
        <v>0</v>
      </c>
      <c r="B216" s="181">
        <f>'Données projet'!D199</f>
        <v>0</v>
      </c>
      <c r="C216" s="193"/>
      <c r="D216" s="179">
        <f t="shared" si="12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25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25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25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25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25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25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25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25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25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25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25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25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25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25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25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25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ht="30" x14ac:dyDescent="0.25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25">
      <c r="A234" s="49">
        <v>0</v>
      </c>
      <c r="B234" s="199" t="s">
        <v>132</v>
      </c>
      <c r="C234" s="198" t="s">
        <v>132</v>
      </c>
      <c r="D234" s="197" t="s">
        <v>132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25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25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25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25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25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25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25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25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25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25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25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25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25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25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25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25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25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25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25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25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25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25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25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25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25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25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25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25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25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25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25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25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25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25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25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25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25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25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25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25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25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25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25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25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25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25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25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25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25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25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25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25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25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25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25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25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25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25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25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25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25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25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25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25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25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25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25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25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25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25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25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25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25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25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25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25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25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25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25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25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25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25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25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25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25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25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25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25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25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25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25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25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25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25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25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25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25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25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25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25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25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25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25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25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25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25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25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25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25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25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25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25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25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25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25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25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25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25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25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25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25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25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25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25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25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25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25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25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25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25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25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25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25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25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25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25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25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25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25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25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25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25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25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25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25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25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25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25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25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25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25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25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25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25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25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25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25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25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25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25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25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25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25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25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25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25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25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25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25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25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25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25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25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25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25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25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25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25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25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25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25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25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25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25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25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25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25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25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25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25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25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25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25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25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25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25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25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25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25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25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25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25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25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25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25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25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25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25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25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25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25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25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25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25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25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25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25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25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25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25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25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25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25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25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25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25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25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25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25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25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25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25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25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25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25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25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25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25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25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25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25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25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25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25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25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25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25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25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25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25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25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25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25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25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25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25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25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25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25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25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25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25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25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25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25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25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25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25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25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25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25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25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E006D02EFB7524E92A31806A20933C4" ma:contentTypeVersion="16" ma:contentTypeDescription="Crée un document." ma:contentTypeScope="" ma:versionID="0e9e021c327d8551a1f55b1299a1ead0">
  <xsd:schema xmlns:xsd="http://www.w3.org/2001/XMLSchema" xmlns:xs="http://www.w3.org/2001/XMLSchema" xmlns:p="http://schemas.microsoft.com/office/2006/metadata/properties" xmlns:ns2="7f778677-e8d3-4866-966d-dd352b4d4b95" xmlns:ns3="655929c3-d7c5-4e51-b5f8-f25933e16e57" targetNamespace="http://schemas.microsoft.com/office/2006/metadata/properties" ma:root="true" ma:fieldsID="2136bc5999714f027c7596c726032f96" ns2:_="" ns3:_="">
    <xsd:import namespace="7f778677-e8d3-4866-966d-dd352b4d4b95"/>
    <xsd:import namespace="655929c3-d7c5-4e51-b5f8-f25933e16e5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778677-e8d3-4866-966d-dd352b4d4b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Balises d’images" ma:readOnly="false" ma:fieldId="{5cf76f15-5ced-4ddc-b409-7134ff3c332f}" ma:taxonomyMulti="true" ma:sspId="c31a7892-0253-4b23-af1e-d16b272054b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5929c3-d7c5-4e51-b5f8-f25933e16e5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b035bd7a-0690-4dae-a8f1-713ab1cfbd47}" ma:internalName="TaxCatchAll" ma:showField="CatchAllData" ma:web="655929c3-d7c5-4e51-b5f8-f25933e16e5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025F396-F520-4214-B137-FFBC1F0B94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f778677-e8d3-4866-966d-dd352b4d4b95"/>
    <ds:schemaRef ds:uri="655929c3-d7c5-4e51-b5f8-f25933e16e5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6CB8604-1778-4425-9497-BFC15C0CA2D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Kevin Brice</cp:lastModifiedBy>
  <dcterms:created xsi:type="dcterms:W3CDTF">2021-02-01T08:22:39Z</dcterms:created>
  <dcterms:modified xsi:type="dcterms:W3CDTF">2023-02-21T14:42:50Z</dcterms:modified>
</cp:coreProperties>
</file>