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34-R-FARGEVIEILLE-ARA(03)-BOURBONNAIS-Moisset-StChristophe/"/>
    </mc:Choice>
  </mc:AlternateContent>
  <xr:revisionPtr revIDLastSave="0" documentId="13_ncr:1_{07A07762-C90C-A446-BAE9-1CEB3BE97163}" xr6:coauthVersionLast="47" xr6:coauthVersionMax="47" xr10:uidLastSave="{00000000-0000-0000-0000-000000000000}"/>
  <bookViews>
    <workbookView xWindow="0" yWindow="76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6" l="1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I20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<sst xmlns="http://schemas.openxmlformats.org/spreadsheetml/2006/main" count="1171" uniqueCount="324">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</sst>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291.16879923463807</c:v>
                </c:pt>
                <c:pt idx="30">
                  <c:v>319.0817165802228</c:v>
                </c:pt>
                <c:pt idx="31">
                  <c:v>346.94058697312926</c:v>
                </c:pt>
                <c:pt idx="32">
                  <c:v>374.75035649360046</c:v>
                </c:pt>
                <c:pt idx="33">
                  <c:v>402.51517743471459</c:v>
                </c:pt>
                <c:pt idx="34">
                  <c:v>430.23858280289238</c:v>
                </c:pt>
                <c:pt idx="35">
                  <c:v>457.92361345472062</c:v>
                </c:pt>
                <c:pt idx="36">
                  <c:v>382.03503582506374</c:v>
                </c:pt>
                <c:pt idx="37">
                  <c:v>409.19922205124931</c:v>
                </c:pt>
                <c:pt idx="38">
                  <c:v>436.32447725278081</c:v>
                </c:pt>
                <c:pt idx="39">
                  <c:v>463.41355924810631</c:v>
                </c:pt>
                <c:pt idx="40">
                  <c:v>490.46887740764811</c:v>
                </c:pt>
                <c:pt idx="41">
                  <c:v>517.49255386051084</c:v>
                </c:pt>
                <c:pt idx="42">
                  <c:v>544.48647125175012</c:v>
                </c:pt>
                <c:pt idx="43">
                  <c:v>452.07459634378012</c:v>
                </c:pt>
                <c:pt idx="44">
                  <c:v>478.09239623400498</c:v>
                </c:pt>
                <c:pt idx="45">
                  <c:v>504.08010035598892</c:v>
                </c:pt>
                <c:pt idx="46">
                  <c:v>530.03947668561852</c:v>
                </c:pt>
                <c:pt idx="47">
                  <c:v>555.97210607718159</c:v>
                </c:pt>
                <c:pt idx="48">
                  <c:v>581.87941004696052</c:v>
                </c:pt>
                <c:pt idx="49">
                  <c:v>607.76267335393834</c:v>
                </c:pt>
                <c:pt idx="50">
                  <c:v>489.54893460980605</c:v>
                </c:pt>
                <c:pt idx="51">
                  <c:v>504.90661562915557</c:v>
                </c:pt>
                <c:pt idx="52">
                  <c:v>520.25442043468991</c:v>
                </c:pt>
                <c:pt idx="53">
                  <c:v>535.59268129398095</c:v>
                </c:pt>
                <c:pt idx="54">
                  <c:v>550.9217099001927</c:v>
                </c:pt>
                <c:pt idx="55">
                  <c:v>566.24179919493929</c:v>
                </c:pt>
                <c:pt idx="56">
                  <c:v>581.55322498369048</c:v>
                </c:pt>
                <c:pt idx="57">
                  <c:v>596.85624737228284</c:v>
                </c:pt>
                <c:pt idx="58">
                  <c:v>612.15111204851871</c:v>
                </c:pt>
                <c:pt idx="59">
                  <c:v>627.43805142908616</c:v>
                </c:pt>
                <c:pt idx="60">
                  <c:v>642.71728568895799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G45" sqref="A43:G45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2.35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0.5</v>
      </c>
      <c r="D9" s="33">
        <f t="shared" ref="D9:D18" si="0">C9*$C$5</f>
        <v>1.175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164</v>
      </c>
      <c r="C10" s="32">
        <v>0.5</v>
      </c>
      <c r="D10" s="33">
        <f t="shared" si="0"/>
        <v>1.175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2.35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19</v>
      </c>
      <c r="B36" s="60">
        <v>154.44</v>
      </c>
      <c r="C36" s="60">
        <v>0</v>
      </c>
      <c r="D36" s="60">
        <v>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8.1284210526315785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21</v>
      </c>
      <c r="B37" s="60">
        <v>195.15</v>
      </c>
      <c r="C37" s="60">
        <v>1</v>
      </c>
      <c r="D37" s="60">
        <v>64.58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20.355000000000004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28</v>
      </c>
      <c r="B38" s="60">
        <v>281.86</v>
      </c>
      <c r="C38" s="60">
        <v>2</v>
      </c>
      <c r="D38" s="60">
        <v>68</v>
      </c>
      <c r="E38" s="51">
        <v>0.4</v>
      </c>
      <c r="F38" s="51">
        <v>0.34</v>
      </c>
      <c r="G38" s="51">
        <v>0.26</v>
      </c>
      <c r="H38" s="51"/>
      <c r="I38" s="53">
        <f t="shared" si="1"/>
        <v>21.612857142857145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377.12</v>
      </c>
      <c r="C39" s="60">
        <v>3</v>
      </c>
      <c r="D39" s="60">
        <v>86.68</v>
      </c>
      <c r="E39" s="51">
        <v>0.5</v>
      </c>
      <c r="F39" s="51">
        <v>0.28000000000000003</v>
      </c>
      <c r="G39" s="51">
        <v>0.22</v>
      </c>
      <c r="H39" s="51"/>
      <c r="I39" s="49">
        <f t="shared" si="1"/>
        <v>23.322857142857142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42</v>
      </c>
      <c r="B40" s="60">
        <v>450.23</v>
      </c>
      <c r="C40" s="60">
        <v>4</v>
      </c>
      <c r="D40" s="60">
        <v>99.98</v>
      </c>
      <c r="E40" s="51">
        <v>0.6</v>
      </c>
      <c r="F40" s="51">
        <v>0.22</v>
      </c>
      <c r="G40" s="51">
        <v>0.18</v>
      </c>
      <c r="H40" s="51"/>
      <c r="I40" s="49">
        <f t="shared" si="1"/>
        <v>22.82714285714286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49</v>
      </c>
      <c r="B41" s="60">
        <v>503.83</v>
      </c>
      <c r="C41" s="60">
        <v>5</v>
      </c>
      <c r="D41" s="60">
        <v>113</v>
      </c>
      <c r="E41" s="51">
        <v>0.7</v>
      </c>
      <c r="F41" s="51">
        <v>0.17</v>
      </c>
      <c r="G41" s="51">
        <v>0.13</v>
      </c>
      <c r="H41" s="51"/>
      <c r="I41" s="53">
        <f t="shared" si="1"/>
        <v>21.939999999999998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60</v>
      </c>
      <c r="B42" s="60">
        <v>533.49</v>
      </c>
      <c r="C42" s="60">
        <v>6</v>
      </c>
      <c r="D42" s="60">
        <v>533.49</v>
      </c>
      <c r="E42" s="51">
        <v>0.8</v>
      </c>
      <c r="F42" s="51">
        <v>0.11</v>
      </c>
      <c r="G42" s="51">
        <v>0.09</v>
      </c>
      <c r="H42" s="51"/>
      <c r="I42" s="53">
        <f t="shared" si="1"/>
        <v>12.969090909090911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Cèdre de l'Atlas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140</v>
      </c>
      <c r="C62" s="60">
        <v>1</v>
      </c>
      <c r="D62" s="60">
        <v>40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30</v>
      </c>
      <c r="B63" s="60">
        <v>210</v>
      </c>
      <c r="C63" s="60">
        <v>2</v>
      </c>
      <c r="D63" s="60">
        <v>50</v>
      </c>
      <c r="E63" s="51">
        <v>0.2</v>
      </c>
      <c r="F63" s="51">
        <v>0.56000000000000005</v>
      </c>
      <c r="G63" s="51">
        <v>0.35</v>
      </c>
      <c r="H63" s="51"/>
      <c r="I63" s="49">
        <f>IF(A63&lt;&gt;0,(B63-(B62-D62))/(A63-A62),"")</f>
        <v>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40</v>
      </c>
      <c r="B64" s="60">
        <v>300</v>
      </c>
      <c r="C64" s="60">
        <v>3</v>
      </c>
      <c r="D64" s="60">
        <v>50</v>
      </c>
      <c r="E64" s="51">
        <v>0.3</v>
      </c>
      <c r="F64" s="51">
        <v>0.39</v>
      </c>
      <c r="G64" s="51">
        <v>0.31</v>
      </c>
      <c r="H64" s="51"/>
      <c r="I64" s="49">
        <f>IF(A64&lt;&gt;0,(B64-(B63-D63))/(A64-A63),"")</f>
        <v>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50</v>
      </c>
      <c r="B65" s="60">
        <v>390</v>
      </c>
      <c r="C65" s="60">
        <v>4</v>
      </c>
      <c r="D65" s="60">
        <v>50</v>
      </c>
      <c r="E65" s="51">
        <v>0.4</v>
      </c>
      <c r="F65" s="51">
        <v>0.34</v>
      </c>
      <c r="G65" s="51">
        <v>0.26</v>
      </c>
      <c r="H65" s="51"/>
      <c r="I65" s="49">
        <f>IF(A65&lt;&gt;0,(B65-(B64-D64))/(A65-A64),"")</f>
        <v>14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60</v>
      </c>
      <c r="B66" s="60">
        <v>470</v>
      </c>
      <c r="C66" s="60">
        <v>5</v>
      </c>
      <c r="D66" s="60">
        <v>470</v>
      </c>
      <c r="E66" s="51">
        <v>0.5</v>
      </c>
      <c r="F66" s="51">
        <v>0.28000000000000003</v>
      </c>
      <c r="G66" s="51">
        <v>0.22</v>
      </c>
      <c r="H66" s="51"/>
      <c r="I66" s="49">
        <f t="shared" ref="I66:I81" si="2">IF(A66&lt;&gt;0,(B66-(B65-D65))/(A66-A65),"")</f>
        <v>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4" sqref="F14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Cèdre de l'Atlas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250.1520902752946</v>
      </c>
      <c r="T3" s="59">
        <f>IF('Données projet'!E9&gt;30,$R$33-$H$33,LOOKUP('Données projet'!$E$9,$A$3:$A$203,R3:R203)-LOOKUP('Données projet'!$E$9,$A$3:$A$203,$H$3:$H$203))</f>
        <v>258.01144895030291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141.51368882763865</v>
      </c>
      <c r="AO3" s="59">
        <f>IF('Données projet'!E10&gt;30,$AM$33-$H$33,LOOKUP('Données projet'!$E$10,$A$3:$A$203,AM3:AM203)-LOOKUP('Données projet'!$E$10,$A$3:$A$203,$H$3:$H$203))</f>
        <v>156.34514945935399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8.1284210526315785</v>
      </c>
      <c r="N4" s="13">
        <f>IF('Données projet'!$A$36&gt;35,N3+M4-V3,IF(A4&lt;'Données projet'!$A$36,$K$205^A4,IF(A4='Données projet'!$A$36,'Données projet'!$B$36,N3+M4-V3)))</f>
        <v>1.3037606943669584</v>
      </c>
      <c r="O4" s="13">
        <f>N4*VLOOKUP('Données projet'!$B$9,Paramètres!$A$1:$I$89,3,0)*VLOOKUP('Données projet'!$B$9,Paramètres!$A$1:$I$89,5,0)</f>
        <v>0.72880222815112972</v>
      </c>
      <c r="P4" s="13">
        <f>EXP(-1.0587+0.8836*LN(O4)+0.284)</f>
        <v>0.34846084744582984</v>
      </c>
      <c r="Q4" s="20">
        <f t="shared" ref="Q4:Q34" si="2">(O4+P4)*0.475*44/12</f>
        <v>1.876233189998038</v>
      </c>
      <c r="R4" s="59">
        <f t="shared" si="0"/>
        <v>295.20956652333138</v>
      </c>
      <c r="S4" s="59">
        <f ca="1">AVERAGE(OFFSET($R$3,0,0,'Données projet'!$E$9+1,1))-AVERAGE(OFFSET($H$3,0,0,'Données projet'!$E$9+1,1))</f>
        <v>250.1520902752946</v>
      </c>
      <c r="T4" s="59">
        <f>$T$3</f>
        <v>258.01144895030291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</v>
      </c>
      <c r="AI4" s="13">
        <f>IF('Données projet'!$A$62&gt;35,AI3+AH4-AQ3,IF(A4&lt;'Données projet'!$A$62,$AF$205^A4,IF(A4='Données projet'!$A$62,'Données projet'!$B$62,AI3+AH4-AQ3)))</f>
        <v>1.2802842468510145</v>
      </c>
      <c r="AJ4" s="13">
        <f>AI4*VLOOKUP('Données projet'!$B$10,Paramètres!$A$1:$I$89,3,0)*VLOOKUP('Données projet'!$B$10,Paramètres!$A$1:$I$89,5,0)</f>
        <v>0.59917302752627477</v>
      </c>
      <c r="AK4" s="13">
        <f>EXP(-1.0587+0.8836*LN(AJ4)+0.284)</f>
        <v>0.29308746006107994</v>
      </c>
      <c r="AL4" s="20">
        <f t="shared" ref="AL4:AL67" si="4">(AJ4+AK4)*0.475*44/12</f>
        <v>1.5540203492146427</v>
      </c>
      <c r="AM4" s="59">
        <f t="shared" ref="AM4:AM67" si="5">AL4+(AD4+AE4)*44/12</f>
        <v>294.88735368254794</v>
      </c>
      <c r="AN4" s="59">
        <f ca="1">AVERAGE(OFFSET($AM$3,0,0,'Données projet'!$E$10+1,1))-AVERAGE(OFFSET($H$3,0,0,'Données projet'!$E$10+1,1))</f>
        <v>141.51368882763865</v>
      </c>
      <c r="AO4" s="59">
        <f>$AO$3</f>
        <v>156.34514945935399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8.1284210526315785</v>
      </c>
      <c r="N5" s="13">
        <f>IF('Données projet'!$A$36&gt;35,N4+M5-V4,IF(A5&lt;'Données projet'!$A$36,$K$205^A5,IF(A5='Données projet'!$A$36,'Données projet'!$B$36,N4+M5-V4)))</f>
        <v>1.6997919481762136</v>
      </c>
      <c r="O5" s="13">
        <f>N5*VLOOKUP('Données projet'!$B$9,Paramètres!$A$1:$I$89,3,0)*VLOOKUP('Données projet'!$B$9,Paramètres!$A$1:$I$89,5,0)</f>
        <v>0.95018369903050348</v>
      </c>
      <c r="P5" s="13">
        <f t="shared" ref="P5:P68" si="33">EXP(-1.0587+0.8836*LN(O5)+0.284)</f>
        <v>0.44049688197714731</v>
      </c>
      <c r="Q5" s="20">
        <f t="shared" si="2"/>
        <v>2.4221020119216585</v>
      </c>
      <c r="R5" s="59">
        <f t="shared" si="0"/>
        <v>295.75543534525497</v>
      </c>
      <c r="S5" s="59">
        <f ca="1">AVERAGE(OFFSET($R$3,0,0,'Données projet'!$E$9+1,1))-AVERAGE(OFFSET($H$3,0,0,'Données projet'!$E$9+1,1))</f>
        <v>250.1520902752946</v>
      </c>
      <c r="T5" s="59">
        <f t="shared" ref="T5:T68" si="34">$T$3</f>
        <v>258.01144895030291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</v>
      </c>
      <c r="AI5" s="13">
        <f>IF('Données projet'!$A$62&gt;35,AI4+AH5-AQ4,IF(A5&lt;'Données projet'!$A$62,$AF$205^A5,IF(A5='Données projet'!$A$62,'Données projet'!$B$62,AI4+AH5-AQ4)))</f>
        <v>1.6391277527348693</v>
      </c>
      <c r="AJ5" s="13">
        <f>AI5*VLOOKUP('Données projet'!$B$10,Paramètres!$A$1:$I$89,3,0)*VLOOKUP('Données projet'!$B$10,Paramètres!$A$1:$I$89,5,0)</f>
        <v>0.76711178827991888</v>
      </c>
      <c r="AK5" s="13">
        <f t="shared" ref="AK5:AK68" si="35">EXP(-1.0587+0.8836*LN(AJ5)+0.284)</f>
        <v>0.36459706970828532</v>
      </c>
      <c r="AL5" s="20">
        <f t="shared" si="4"/>
        <v>1.9710595943294553</v>
      </c>
      <c r="AM5" s="59">
        <f t="shared" si="5"/>
        <v>295.30439292766278</v>
      </c>
      <c r="AN5" s="59">
        <f ca="1">AVERAGE(OFFSET($AM$3,0,0,'Données projet'!$E$10+1,1))-AVERAGE(OFFSET($H$3,0,0,'Données projet'!$E$10+1,1))</f>
        <v>141.51368882763865</v>
      </c>
      <c r="AO5" s="59">
        <f t="shared" ref="AO5:AO68" si="36">$AO$3</f>
        <v>156.34514945935399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8.1284210526315785</v>
      </c>
      <c r="N6" s="13">
        <f>IF('Données projet'!$A$36&gt;35,N5+M6-V5,IF(A6&lt;'Données projet'!$A$36,$K$205^A6,IF(A6='Données projet'!$A$36,'Données projet'!$B$36,N5+M6-V5)))</f>
        <v>2.2161219306335851</v>
      </c>
      <c r="O6" s="13">
        <f>N6*VLOOKUP('Données projet'!$B$9,Paramètres!$A$1:$I$89,3,0)*VLOOKUP('Données projet'!$B$9,Paramètres!$A$1:$I$89,5,0)</f>
        <v>1.2388121592241741</v>
      </c>
      <c r="P6" s="13">
        <f t="shared" si="33"/>
        <v>0.5568416206694583</v>
      </c>
      <c r="Q6" s="20">
        <f t="shared" si="2"/>
        <v>3.1274303333147428</v>
      </c>
      <c r="R6" s="59">
        <f t="shared" si="0"/>
        <v>296.46076366664806</v>
      </c>
      <c r="S6" s="59">
        <f ca="1">AVERAGE(OFFSET($R$3,0,0,'Données projet'!$E$9+1,1))-AVERAGE(OFFSET($H$3,0,0,'Données projet'!$E$9+1,1))</f>
        <v>250.1520902752946</v>
      </c>
      <c r="T6" s="59">
        <f t="shared" si="34"/>
        <v>258.01144895030291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</v>
      </c>
      <c r="AI6" s="13">
        <f>IF('Données projet'!$A$62&gt;35,AI5+AH6-AQ5,IF(A6&lt;'Données projet'!$A$62,$AF$205^A6,IF(A6='Données projet'!$A$62,'Données projet'!$B$62,AI5+AH6-AQ5)))</f>
        <v>2.098549440402758</v>
      </c>
      <c r="AJ6" s="13">
        <f>AI6*VLOOKUP('Données projet'!$B$10,Paramètres!$A$1:$I$89,3,0)*VLOOKUP('Données projet'!$B$10,Paramètres!$A$1:$I$89,5,0)</f>
        <v>0.98212113810849078</v>
      </c>
      <c r="AK6" s="13">
        <f t="shared" si="35"/>
        <v>0.453554113888616</v>
      </c>
      <c r="AL6" s="20">
        <f t="shared" si="4"/>
        <v>2.5004677305616276</v>
      </c>
      <c r="AM6" s="59">
        <f t="shared" si="5"/>
        <v>295.83380106389495</v>
      </c>
      <c r="AN6" s="59">
        <f ca="1">AVERAGE(OFFSET($AM$3,0,0,'Données projet'!$E$10+1,1))-AVERAGE(OFFSET($H$3,0,0,'Données projet'!$E$10+1,1))</f>
        <v>141.51368882763865</v>
      </c>
      <c r="AO6" s="59">
        <f t="shared" si="36"/>
        <v>156.34514945935399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8.1284210526315785</v>
      </c>
      <c r="N7" s="13">
        <f>IF('Données projet'!$A$36&gt;35,N6+M7-V6,IF(A7&lt;'Données projet'!$A$36,$K$205^A7,IF(A7='Données projet'!$A$36,'Données projet'!$B$36,N6+M7-V6)))</f>
        <v>2.8892926670846877</v>
      </c>
      <c r="O7" s="13">
        <f>N7*VLOOKUP('Données projet'!$B$9,Paramètres!$A$1:$I$89,3,0)*VLOOKUP('Données projet'!$B$9,Paramètres!$A$1:$I$89,5,0)</f>
        <v>1.6151146009003403</v>
      </c>
      <c r="P7" s="13">
        <f t="shared" si="33"/>
        <v>0.70391551721783874</v>
      </c>
      <c r="Q7" s="20">
        <f t="shared" si="2"/>
        <v>4.0389774557224944</v>
      </c>
      <c r="R7" s="59">
        <f t="shared" si="0"/>
        <v>297.3723107890558</v>
      </c>
      <c r="S7" s="59">
        <f ca="1">AVERAGE(OFFSET($R$3,0,0,'Données projet'!$E$9+1,1))-AVERAGE(OFFSET($H$3,0,0,'Données projet'!$E$9+1,1))</f>
        <v>250.1520902752946</v>
      </c>
      <c r="T7" s="59">
        <f t="shared" si="34"/>
        <v>258.01144895030291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</v>
      </c>
      <c r="AI7" s="13">
        <f>IF('Données projet'!$A$62&gt;35,AI6+AH7-AQ6,IF(A7&lt;'Données projet'!$A$62,$AF$205^A7,IF(A7='Données projet'!$A$62,'Données projet'!$B$62,AI6+AH7-AQ6)))</f>
        <v>2.6867397897856629</v>
      </c>
      <c r="AJ7" s="13">
        <f>AI7*VLOOKUP('Données projet'!$B$10,Paramètres!$A$1:$I$89,3,0)*VLOOKUP('Données projet'!$B$10,Paramètres!$A$1:$I$89,5,0)</f>
        <v>1.2573942216196903</v>
      </c>
      <c r="AK7" s="13">
        <f t="shared" si="35"/>
        <v>0.56421554454586698</v>
      </c>
      <c r="AL7" s="20">
        <f t="shared" si="4"/>
        <v>3.1726370094050123</v>
      </c>
      <c r="AM7" s="59">
        <f t="shared" si="5"/>
        <v>296.50597034273835</v>
      </c>
      <c r="AN7" s="59">
        <f ca="1">AVERAGE(OFFSET($AM$3,0,0,'Données projet'!$E$10+1,1))-AVERAGE(OFFSET($H$3,0,0,'Données projet'!$E$10+1,1))</f>
        <v>141.51368882763865</v>
      </c>
      <c r="AO7" s="59">
        <f t="shared" si="36"/>
        <v>156.34514945935399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8.1284210526315785</v>
      </c>
      <c r="N8" s="13">
        <f>IF('Données projet'!$A$36&gt;35,N7+M8-V7,IF(A8&lt;'Données projet'!$A$36,$K$205^A8,IF(A8='Données projet'!$A$36,'Données projet'!$B$36,N7+M8-V7)))</f>
        <v>3.7669462138676937</v>
      </c>
      <c r="O8" s="13">
        <f>N8*VLOOKUP('Données projet'!$B$9,Paramètres!$A$1:$I$89,3,0)*VLOOKUP('Données projet'!$B$9,Paramètres!$A$1:$I$89,5,0)</f>
        <v>2.1057229335520411</v>
      </c>
      <c r="P8" s="13">
        <f t="shared" si="33"/>
        <v>0.88983480578256757</v>
      </c>
      <c r="Q8" s="20">
        <f t="shared" si="2"/>
        <v>5.2172630626744434</v>
      </c>
      <c r="R8" s="59">
        <f t="shared" si="0"/>
        <v>298.55059639600773</v>
      </c>
      <c r="S8" s="59">
        <f ca="1">AVERAGE(OFFSET($R$3,0,0,'Données projet'!$E$9+1,1))-AVERAGE(OFFSET($H$3,0,0,'Données projet'!$E$9+1,1))</f>
        <v>250.1520902752946</v>
      </c>
      <c r="T8" s="59">
        <f t="shared" si="34"/>
        <v>258.01144895030291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</v>
      </c>
      <c r="AI8" s="13">
        <f>IF('Données projet'!$A$62&gt;35,AI7+AH8-AQ7,IF(A8&lt;'Données projet'!$A$62,$AF$205^A8,IF(A8='Données projet'!$A$62,'Données projet'!$B$62,AI7+AH8-AQ7)))</f>
        <v>3.4397906282503903</v>
      </c>
      <c r="AJ8" s="13">
        <f>AI8*VLOOKUP('Données projet'!$B$10,Paramètres!$A$1:$I$89,3,0)*VLOOKUP('Données projet'!$B$10,Paramètres!$A$1:$I$89,5,0)</f>
        <v>1.6098220140211825</v>
      </c>
      <c r="AK8" s="13">
        <f t="shared" si="35"/>
        <v>0.70187695571286812</v>
      </c>
      <c r="AL8" s="20">
        <f t="shared" si="4"/>
        <v>4.0262090389534713</v>
      </c>
      <c r="AM8" s="59">
        <f t="shared" si="5"/>
        <v>297.3595423722868</v>
      </c>
      <c r="AN8" s="59">
        <f ca="1">AVERAGE(OFFSET($AM$3,0,0,'Données projet'!$E$10+1,1))-AVERAGE(OFFSET($H$3,0,0,'Données projet'!$E$10+1,1))</f>
        <v>141.51368882763865</v>
      </c>
      <c r="AO8" s="59">
        <f t="shared" si="36"/>
        <v>156.34514945935399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8.1284210526315785</v>
      </c>
      <c r="N9" s="13">
        <f>IF('Données projet'!$A$36&gt;35,N8+M9-V8,IF(A9&lt;'Données projet'!$A$36,$K$205^A9,IF(A9='Données projet'!$A$36,'Données projet'!$B$36,N8+M9-V8)))</f>
        <v>4.911196411435129</v>
      </c>
      <c r="O9" s="13">
        <f>N9*VLOOKUP('Données projet'!$B$9,Paramètres!$A$1:$I$89,3,0)*VLOOKUP('Données projet'!$B$9,Paramètres!$A$1:$I$89,5,0)</f>
        <v>2.7453587939922373</v>
      </c>
      <c r="P9" s="13">
        <f t="shared" si="33"/>
        <v>1.1248593932289483</v>
      </c>
      <c r="Q9" s="20">
        <f t="shared" si="2"/>
        <v>6.7406300094102312</v>
      </c>
      <c r="R9" s="59">
        <f t="shared" si="0"/>
        <v>300.07396334274353</v>
      </c>
      <c r="S9" s="59">
        <f ca="1">AVERAGE(OFFSET($R$3,0,0,'Données projet'!$E$9+1,1))-AVERAGE(OFFSET($H$3,0,0,'Données projet'!$E$9+1,1))</f>
        <v>250.1520902752946</v>
      </c>
      <c r="T9" s="59">
        <f t="shared" si="34"/>
        <v>258.01144895030291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</v>
      </c>
      <c r="AI9" s="13">
        <f>IF('Données projet'!$A$62&gt;35,AI8+AH9-AQ8,IF(A9&lt;'Données projet'!$A$62,$AF$205^A9,IF(A9='Données projet'!$A$62,'Données projet'!$B$62,AI8+AH9-AQ8)))</f>
        <v>4.4039097538147285</v>
      </c>
      <c r="AJ9" s="13">
        <f>AI9*VLOOKUP('Données projet'!$B$10,Paramètres!$A$1:$I$89,3,0)*VLOOKUP('Données projet'!$B$10,Paramètres!$A$1:$I$89,5,0)</f>
        <v>2.0610297647852929</v>
      </c>
      <c r="AK9" s="13">
        <f t="shared" si="35"/>
        <v>0.87312599896069631</v>
      </c>
      <c r="AL9" s="20">
        <f t="shared" si="4"/>
        <v>5.1103212885242639</v>
      </c>
      <c r="AM9" s="59">
        <f t="shared" si="5"/>
        <v>298.4436546218576</v>
      </c>
      <c r="AN9" s="59">
        <f ca="1">AVERAGE(OFFSET($AM$3,0,0,'Données projet'!$E$10+1,1))-AVERAGE(OFFSET($H$3,0,0,'Données projet'!$E$10+1,1))</f>
        <v>141.51368882763865</v>
      </c>
      <c r="AO9" s="59">
        <f t="shared" si="36"/>
        <v>156.34514945935399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8.1284210526315785</v>
      </c>
      <c r="N10" s="13">
        <f>IF('Données projet'!$A$36&gt;35,N9+M10-V9,IF(A10&lt;'Données projet'!$A$36,$K$205^A10,IF(A10='Données projet'!$A$36,'Données projet'!$B$36,N9+M10-V9)))</f>
        <v>6.403024843545178</v>
      </c>
      <c r="O10" s="13">
        <f>N10*VLOOKUP('Données projet'!$B$9,Paramètres!$A$1:$I$89,3,0)*VLOOKUP('Données projet'!$B$9,Paramètres!$A$1:$I$89,5,0)</f>
        <v>3.5792908875417546</v>
      </c>
      <c r="P10" s="13">
        <f t="shared" si="33"/>
        <v>1.4219590493795295</v>
      </c>
      <c r="Q10" s="20">
        <f t="shared" si="2"/>
        <v>8.7105103068045704</v>
      </c>
      <c r="R10" s="59">
        <f t="shared" si="0"/>
        <v>302.04384364013788</v>
      </c>
      <c r="S10" s="59">
        <f ca="1">AVERAGE(OFFSET($R$3,0,0,'Données projet'!$E$9+1,1))-AVERAGE(OFFSET($H$3,0,0,'Données projet'!$E$9+1,1))</f>
        <v>250.1520902752946</v>
      </c>
      <c r="T10" s="59">
        <f t="shared" si="34"/>
        <v>258.01144895030291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</v>
      </c>
      <c r="AI10" s="13">
        <f>IF('Données projet'!$A$62&gt;35,AI9+AH10-AQ9,IF(A10&lt;'Données projet'!$A$62,$AF$205^A10,IF(A10='Données projet'!$A$62,'Données projet'!$B$62,AI9+AH10-AQ9)))</f>
        <v>5.6382562823625264</v>
      </c>
      <c r="AJ10" s="13">
        <f>AI10*VLOOKUP('Données projet'!$B$10,Paramètres!$A$1:$I$89,3,0)*VLOOKUP('Données projet'!$B$10,Paramètres!$A$1:$I$89,5,0)</f>
        <v>2.6387039401456627</v>
      </c>
      <c r="AK10" s="13">
        <f t="shared" si="35"/>
        <v>1.0861576289918606</v>
      </c>
      <c r="AL10" s="20">
        <f t="shared" si="4"/>
        <v>6.4874672329145193</v>
      </c>
      <c r="AM10" s="59">
        <f t="shared" si="5"/>
        <v>299.82080056624784</v>
      </c>
      <c r="AN10" s="59">
        <f ca="1">AVERAGE(OFFSET($AM$3,0,0,'Données projet'!$E$10+1,1))-AVERAGE(OFFSET($H$3,0,0,'Données projet'!$E$10+1,1))</f>
        <v>141.51368882763865</v>
      </c>
      <c r="AO10" s="59">
        <f t="shared" si="36"/>
        <v>156.34514945935399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8.1284210526315785</v>
      </c>
      <c r="N11" s="13">
        <f>IF('Données projet'!$A$36&gt;35,N10+M11-V10,IF(A11&lt;'Données projet'!$A$36,$K$205^A11,IF(A11='Données projet'!$A$36,'Données projet'!$B$36,N10+M11-V10)))</f>
        <v>8.3480121160693486</v>
      </c>
      <c r="O11" s="13">
        <f>N11*VLOOKUP('Données projet'!$B$9,Paramètres!$A$1:$I$89,3,0)*VLOOKUP('Données projet'!$B$9,Paramètres!$A$1:$I$89,5,0)</f>
        <v>4.6665387728827659</v>
      </c>
      <c r="P11" s="13">
        <f t="shared" si="33"/>
        <v>1.7975291403383375</v>
      </c>
      <c r="Q11" s="20">
        <f t="shared" si="2"/>
        <v>11.258251615526754</v>
      </c>
      <c r="R11" s="59">
        <f t="shared" si="0"/>
        <v>304.59158494886009</v>
      </c>
      <c r="S11" s="59">
        <f ca="1">AVERAGE(OFFSET($R$3,0,0,'Données projet'!$E$9+1,1))-AVERAGE(OFFSET($H$3,0,0,'Données projet'!$E$9+1,1))</f>
        <v>250.1520902752946</v>
      </c>
      <c r="T11" s="59">
        <f t="shared" si="34"/>
        <v>258.01144895030291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</v>
      </c>
      <c r="AI11" s="13">
        <f>IF('Données projet'!$A$62&gt;35,AI10+AH11-AQ10,IF(A11&lt;'Données projet'!$A$62,$AF$205^A11,IF(A11='Données projet'!$A$62,'Données projet'!$B$62,AI10+AH11-AQ10)))</f>
        <v>7.2185706980175075</v>
      </c>
      <c r="AJ11" s="13">
        <f>AI11*VLOOKUP('Données projet'!$B$10,Paramètres!$A$1:$I$89,3,0)*VLOOKUP('Données projet'!$B$10,Paramètres!$A$1:$I$89,5,0)</f>
        <v>3.3782910866721938</v>
      </c>
      <c r="AK11" s="13">
        <f t="shared" si="35"/>
        <v>1.3511662651455716</v>
      </c>
      <c r="AL11" s="20">
        <f t="shared" si="4"/>
        <v>8.2371382210826081</v>
      </c>
      <c r="AM11" s="59">
        <f t="shared" si="5"/>
        <v>301.57047155441592</v>
      </c>
      <c r="AN11" s="59">
        <f ca="1">AVERAGE(OFFSET($AM$3,0,0,'Données projet'!$E$10+1,1))-AVERAGE(OFFSET($H$3,0,0,'Données projet'!$E$10+1,1))</f>
        <v>141.51368882763865</v>
      </c>
      <c r="AO11" s="59">
        <f t="shared" si="36"/>
        <v>156.34514945935399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8.1284210526315785</v>
      </c>
      <c r="N12" s="13">
        <f>IF('Données projet'!$A$36&gt;35,N11+M12-V11,IF(A12&lt;'Données projet'!$A$36,$K$205^A12,IF(A12='Données projet'!$A$36,'Données projet'!$B$36,N11+M12-V11)))</f>
        <v>10.883810073030356</v>
      </c>
      <c r="O12" s="13">
        <f>N12*VLOOKUP('Données projet'!$B$9,Paramètres!$A$1:$I$89,3,0)*VLOOKUP('Données projet'!$B$9,Paramètres!$A$1:$I$89,5,0)</f>
        <v>6.084049830823969</v>
      </c>
      <c r="P12" s="13">
        <f t="shared" si="33"/>
        <v>2.272295402441705</v>
      </c>
      <c r="Q12" s="20">
        <f t="shared" si="2"/>
        <v>14.553967947937716</v>
      </c>
      <c r="R12" s="59">
        <f t="shared" si="0"/>
        <v>307.88730128127105</v>
      </c>
      <c r="S12" s="59">
        <f ca="1">AVERAGE(OFFSET($R$3,0,0,'Données projet'!$E$9+1,1))-AVERAGE(OFFSET($H$3,0,0,'Données projet'!$E$9+1,1))</f>
        <v>250.1520902752946</v>
      </c>
      <c r="T12" s="59">
        <f t="shared" si="34"/>
        <v>258.01144895030291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</v>
      </c>
      <c r="AI12" s="13">
        <f>IF('Données projet'!$A$62&gt;35,AI11+AH12-AQ11,IF(A12&lt;'Données projet'!$A$62,$AF$205^A12,IF(A12='Données projet'!$A$62,'Données projet'!$B$62,AI11+AH12-AQ11)))</f>
        <v>9.2418223494521463</v>
      </c>
      <c r="AJ12" s="13">
        <f>AI12*VLOOKUP('Données projet'!$B$10,Paramètres!$A$1:$I$89,3,0)*VLOOKUP('Données projet'!$B$10,Paramètres!$A$1:$I$89,5,0)</f>
        <v>4.3251728595436045</v>
      </c>
      <c r="AK12" s="13">
        <f t="shared" si="35"/>
        <v>1.6808336353186117</v>
      </c>
      <c r="AL12" s="20">
        <f t="shared" si="4"/>
        <v>10.460461311885025</v>
      </c>
      <c r="AM12" s="59">
        <f t="shared" si="5"/>
        <v>303.79379464521833</v>
      </c>
      <c r="AN12" s="59">
        <f ca="1">AVERAGE(OFFSET($AM$3,0,0,'Données projet'!$E$10+1,1))-AVERAGE(OFFSET($H$3,0,0,'Données projet'!$E$10+1,1))</f>
        <v>141.51368882763865</v>
      </c>
      <c r="AO12" s="59">
        <f t="shared" si="36"/>
        <v>156.34514945935399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8.1284210526315785</v>
      </c>
      <c r="N13" s="13">
        <f>IF('Données projet'!$A$36&gt;35,N12+M13-V12,IF(A13&lt;'Données projet'!$A$36,$K$205^A13,IF(A13='Données projet'!$A$36,'Données projet'!$B$36,N12+M13-V12)))</f>
        <v>14.189883778172153</v>
      </c>
      <c r="O13" s="13">
        <f>N13*VLOOKUP('Données projet'!$B$9,Paramètres!$A$1:$I$89,3,0)*VLOOKUP('Données projet'!$B$9,Paramètres!$A$1:$I$89,5,0)</f>
        <v>7.9321450319982336</v>
      </c>
      <c r="P13" s="13">
        <f t="shared" si="33"/>
        <v>2.8724576865473512</v>
      </c>
      <c r="Q13" s="20">
        <f t="shared" si="2"/>
        <v>18.818016401466895</v>
      </c>
      <c r="R13" s="59">
        <f t="shared" si="0"/>
        <v>312.15134973480019</v>
      </c>
      <c r="S13" s="59">
        <f ca="1">AVERAGE(OFFSET($R$3,0,0,'Données projet'!$E$9+1,1))-AVERAGE(OFFSET($H$3,0,0,'Données projet'!$E$9+1,1))</f>
        <v>250.1520902752946</v>
      </c>
      <c r="T13" s="59">
        <f t="shared" si="34"/>
        <v>258.01144895030291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</v>
      </c>
      <c r="AI13" s="13">
        <f>IF('Données projet'!$A$62&gt;35,AI12+AH13-AQ12,IF(A13&lt;'Données projet'!$A$62,$AF$205^A13,IF(A13='Données projet'!$A$62,'Données projet'!$B$62,AI12+AH13-AQ12)))</f>
        <v>11.832159566199214</v>
      </c>
      <c r="AJ13" s="13">
        <f>AI13*VLOOKUP('Données projet'!$B$10,Paramètres!$A$1:$I$89,3,0)*VLOOKUP('Données projet'!$B$10,Paramètres!$A$1:$I$89,5,0)</f>
        <v>5.5374506769812326</v>
      </c>
      <c r="AK13" s="13">
        <f t="shared" si="35"/>
        <v>2.090935647593303</v>
      </c>
      <c r="AL13" s="20">
        <f t="shared" si="4"/>
        <v>13.286106181967314</v>
      </c>
      <c r="AM13" s="59">
        <f t="shared" si="5"/>
        <v>306.61943951530066</v>
      </c>
      <c r="AN13" s="59">
        <f ca="1">AVERAGE(OFFSET($AM$3,0,0,'Données projet'!$E$10+1,1))-AVERAGE(OFFSET($H$3,0,0,'Données projet'!$E$10+1,1))</f>
        <v>141.51368882763865</v>
      </c>
      <c r="AO13" s="59">
        <f t="shared" si="36"/>
        <v>156.34514945935399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8.1284210526315785</v>
      </c>
      <c r="N14" s="13">
        <f>IF('Données projet'!$A$36&gt;35,N13+M14-V13,IF(A14&lt;'Données projet'!$A$36,$K$205^A14,IF(A14='Données projet'!$A$36,'Données projet'!$B$36,N13+M14-V13)))</f>
        <v>18.500212727616166</v>
      </c>
      <c r="O14" s="13">
        <f>N14*VLOOKUP('Données projet'!$B$9,Paramètres!$A$1:$I$89,3,0)*VLOOKUP('Données projet'!$B$9,Paramètres!$A$1:$I$89,5,0)</f>
        <v>10.341618914737436</v>
      </c>
      <c r="P14" s="13">
        <f t="shared" si="33"/>
        <v>3.6311357898884093</v>
      </c>
      <c r="Q14" s="20">
        <f t="shared" si="2"/>
        <v>24.335881110556681</v>
      </c>
      <c r="R14" s="59">
        <f t="shared" si="0"/>
        <v>317.66921444388998</v>
      </c>
      <c r="S14" s="59">
        <f ca="1">AVERAGE(OFFSET($R$3,0,0,'Données projet'!$E$9+1,1))-AVERAGE(OFFSET($H$3,0,0,'Données projet'!$E$9+1,1))</f>
        <v>250.1520902752946</v>
      </c>
      <c r="T14" s="59">
        <f t="shared" si="34"/>
        <v>258.01144895030291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</v>
      </c>
      <c r="AI14" s="13">
        <f>IF('Données projet'!$A$62&gt;35,AI13+AH14-AQ13,IF(A14&lt;'Données projet'!$A$62,$AF$205^A14,IF(A14='Données projet'!$A$62,'Données projet'!$B$62,AI13+AH14-AQ13)))</f>
        <v>15.148527498832387</v>
      </c>
      <c r="AJ14" s="13">
        <f>AI14*VLOOKUP('Données projet'!$B$10,Paramètres!$A$1:$I$89,3,0)*VLOOKUP('Données projet'!$B$10,Paramètres!$A$1:$I$89,5,0)</f>
        <v>7.0895108694535569</v>
      </c>
      <c r="AK14" s="13">
        <f t="shared" si="35"/>
        <v>2.6010973308180407</v>
      </c>
      <c r="AL14" s="20">
        <f t="shared" si="4"/>
        <v>16.877809282139697</v>
      </c>
      <c r="AM14" s="59">
        <f t="shared" si="5"/>
        <v>310.21114261547302</v>
      </c>
      <c r="AN14" s="59">
        <f ca="1">AVERAGE(OFFSET($AM$3,0,0,'Données projet'!$E$10+1,1))-AVERAGE(OFFSET($H$3,0,0,'Données projet'!$E$10+1,1))</f>
        <v>141.51368882763865</v>
      </c>
      <c r="AO14" s="59">
        <f t="shared" si="36"/>
        <v>156.34514945935399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8.1284210526315785</v>
      </c>
      <c r="N15" s="13">
        <f>IF('Données projet'!$A$36&gt;35,N14+M15-V14,IF(A15&lt;'Données projet'!$A$36,$K$205^A15,IF(A15='Données projet'!$A$36,'Données projet'!$B$36,N14+M15-V14)))</f>
        <v>24.119850191693295</v>
      </c>
      <c r="O15" s="13">
        <f>N15*VLOOKUP('Données projet'!$B$9,Paramètres!$A$1:$I$89,3,0)*VLOOKUP('Données projet'!$B$9,Paramètres!$A$1:$I$89,5,0)</f>
        <v>13.482996257156552</v>
      </c>
      <c r="P15" s="13">
        <f t="shared" si="33"/>
        <v>4.5901971633416325</v>
      </c>
      <c r="Q15" s="20">
        <f t="shared" si="2"/>
        <v>31.477478540701004</v>
      </c>
      <c r="R15" s="59">
        <f t="shared" si="0"/>
        <v>324.8108118740343</v>
      </c>
      <c r="S15" s="59">
        <f ca="1">AVERAGE(OFFSET($R$3,0,0,'Données projet'!$E$9+1,1))-AVERAGE(OFFSET($H$3,0,0,'Données projet'!$E$9+1,1))</f>
        <v>250.1520902752946</v>
      </c>
      <c r="T15" s="59">
        <f t="shared" si="34"/>
        <v>258.01144895030291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</v>
      </c>
      <c r="AI15" s="13">
        <f>IF('Données projet'!$A$62&gt;35,AI14+AH15-AQ14,IF(A15&lt;'Données projet'!$A$62,$AF$205^A15,IF(A15='Données projet'!$A$62,'Données projet'!$B$62,AI14+AH15-AQ14)))</f>
        <v>19.394421119744504</v>
      </c>
      <c r="AJ15" s="13">
        <f>AI15*VLOOKUP('Données projet'!$B$10,Paramètres!$A$1:$I$89,3,0)*VLOOKUP('Données projet'!$B$10,Paramètres!$A$1:$I$89,5,0)</f>
        <v>9.0765890840404282</v>
      </c>
      <c r="AK15" s="13">
        <f t="shared" si="35"/>
        <v>3.2357319710801056</v>
      </c>
      <c r="AL15" s="20">
        <f t="shared" si="4"/>
        <v>21.443959171001595</v>
      </c>
      <c r="AM15" s="59">
        <f t="shared" si="5"/>
        <v>314.77729250433492</v>
      </c>
      <c r="AN15" s="59">
        <f ca="1">AVERAGE(OFFSET($AM$3,0,0,'Données projet'!$E$10+1,1))-AVERAGE(OFFSET($H$3,0,0,'Données projet'!$E$10+1,1))</f>
        <v>141.51368882763865</v>
      </c>
      <c r="AO15" s="59">
        <f t="shared" si="36"/>
        <v>156.34514945935399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8.1284210526315785</v>
      </c>
      <c r="N16" s="13">
        <f>IF('Données projet'!$A$36&gt;35,N15+M16-V15,IF(A16&lt;'Données projet'!$A$36,$K$205^A16,IF(A16='Données projet'!$A$36,'Données projet'!$B$36,N15+M16-V15)))</f>
        <v>31.446512633949066</v>
      </c>
      <c r="O16" s="13">
        <f>N16*VLOOKUP('Données projet'!$B$9,Paramètres!$A$1:$I$89,3,0)*VLOOKUP('Données projet'!$B$9,Paramètres!$A$1:$I$89,5,0)</f>
        <v>17.578600562377527</v>
      </c>
      <c r="P16" s="13">
        <f t="shared" si="33"/>
        <v>5.8025673556529513</v>
      </c>
      <c r="Q16" s="20">
        <f t="shared" si="2"/>
        <v>40.722200790569744</v>
      </c>
      <c r="R16" s="59">
        <f t="shared" si="0"/>
        <v>334.05553412390304</v>
      </c>
      <c r="S16" s="59">
        <f ca="1">AVERAGE(OFFSET($R$3,0,0,'Données projet'!$E$9+1,1))-AVERAGE(OFFSET($H$3,0,0,'Données projet'!$E$9+1,1))</f>
        <v>250.1520902752946</v>
      </c>
      <c r="T16" s="59">
        <f t="shared" si="34"/>
        <v>258.01144895030291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</v>
      </c>
      <c r="AI16" s="13">
        <f>IF('Données projet'!$A$62&gt;35,AI15+AH16-AQ15,IF(A16&lt;'Données projet'!$A$62,$AF$205^A16,IF(A16='Données projet'!$A$62,'Données projet'!$B$62,AI15+AH16-AQ15)))</f>
        <v>24.830371836403501</v>
      </c>
      <c r="AJ16" s="13">
        <f>AI16*VLOOKUP('Données projet'!$B$10,Paramètres!$A$1:$I$89,3,0)*VLOOKUP('Données projet'!$B$10,Paramètres!$A$1:$I$89,5,0)</f>
        <v>11.620614019436839</v>
      </c>
      <c r="AK16" s="13">
        <f t="shared" si="35"/>
        <v>4.0252093855239011</v>
      </c>
      <c r="AL16" s="20">
        <f t="shared" si="4"/>
        <v>27.249809096973291</v>
      </c>
      <c r="AM16" s="59">
        <f t="shared" si="5"/>
        <v>320.58314243030662</v>
      </c>
      <c r="AN16" s="59">
        <f ca="1">AVERAGE(OFFSET($AM$3,0,0,'Données projet'!$E$10+1,1))-AVERAGE(OFFSET($H$3,0,0,'Données projet'!$E$10+1,1))</f>
        <v>141.51368882763865</v>
      </c>
      <c r="AO16" s="59">
        <f t="shared" si="36"/>
        <v>156.34514945935399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8.1284210526315785</v>
      </c>
      <c r="N17" s="13">
        <f>IF('Données projet'!$A$36&gt;35,N16+M17-V16,IF(A17&lt;'Données projet'!$A$36,$K$205^A17,IF(A17='Données projet'!$A$36,'Données projet'!$B$36,N16+M17-V16)))</f>
        <v>40.998727147056762</v>
      </c>
      <c r="O17" s="13">
        <f>N17*VLOOKUP('Données projet'!$B$9,Paramètres!$A$1:$I$89,3,0)*VLOOKUP('Données projet'!$B$9,Paramètres!$A$1:$I$89,5,0)</f>
        <v>22.918288475204729</v>
      </c>
      <c r="P17" s="13">
        <f t="shared" si="33"/>
        <v>7.3351506958750976</v>
      </c>
      <c r="Q17" s="20">
        <f t="shared" si="2"/>
        <v>52.691406556297359</v>
      </c>
      <c r="R17" s="59">
        <f t="shared" si="0"/>
        <v>346.02473988963067</v>
      </c>
      <c r="S17" s="59">
        <f ca="1">AVERAGE(OFFSET($R$3,0,0,'Données projet'!$E$9+1,1))-AVERAGE(OFFSET($H$3,0,0,'Données projet'!$E$9+1,1))</f>
        <v>250.1520902752946</v>
      </c>
      <c r="T17" s="59">
        <f t="shared" si="34"/>
        <v>258.01144895030291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</v>
      </c>
      <c r="AI17" s="13">
        <f>IF('Données projet'!$A$62&gt;35,AI16+AH17-AQ16,IF(A17&lt;'Données projet'!$A$62,$AF$205^A17,IF(A17='Données projet'!$A$62,'Données projet'!$B$62,AI16+AH17-AQ16)))</f>
        <v>31.789933905600495</v>
      </c>
      <c r="AJ17" s="13">
        <f>AI17*VLOOKUP('Données projet'!$B$10,Paramètres!$A$1:$I$89,3,0)*VLOOKUP('Données projet'!$B$10,Paramètres!$A$1:$I$89,5,0)</f>
        <v>14.877689067821033</v>
      </c>
      <c r="AK17" s="13">
        <f t="shared" si="35"/>
        <v>5.0073092401102919</v>
      </c>
      <c r="AL17" s="20">
        <f t="shared" si="4"/>
        <v>34.633038719647061</v>
      </c>
      <c r="AM17" s="59">
        <f t="shared" si="5"/>
        <v>327.96637205298038</v>
      </c>
      <c r="AN17" s="59">
        <f ca="1">AVERAGE(OFFSET($AM$3,0,0,'Données projet'!$E$10+1,1))-AVERAGE(OFFSET($H$3,0,0,'Données projet'!$E$10+1,1))</f>
        <v>141.51368882763865</v>
      </c>
      <c r="AO17" s="59">
        <f t="shared" si="36"/>
        <v>156.34514945935399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8.1284210526315785</v>
      </c>
      <c r="N18" s="13">
        <f>IF('Données projet'!$A$36&gt;35,N17+M18-V17,IF(A18&lt;'Données projet'!$A$36,$K$205^A18,IF(A18='Données projet'!$A$36,'Données projet'!$B$36,N17+M18-V17)))</f>
        <v>53.452528973408192</v>
      </c>
      <c r="O18" s="13">
        <f>N18*VLOOKUP('Données projet'!$B$9,Paramètres!$A$1:$I$89,3,0)*VLOOKUP('Données projet'!$B$9,Paramètres!$A$1:$I$89,5,0)</f>
        <v>29.879963696135178</v>
      </c>
      <c r="P18" s="13">
        <f t="shared" si="33"/>
        <v>9.2725223911067207</v>
      </c>
      <c r="Q18" s="20">
        <f t="shared" si="2"/>
        <v>68.190579935279629</v>
      </c>
      <c r="R18" s="59">
        <f t="shared" si="0"/>
        <v>361.52391326861294</v>
      </c>
      <c r="S18" s="59">
        <f ca="1">AVERAGE(OFFSET($R$3,0,0,'Données projet'!$E$9+1,1))-AVERAGE(OFFSET($H$3,0,0,'Données projet'!$E$9+1,1))</f>
        <v>250.1520902752946</v>
      </c>
      <c r="T18" s="59">
        <f t="shared" si="34"/>
        <v>258.01144895030291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</v>
      </c>
      <c r="AI18" s="13">
        <f>IF('Données projet'!$A$62&gt;35,AI17+AH18-AQ17,IF(A18&lt;'Données projet'!$A$62,$AF$205^A18,IF(A18='Données projet'!$A$62,'Données projet'!$B$62,AI17+AH18-AQ17)))</f>
        <v>40.70015158777526</v>
      </c>
      <c r="AJ18" s="13">
        <f>AI18*VLOOKUP('Données projet'!$B$10,Paramètres!$A$1:$I$89,3,0)*VLOOKUP('Données projet'!$B$10,Paramètres!$A$1:$I$89,5,0)</f>
        <v>19.04767094307882</v>
      </c>
      <c r="AK18" s="13">
        <f t="shared" si="35"/>
        <v>6.2290289584104483</v>
      </c>
      <c r="AL18" s="20">
        <f t="shared" si="4"/>
        <v>44.023585661760478</v>
      </c>
      <c r="AM18" s="59">
        <f t="shared" si="5"/>
        <v>337.35691899509379</v>
      </c>
      <c r="AN18" s="59">
        <f ca="1">AVERAGE(OFFSET($AM$3,0,0,'Données projet'!$E$10+1,1))-AVERAGE(OFFSET($H$3,0,0,'Données projet'!$E$10+1,1))</f>
        <v>141.51368882763865</v>
      </c>
      <c r="AO18" s="59">
        <f t="shared" si="36"/>
        <v>156.34514945935399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8.1284210526315785</v>
      </c>
      <c r="N19" s="13">
        <f>IF('Données projet'!$A$36&gt;35,N18+M19-V18,IF(A19&lt;'Données projet'!$A$36,$K$205^A19,IF(A19='Données projet'!$A$36,'Données projet'!$B$36,N18+M19-V18)))</f>
        <v>69.689306290040648</v>
      </c>
      <c r="O19" s="13">
        <f>N19*VLOOKUP('Données projet'!$B$9,Paramètres!$A$1:$I$89,3,0)*VLOOKUP('Données projet'!$B$9,Paramètres!$A$1:$I$89,5,0)</f>
        <v>38.956322216132719</v>
      </c>
      <c r="P19" s="13">
        <f t="shared" si="33"/>
        <v>11.721595786972175</v>
      </c>
      <c r="Q19" s="20">
        <f t="shared" si="2"/>
        <v>88.264040522074353</v>
      </c>
      <c r="R19" s="59">
        <f t="shared" si="0"/>
        <v>381.59737385540768</v>
      </c>
      <c r="S19" s="59">
        <f ca="1">AVERAGE(OFFSET($R$3,0,0,'Données projet'!$E$9+1,1))-AVERAGE(OFFSET($H$3,0,0,'Données projet'!$E$9+1,1))</f>
        <v>250.1520902752946</v>
      </c>
      <c r="T19" s="59">
        <f t="shared" si="34"/>
        <v>258.01144895030291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</v>
      </c>
      <c r="AI19" s="13">
        <f>IF('Données projet'!$A$62&gt;35,AI18+AH19-AQ18,IF(A19&lt;'Données projet'!$A$62,$AF$205^A19,IF(A19='Données projet'!$A$62,'Données projet'!$B$62,AI18+AH19-AQ18)))</f>
        <v>52.107762922276969</v>
      </c>
      <c r="AJ19" s="13">
        <f>AI19*VLOOKUP('Données projet'!$B$10,Paramètres!$A$1:$I$89,3,0)*VLOOKUP('Données projet'!$B$10,Paramètres!$A$1:$I$89,5,0)</f>
        <v>24.386433047625623</v>
      </c>
      <c r="AK19" s="13">
        <f t="shared" si="35"/>
        <v>7.7488327371331547</v>
      </c>
      <c r="AL19" s="20">
        <f t="shared" si="4"/>
        <v>55.968921241788202</v>
      </c>
      <c r="AM19" s="59">
        <f t="shared" si="5"/>
        <v>349.30225457512154</v>
      </c>
      <c r="AN19" s="59">
        <f ca="1">AVERAGE(OFFSET($AM$3,0,0,'Données projet'!$E$10+1,1))-AVERAGE(OFFSET($H$3,0,0,'Données projet'!$E$10+1,1))</f>
        <v>141.51368882763865</v>
      </c>
      <c r="AO19" s="59">
        <f t="shared" si="36"/>
        <v>156.34514945935399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8.1284210526315785</v>
      </c>
      <c r="N20" s="13">
        <f>IF('Données projet'!$A$36&gt;35,N19+M20-V19,IF(A20&lt;'Données projet'!$A$36,$K$205^A20,IF(A20='Données projet'!$A$36,'Données projet'!$B$36,N19+M20-V19)))</f>
        <v>90.858178358655039</v>
      </c>
      <c r="O20" s="13">
        <f>N20*VLOOKUP('Données projet'!$B$9,Paramètres!$A$1:$I$89,3,0)*VLOOKUP('Données projet'!$B$9,Paramètres!$A$1:$I$89,5,0)</f>
        <v>50.789721702488166</v>
      </c>
      <c r="P20" s="13">
        <f t="shared" si="33"/>
        <v>14.817522352379566</v>
      </c>
      <c r="Q20" s="20">
        <f t="shared" si="2"/>
        <v>114.26595006222796</v>
      </c>
      <c r="R20" s="59">
        <f t="shared" si="0"/>
        <v>407.59928339556126</v>
      </c>
      <c r="S20" s="59">
        <f ca="1">AVERAGE(OFFSET($R$3,0,0,'Données projet'!$E$9+1,1))-AVERAGE(OFFSET($H$3,0,0,'Données projet'!$E$9+1,1))</f>
        <v>250.1520902752946</v>
      </c>
      <c r="T20" s="59">
        <f t="shared" si="34"/>
        <v>258.01144895030291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</v>
      </c>
      <c r="AI20" s="13">
        <f>IF('Données projet'!$A$62&gt;35,AI19+AH20-AQ19,IF(A20&lt;'Données projet'!$A$62,$AF$205^A20,IF(A20='Données projet'!$A$62,'Données projet'!$B$62,AI19+AH20-AQ19)))</f>
        <v>66.712748008038588</v>
      </c>
      <c r="AJ20" s="13">
        <f>AI20*VLOOKUP('Données projet'!$B$10,Paramètres!$A$1:$I$89,3,0)*VLOOKUP('Données projet'!$B$10,Paramètres!$A$1:$I$89,5,0)</f>
        <v>31.221566067762058</v>
      </c>
      <c r="AK20" s="13">
        <f t="shared" si="35"/>
        <v>9.6394492928138327</v>
      </c>
      <c r="AL20" s="20">
        <f t="shared" si="4"/>
        <v>71.166268419669663</v>
      </c>
      <c r="AM20" s="59">
        <f t="shared" si="5"/>
        <v>364.49960175300299</v>
      </c>
      <c r="AN20" s="59">
        <f ca="1">AVERAGE(OFFSET($AM$3,0,0,'Données projet'!$E$10+1,1))-AVERAGE(OFFSET($H$3,0,0,'Données projet'!$E$10+1,1))</f>
        <v>141.51368882763865</v>
      </c>
      <c r="AO20" s="59">
        <f t="shared" si="36"/>
        <v>156.34514945935399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8.1284210526315785</v>
      </c>
      <c r="N21" s="13">
        <f>IF('Données projet'!$A$36&gt;35,N20+M21-V20,IF(A21&lt;'Données projet'!$A$36,$K$205^A21,IF(A21='Données projet'!$A$36,'Données projet'!$B$36,N20+M21-V20)))</f>
        <v>118.45732170579704</v>
      </c>
      <c r="O21" s="13">
        <f>N21*VLOOKUP('Données projet'!$B$9,Paramètres!$A$1:$I$89,3,0)*VLOOKUP('Données projet'!$B$9,Paramètres!$A$1:$I$89,5,0)</f>
        <v>66.217642833540552</v>
      </c>
      <c r="P21" s="13">
        <f t="shared" si="33"/>
        <v>18.731149977658681</v>
      </c>
      <c r="Q21" s="20">
        <f t="shared" si="2"/>
        <v>147.95248081283867</v>
      </c>
      <c r="R21" s="59">
        <f t="shared" si="0"/>
        <v>441.28581414617202</v>
      </c>
      <c r="S21" s="59">
        <f ca="1">AVERAGE(OFFSET($R$3,0,0,'Données projet'!$E$9+1,1))-AVERAGE(OFFSET($H$3,0,0,'Données projet'!$E$9+1,1))</f>
        <v>250.1520902752946</v>
      </c>
      <c r="T21" s="59">
        <f t="shared" si="34"/>
        <v>258.01144895030291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</v>
      </c>
      <c r="AI21" s="13">
        <f>IF('Données projet'!$A$62&gt;35,AI20+AH21-AQ20,IF(A21&lt;'Données projet'!$A$62,$AF$205^A21,IF(A21='Données projet'!$A$62,'Données projet'!$B$62,AI20+AH21-AQ20)))</f>
        <v>85.411280338833194</v>
      </c>
      <c r="AJ21" s="13">
        <f>AI21*VLOOKUP('Données projet'!$B$10,Paramètres!$A$1:$I$89,3,0)*VLOOKUP('Données projet'!$B$10,Paramètres!$A$1:$I$89,5,0)</f>
        <v>39.972479198573936</v>
      </c>
      <c r="AK21" s="13">
        <f t="shared" si="35"/>
        <v>11.991352223084183</v>
      </c>
      <c r="AL21" s="20">
        <f t="shared" si="4"/>
        <v>90.503673059387893</v>
      </c>
      <c r="AM21" s="59">
        <f t="shared" si="5"/>
        <v>383.83700639272121</v>
      </c>
      <c r="AN21" s="59">
        <f ca="1">AVERAGE(OFFSET($AM$3,0,0,'Données projet'!$E$10+1,1))-AVERAGE(OFFSET($H$3,0,0,'Données projet'!$E$10+1,1))</f>
        <v>141.51368882763865</v>
      </c>
      <c r="AO21" s="59">
        <f t="shared" si="36"/>
        <v>156.34514945935399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154.44</v>
      </c>
      <c r="L22" s="12">
        <f>VLOOKUP(A22,'Données projet'!$A$35:$I$55,9,0)</f>
        <v>8.1284210526315785</v>
      </c>
      <c r="M22" s="12">
        <f t="array" ref="M22">INDEX(L:L,MIN(IF(ISNUMBER(L22:L218),ROW(L22:L218),"")))</f>
        <v>8.1284210526315785</v>
      </c>
      <c r="N22" s="13">
        <f>IF('Données projet'!$A$36&gt;35,N21+M22-V21,IF(A22&lt;'Données projet'!$A$36,$K$205^A22,IF(A22='Données projet'!$A$36,'Données projet'!$B$36,N21+M22-V21)))</f>
        <v>154.44</v>
      </c>
      <c r="O22" s="13">
        <f>N22*VLOOKUP('Données projet'!$B$9,Paramètres!$A$1:$I$89,3,0)*VLOOKUP('Données projet'!$B$9,Paramètres!$A$1:$I$89,5,0)</f>
        <v>86.331959999999995</v>
      </c>
      <c r="P22" s="13">
        <f t="shared" si="33"/>
        <v>23.67845117029286</v>
      </c>
      <c r="Q22" s="20">
        <f t="shared" si="2"/>
        <v>191.60146612159338</v>
      </c>
      <c r="R22" s="59">
        <f t="shared" si="0"/>
        <v>484.93479945492669</v>
      </c>
      <c r="S22" s="59">
        <f ca="1">AVERAGE(OFFSET($R$3,0,0,'Données projet'!$E$9+1,1))-AVERAGE(OFFSET($H$3,0,0,'Données projet'!$E$9+1,1))</f>
        <v>250.1520902752946</v>
      </c>
      <c r="T22" s="59">
        <f t="shared" si="34"/>
        <v>258.01144895030291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0.30800000000000005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</v>
      </c>
      <c r="AI22" s="13">
        <f>IF('Données projet'!$A$62&gt;35,AI21+AH22-AQ21,IF(A22&lt;'Données projet'!$A$62,$AF$205^A22,IF(A22='Données projet'!$A$62,'Données projet'!$B$62,AI21+AH22-AQ21)))</f>
        <v>109.35071672118391</v>
      </c>
      <c r="AJ22" s="13">
        <f>AI22*VLOOKUP('Données projet'!$B$10,Paramètres!$A$1:$I$89,3,0)*VLOOKUP('Données projet'!$B$10,Paramètres!$A$1:$I$89,5,0)</f>
        <v>51.176135425514076</v>
      </c>
      <c r="AK22" s="13">
        <f t="shared" si="35"/>
        <v>14.917089531791261</v>
      </c>
      <c r="AL22" s="20">
        <f t="shared" si="4"/>
        <v>115.11236680064013</v>
      </c>
      <c r="AM22" s="59">
        <f t="shared" si="5"/>
        <v>408.44570013397345</v>
      </c>
      <c r="AN22" s="59">
        <f ca="1">AVERAGE(OFFSET($AM$3,0,0,'Données projet'!$E$10+1,1))-AVERAGE(OFFSET($H$3,0,0,'Données projet'!$E$10+1,1))</f>
        <v>141.51368882763865</v>
      </c>
      <c r="AO22" s="59">
        <f t="shared" si="36"/>
        <v>156.34514945935399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20.355000000000004</v>
      </c>
      <c r="N23" s="13">
        <f>IF('Données projet'!$A$36&gt;35,N22+M23-V22,IF(A23&lt;'Données projet'!$A$36,$K$205^A23,IF(A23='Données projet'!$A$36,'Données projet'!$B$36,N22+M23-V22)))</f>
        <v>174.79500000000002</v>
      </c>
      <c r="O23" s="13">
        <f>N23*VLOOKUP('Données projet'!$B$9,Paramètres!$A$1:$I$89,3,0)*VLOOKUP('Données projet'!$B$9,Paramètres!$A$1:$I$89,5,0)</f>
        <v>97.710405000000009</v>
      </c>
      <c r="P23" s="13">
        <f t="shared" si="33"/>
        <v>26.41579998765167</v>
      </c>
      <c r="Q23" s="20">
        <f t="shared" si="2"/>
        <v>216.18647368682664</v>
      </c>
      <c r="R23" s="59">
        <f t="shared" si="0"/>
        <v>509.51980702015999</v>
      </c>
      <c r="S23" s="59">
        <f ca="1">AVERAGE(OFFSET($R$3,0,0,'Données projet'!$E$9+1,1))-AVERAGE(OFFSET($H$3,0,0,'Données projet'!$E$9+1,1))</f>
        <v>250.1520902752946</v>
      </c>
      <c r="T23" s="59">
        <f t="shared" si="34"/>
        <v>258.01144895030291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140</v>
      </c>
      <c r="AG23" s="12">
        <f>VLOOKUP(A23,'Données projet'!$A$61:$I$81,9,0)</f>
        <v>7</v>
      </c>
      <c r="AH23" s="12">
        <f t="array" ref="AH23">INDEX(AG:AG,MIN(IF(ISNUMBER(AG23:AG219),ROW(AG23:AG219),"")))</f>
        <v>7</v>
      </c>
      <c r="AI23" s="13">
        <f>IF('Données projet'!$A$62&gt;35,AI22+AH23-AQ22,IF(A23&lt;'Données projet'!$A$62,$AF$205^A23,IF(A23='Données projet'!$A$62,'Données projet'!$B$62,AI22+AH23-AQ22)))</f>
        <v>140</v>
      </c>
      <c r="AJ23" s="13">
        <f>AI23*VLOOKUP('Données projet'!$B$10,Paramètres!$A$1:$I$89,3,0)*VLOOKUP('Données projet'!$B$10,Paramètres!$A$1:$I$89,5,0)</f>
        <v>65.52</v>
      </c>
      <c r="AK23" s="13">
        <f t="shared" si="35"/>
        <v>18.556669503136725</v>
      </c>
      <c r="AL23" s="20">
        <f t="shared" si="4"/>
        <v>146.43353271796309</v>
      </c>
      <c r="AM23" s="59">
        <f t="shared" si="5"/>
        <v>439.7668660512964</v>
      </c>
      <c r="AN23" s="59">
        <f ca="1">AVERAGE(OFFSET($AM$3,0,0,'Données projet'!$E$10+1,1))-AVERAGE(OFFSET($H$3,0,0,'Données projet'!$E$10+1,1))</f>
        <v>141.51368882763865</v>
      </c>
      <c r="AO23" s="59">
        <f t="shared" si="36"/>
        <v>156.34514945935399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0.30800000000000005</v>
      </c>
      <c r="AT23" s="16">
        <f>IF(ISNA(VLOOKUP(A23,'Données projet'!$A$61:$I$81,7,0)),0%,VLOOKUP(A23,'Données projet'!$A$61:$I$81,7,0))</f>
        <v>0.44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7.6185366162250032</v>
      </c>
      <c r="AW23" s="21">
        <f>EXP(-LN(2)/2)*AW22+(1-EXP(-LN(2)/2))/(LN(2)/2)*AQ23*AT23*VLOOKUP('Données projet'!$B$10,Paramètres!$A$1:$I$89,3,0)*0.475*44/12</f>
        <v>9.3259709882659934</v>
      </c>
      <c r="AX23" s="21">
        <f t="shared" si="6"/>
        <v>16.944507604490997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195.15</v>
      </c>
      <c r="L24" s="12">
        <f>VLOOKUP(A24,'Données projet'!$A$35:$I$55,9,0)</f>
        <v>20.355000000000004</v>
      </c>
      <c r="M24" s="12">
        <f t="array" ref="M24">INDEX(L:L,MIN(IF(ISNUMBER(L24:L220),ROW(L24:L220),"")))</f>
        <v>20.355000000000004</v>
      </c>
      <c r="N24" s="13">
        <f>IF('Données projet'!$A$36&gt;35,N23+M24-V23,IF(A24&lt;'Données projet'!$A$36,$K$205^A24,IF(A24='Données projet'!$A$36,'Données projet'!$B$36,N23+M24-V23)))</f>
        <v>195.15000000000003</v>
      </c>
      <c r="O24" s="13">
        <f>N24*VLOOKUP('Données projet'!$B$9,Paramètres!$A$1:$I$89,3,0)*VLOOKUP('Données projet'!$B$9,Paramètres!$A$1:$I$89,5,0)</f>
        <v>109.08885000000002</v>
      </c>
      <c r="P24" s="13">
        <f t="shared" si="33"/>
        <v>29.116206715124498</v>
      </c>
      <c r="Q24" s="20">
        <f t="shared" si="2"/>
        <v>240.70714044550854</v>
      </c>
      <c r="R24" s="59">
        <f t="shared" si="0"/>
        <v>534.04047377884183</v>
      </c>
      <c r="S24" s="59">
        <f ca="1">AVERAGE(OFFSET($R$3,0,0,'Données projet'!$E$9+1,1))-AVERAGE(OFFSET($H$3,0,0,'Données projet'!$E$9+1,1))</f>
        <v>250.1520902752946</v>
      </c>
      <c r="T24" s="59">
        <f t="shared" si="34"/>
        <v>258.01144895030291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64.58</v>
      </c>
      <c r="W24" s="16">
        <f>IF(ISNA(VLOOKUP(A24,'Données projet'!$A$35:$I$55,5,0)),0%,VLOOKUP(A24,'Données projet'!$A$35:$I$55,5,0)*VLOOKUP('Données projet'!$B$9,Paramètres!$A$1:$I$89,7,0))</f>
        <v>0.11000000000000001</v>
      </c>
      <c r="X24" s="16">
        <f>IF(ISNA(VLOOKUP(A24,'Données projet'!$A$35:$I$55,6,0)),0%,VLOOKUP(A24,'Données projet'!$A$35:$I$55,6,0)*VLOOKUP('Données projet'!$B$9,Paramètres!$A$1:$I$89,7,0))</f>
        <v>0.24750000000000003</v>
      </c>
      <c r="Y24" s="16">
        <f>IF(ISNA(VLOOKUP(A24,'Données projet'!$A$35:$I$55,7,0)),0%,VLOOKUP(A24,'Données projet'!$A$35:$I$55,7,0))</f>
        <v>0.35</v>
      </c>
      <c r="Z24" s="21">
        <f>EXP(-LN(2)/35)*Z23+(1-EXP(-LN(2)/35))/(LN(2)/35)*V24*W24*VLOOKUP('Données projet'!$B$9,Paramètres!$A$1:$I$89,3,0)*0.475*44/12</f>
        <v>5.2678195554102354</v>
      </c>
      <c r="AA24" s="21">
        <f>EXP(-LN(2)/25)*AA23+(1-EXP(-LN(2)/25))/(LN(2)/25)*Calculateur!V24*Calculateur!X24*VLOOKUP('Données projet'!$B$9,Paramètres!$A$1:$I$89,3,0)*0.475*44/12</f>
        <v>11.805925820903942</v>
      </c>
      <c r="AB24" s="21">
        <f>EXP(-LN(2)/2)*AB23+(1-EXP(-LN(2)/2))/(LN(2)/2)*V24*Y24*VLOOKUP('Données projet'!$B$9,Paramètres!$A$1:$I$89,3,0)*0.475*44/12</f>
        <v>14.305842261133805</v>
      </c>
      <c r="AC24" s="22">
        <f t="shared" si="3"/>
        <v>31.379587637447983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111</v>
      </c>
      <c r="AJ24" s="13">
        <f>AI24*VLOOKUP('Données projet'!$B$10,Paramètres!$A$1:$I$89,3,0)*VLOOKUP('Données projet'!$B$10,Paramètres!$A$1:$I$89,5,0)</f>
        <v>51.948</v>
      </c>
      <c r="AK24" s="13">
        <f t="shared" si="35"/>
        <v>15.115714645211892</v>
      </c>
      <c r="AL24" s="20">
        <f t="shared" si="4"/>
        <v>116.8026363404107</v>
      </c>
      <c r="AM24" s="59">
        <f t="shared" si="5"/>
        <v>410.135969673744</v>
      </c>
      <c r="AN24" s="59">
        <f ca="1">AVERAGE(OFFSET($AM$3,0,0,'Données projet'!$E$10+1,1))-AVERAGE(OFFSET($H$3,0,0,'Données projet'!$E$10+1,1))</f>
        <v>141.51368882763865</v>
      </c>
      <c r="AO24" s="59">
        <f t="shared" si="36"/>
        <v>156.34514945935399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7.4102073318129023</v>
      </c>
      <c r="AW24" s="21">
        <f>EXP(-LN(2)/2)*AW23+(1-EXP(-LN(2)/2))/(LN(2)/2)*AQ24*AT24*VLOOKUP('Données projet'!$B$10,Paramètres!$A$1:$I$89,3,0)*0.475*44/12</f>
        <v>6.5944573269518925</v>
      </c>
      <c r="AX24" s="21">
        <f t="shared" si="6"/>
        <v>14.004664658764796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21.612857142857145</v>
      </c>
      <c r="N25" s="13">
        <f>IF('Données projet'!$A$36&gt;35,N24+M25-V24,IF(A25&lt;'Données projet'!$A$36,$K$205^A25,IF(A25='Données projet'!$A$36,'Données projet'!$B$36,N24+M25-V24)))</f>
        <v>152.18285714285719</v>
      </c>
      <c r="O25" s="13">
        <f>N25*VLOOKUP('Données projet'!$B$9,Paramètres!$A$1:$I$89,3,0)*VLOOKUP('Données projet'!$B$9,Paramètres!$A$1:$I$89,5,0)</f>
        <v>85.070217142857175</v>
      </c>
      <c r="P25" s="13">
        <f t="shared" si="33"/>
        <v>23.372410230575955</v>
      </c>
      <c r="Q25" s="20">
        <f t="shared" si="2"/>
        <v>188.87090934206267</v>
      </c>
      <c r="R25" s="59">
        <f t="shared" si="0"/>
        <v>482.20424267539602</v>
      </c>
      <c r="S25" s="59">
        <f ca="1">AVERAGE(OFFSET($R$3,0,0,'Données projet'!$E$9+1,1))-AVERAGE(OFFSET($H$3,0,0,'Données projet'!$E$9+1,1))</f>
        <v>250.1520902752946</v>
      </c>
      <c r="T25" s="59">
        <f t="shared" si="34"/>
        <v>258.01144895030291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5.164520826981307</v>
      </c>
      <c r="AA25" s="21">
        <f>EXP(-LN(2)/25)*AA24+(1-EXP(-LN(2)/25))/(LN(2)/25)*Calculateur!V25*Calculateur!X25*VLOOKUP('Données projet'!$B$9,Paramètres!$A$1:$I$89,3,0)*0.475*44/12</f>
        <v>11.483092158484668</v>
      </c>
      <c r="AB25" s="21">
        <f>EXP(-LN(2)/2)*AB24+(1-EXP(-LN(2)/2))/(LN(2)/2)*V25*Y25*VLOOKUP('Données projet'!$B$9,Paramètres!$A$1:$I$89,3,0)*0.475*44/12</f>
        <v>10.115758073432806</v>
      </c>
      <c r="AC25" s="22">
        <f t="shared" si="3"/>
        <v>26.763371058898784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122</v>
      </c>
      <c r="AJ25" s="13">
        <f>AI25*VLOOKUP('Données projet'!$B$10,Paramètres!$A$1:$I$89,3,0)*VLOOKUP('Données projet'!$B$10,Paramètres!$A$1:$I$89,5,0)</f>
        <v>57.096000000000004</v>
      </c>
      <c r="AK25" s="13">
        <f t="shared" si="35"/>
        <v>16.431940248498016</v>
      </c>
      <c r="AL25" s="20">
        <f t="shared" si="4"/>
        <v>128.06116259946739</v>
      </c>
      <c r="AM25" s="59">
        <f t="shared" si="5"/>
        <v>421.39449593280074</v>
      </c>
      <c r="AN25" s="59">
        <f ca="1">AVERAGE(OFFSET($AM$3,0,0,'Données projet'!$E$10+1,1))-AVERAGE(OFFSET($H$3,0,0,'Données projet'!$E$10+1,1))</f>
        <v>141.51368882763865</v>
      </c>
      <c r="AO25" s="59">
        <f t="shared" si="36"/>
        <v>156.34514945935399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7.2075748226386107</v>
      </c>
      <c r="AW25" s="21">
        <f>EXP(-LN(2)/2)*AW24+(1-EXP(-LN(2)/2))/(LN(2)/2)*AQ25*AT25*VLOOKUP('Données projet'!$B$10,Paramètres!$A$1:$I$89,3,0)*0.475*44/12</f>
        <v>4.6629854941329976</v>
      </c>
      <c r="AX25" s="21">
        <f t="shared" si="6"/>
        <v>11.870560316771609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21.612857142857145</v>
      </c>
      <c r="N26" s="13">
        <f>IF('Données projet'!$A$36&gt;35,N25+M26-V25,IF(A26&lt;'Données projet'!$A$36,$K$205^A26,IF(A26='Données projet'!$A$36,'Données projet'!$B$36,N25+M26-V25)))</f>
        <v>173.79571428571433</v>
      </c>
      <c r="O26" s="13">
        <f>N26*VLOOKUP('Données projet'!$B$9,Paramètres!$A$1:$I$89,3,0)*VLOOKUP('Données projet'!$B$9,Paramètres!$A$1:$I$89,5,0)</f>
        <v>97.15180428571432</v>
      </c>
      <c r="P26" s="13">
        <f t="shared" si="33"/>
        <v>26.282317303127122</v>
      </c>
      <c r="Q26" s="20">
        <f t="shared" si="2"/>
        <v>214.98109510056551</v>
      </c>
      <c r="R26" s="59">
        <f t="shared" si="0"/>
        <v>508.3144284338988</v>
      </c>
      <c r="S26" s="59">
        <f ca="1">AVERAGE(OFFSET($R$3,0,0,'Données projet'!$E$9+1,1))-AVERAGE(OFFSET($H$3,0,0,'Données projet'!$E$9+1,1))</f>
        <v>250.1520902752946</v>
      </c>
      <c r="T26" s="59">
        <f t="shared" si="34"/>
        <v>258.01144895030291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5.0632477236108668</v>
      </c>
      <c r="AA26" s="21">
        <f>EXP(-LN(2)/25)*AA25+(1-EXP(-LN(2)/25))/(LN(2)/25)*Calculateur!V26*Calculateur!X26*VLOOKUP('Données projet'!$B$9,Paramètres!$A$1:$I$89,3,0)*0.475*44/12</f>
        <v>11.169086399541333</v>
      </c>
      <c r="AB26" s="21">
        <f>EXP(-LN(2)/2)*AB25+(1-EXP(-LN(2)/2))/(LN(2)/2)*V26*Y26*VLOOKUP('Données projet'!$B$9,Paramètres!$A$1:$I$89,3,0)*0.475*44/12</f>
        <v>7.1529211305669032</v>
      </c>
      <c r="AC26" s="22">
        <f t="shared" si="3"/>
        <v>23.385255253719102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133</v>
      </c>
      <c r="AJ26" s="13">
        <f>AI26*VLOOKUP('Données projet'!$B$10,Paramètres!$A$1:$I$89,3,0)*VLOOKUP('Données projet'!$B$10,Paramètres!$A$1:$I$89,5,0)</f>
        <v>62.243999999999993</v>
      </c>
      <c r="AK26" s="13">
        <f t="shared" si="35"/>
        <v>17.734404526076432</v>
      </c>
      <c r="AL26" s="20">
        <f t="shared" si="4"/>
        <v>139.29572121624975</v>
      </c>
      <c r="AM26" s="59">
        <f t="shared" si="5"/>
        <v>432.62905454958309</v>
      </c>
      <c r="AN26" s="59">
        <f ca="1">AVERAGE(OFFSET($AM$3,0,0,'Données projet'!$E$10+1,1))-AVERAGE(OFFSET($H$3,0,0,'Données projet'!$E$10+1,1))</f>
        <v>141.51368882763865</v>
      </c>
      <c r="AO26" s="59">
        <f t="shared" si="36"/>
        <v>156.34514945935399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7.0104833100836714</v>
      </c>
      <c r="AW26" s="21">
        <f>EXP(-LN(2)/2)*AW25+(1-EXP(-LN(2)/2))/(LN(2)/2)*AQ26*AT26*VLOOKUP('Données projet'!$B$10,Paramètres!$A$1:$I$89,3,0)*0.475*44/12</f>
        <v>3.2972286634759471</v>
      </c>
      <c r="AX26" s="21">
        <f t="shared" si="6"/>
        <v>10.307711973559618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21.612857142857145</v>
      </c>
      <c r="N27" s="13">
        <f>IF('Données projet'!$A$36&gt;35,N26+M27-V26,IF(A27&lt;'Données projet'!$A$36,$K$205^A27,IF(A27='Données projet'!$A$36,'Données projet'!$B$36,N26+M27-V26)))</f>
        <v>195.40857142857146</v>
      </c>
      <c r="O27" s="13">
        <f>N27*VLOOKUP('Données projet'!$B$9,Paramètres!$A$1:$I$89,3,0)*VLOOKUP('Données projet'!$B$9,Paramètres!$A$1:$I$89,5,0)</f>
        <v>109.23339142857145</v>
      </c>
      <c r="P27" s="13">
        <f t="shared" si="33"/>
        <v>29.150292163037918</v>
      </c>
      <c r="Q27" s="20">
        <f t="shared" si="2"/>
        <v>241.018248922053</v>
      </c>
      <c r="R27" s="59">
        <f t="shared" si="0"/>
        <v>534.35158225538635</v>
      </c>
      <c r="S27" s="59">
        <f ca="1">AVERAGE(OFFSET($R$3,0,0,'Données projet'!$E$9+1,1))-AVERAGE(OFFSET($H$3,0,0,'Données projet'!$E$9+1,1))</f>
        <v>250.1520902752946</v>
      </c>
      <c r="T27" s="59">
        <f t="shared" si="34"/>
        <v>258.01144895030291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4.9639605240270273</v>
      </c>
      <c r="AA27" s="21">
        <f>EXP(-LN(2)/25)*AA26+(1-EXP(-LN(2)/25))/(LN(2)/25)*Calculateur!V27*Calculateur!X27*VLOOKUP('Données projet'!$B$9,Paramètres!$A$1:$I$89,3,0)*0.475*44/12</f>
        <v>10.863667144589149</v>
      </c>
      <c r="AB27" s="21">
        <f>EXP(-LN(2)/2)*AB26+(1-EXP(-LN(2)/2))/(LN(2)/2)*V27*Y27*VLOOKUP('Données projet'!$B$9,Paramètres!$A$1:$I$89,3,0)*0.475*44/12</f>
        <v>5.0578790367164039</v>
      </c>
      <c r="AC27" s="22">
        <f t="shared" si="3"/>
        <v>20.885506705332581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144</v>
      </c>
      <c r="AJ27" s="13">
        <f>AI27*VLOOKUP('Données projet'!$B$10,Paramètres!$A$1:$I$89,3,0)*VLOOKUP('Données projet'!$B$10,Paramètres!$A$1:$I$89,5,0)</f>
        <v>67.391999999999996</v>
      </c>
      <c r="AK27" s="13">
        <f t="shared" si="35"/>
        <v>19.02437502991798</v>
      </c>
      <c r="AL27" s="20">
        <f t="shared" si="4"/>
        <v>150.5085198437738</v>
      </c>
      <c r="AM27" s="59">
        <f t="shared" si="5"/>
        <v>443.84185317710711</v>
      </c>
      <c r="AN27" s="59">
        <f ca="1">AVERAGE(OFFSET($AM$3,0,0,'Données projet'!$E$10+1,1))-AVERAGE(OFFSET($H$3,0,0,'Données projet'!$E$10+1,1))</f>
        <v>141.51368882763865</v>
      </c>
      <c r="AO27" s="59">
        <f t="shared" si="36"/>
        <v>156.34514945935399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6.818781275304139</v>
      </c>
      <c r="AW27" s="21">
        <f>EXP(-LN(2)/2)*AW26+(1-EXP(-LN(2)/2))/(LN(2)/2)*AQ27*AT27*VLOOKUP('Données projet'!$B$10,Paramètres!$A$1:$I$89,3,0)*0.475*44/12</f>
        <v>2.3314927470664992</v>
      </c>
      <c r="AX27" s="21">
        <f t="shared" si="6"/>
        <v>9.1502740223706382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21.612857142857145</v>
      </c>
      <c r="N28" s="13">
        <f>IF('Données projet'!$A$36&gt;35,N27+M28-V27,IF(A28&lt;'Données projet'!$A$36,$K$205^A28,IF(A28='Données projet'!$A$36,'Données projet'!$B$36,N27+M28-V27)))</f>
        <v>217.0214285714286</v>
      </c>
      <c r="O28" s="13">
        <f>N28*VLOOKUP('Données projet'!$B$9,Paramètres!$A$1:$I$89,3,0)*VLOOKUP('Données projet'!$B$9,Paramètres!$A$1:$I$89,5,0)</f>
        <v>121.31497857142858</v>
      </c>
      <c r="P28" s="13">
        <f t="shared" si="33"/>
        <v>31.981501643962339</v>
      </c>
      <c r="Q28" s="20">
        <f t="shared" si="2"/>
        <v>266.99136970847246</v>
      </c>
      <c r="R28" s="59">
        <f t="shared" si="0"/>
        <v>560.32470304180583</v>
      </c>
      <c r="S28" s="59">
        <f ca="1">AVERAGE(OFFSET($R$3,0,0,'Données projet'!$E$9+1,1))-AVERAGE(OFFSET($H$3,0,0,'Données projet'!$E$9+1,1))</f>
        <v>250.1520902752946</v>
      </c>
      <c r="T28" s="59">
        <f t="shared" si="34"/>
        <v>258.01144895030291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4.8666202858678149</v>
      </c>
      <c r="AA28" s="21">
        <f>EXP(-LN(2)/25)*AA27+(1-EXP(-LN(2)/25))/(LN(2)/25)*Calculateur!V28*Calculateur!X28*VLOOKUP('Données projet'!$B$9,Paramètres!$A$1:$I$89,3,0)*0.475*44/12</f>
        <v>10.566599595224933</v>
      </c>
      <c r="AB28" s="21">
        <f>EXP(-LN(2)/2)*AB27+(1-EXP(-LN(2)/2))/(LN(2)/2)*V28*Y28*VLOOKUP('Données projet'!$B$9,Paramètres!$A$1:$I$89,3,0)*0.475*44/12</f>
        <v>3.5764605652834525</v>
      </c>
      <c r="AC28" s="22">
        <f t="shared" si="3"/>
        <v>19.009680446376198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11</v>
      </c>
      <c r="AI28" s="13">
        <f>IF('Données projet'!$A$62&gt;35,AI27+AH28-AQ27,IF(A28&lt;'Données projet'!$A$62,$AF$205^A28,IF(A28='Données projet'!$A$62,'Données projet'!$B$62,AI27+AH28-AQ27)))</f>
        <v>155</v>
      </c>
      <c r="AJ28" s="13">
        <f>AI28*VLOOKUP('Données projet'!$B$10,Paramètres!$A$1:$I$89,3,0)*VLOOKUP('Données projet'!$B$10,Paramètres!$A$1:$I$89,5,0)</f>
        <v>72.539999999999992</v>
      </c>
      <c r="AK28" s="13">
        <f t="shared" si="35"/>
        <v>20.302914660456786</v>
      </c>
      <c r="AL28" s="20">
        <f t="shared" si="4"/>
        <v>161.70140970029556</v>
      </c>
      <c r="AM28" s="59">
        <f t="shared" si="5"/>
        <v>455.03474303362884</v>
      </c>
      <c r="AN28" s="59">
        <f ca="1">AVERAGE(OFFSET($AM$3,0,0,'Données projet'!$E$10+1,1))-AVERAGE(OFFSET($H$3,0,0,'Données projet'!$E$10+1,1))</f>
        <v>141.51368882763865</v>
      </c>
      <c r="AO28" s="59">
        <f t="shared" si="36"/>
        <v>156.34514945935399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6.6323213427468248</v>
      </c>
      <c r="AW28" s="21">
        <f>EXP(-LN(2)/2)*AW27+(1-EXP(-LN(2)/2))/(LN(2)/2)*AQ28*AT28*VLOOKUP('Données projet'!$B$10,Paramètres!$A$1:$I$89,3,0)*0.475*44/12</f>
        <v>1.6486143317379738</v>
      </c>
      <c r="AX28" s="21">
        <f t="shared" si="6"/>
        <v>8.2809356744847982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21.612857142857145</v>
      </c>
      <c r="N29" s="13">
        <f>IF('Données projet'!$A$36&gt;35,N28+M29-V28,IF(A29&lt;'Données projet'!$A$36,$K$205^A29,IF(A29='Données projet'!$A$36,'Données projet'!$B$36,N28+M29-V28)))</f>
        <v>238.63428571428574</v>
      </c>
      <c r="O29" s="13">
        <f>N29*VLOOKUP('Données projet'!$B$9,Paramètres!$A$1:$I$89,3,0)*VLOOKUP('Données projet'!$B$9,Paramètres!$A$1:$I$89,5,0)</f>
        <v>133.39656571428571</v>
      </c>
      <c r="P29" s="13">
        <f t="shared" si="33"/>
        <v>34.780023938654864</v>
      </c>
      <c r="Q29" s="20">
        <f t="shared" si="2"/>
        <v>292.90756031220479</v>
      </c>
      <c r="R29" s="59">
        <f t="shared" si="0"/>
        <v>586.24089364553811</v>
      </c>
      <c r="S29" s="59">
        <f ca="1">AVERAGE(OFFSET($R$3,0,0,'Données projet'!$E$9+1,1))-AVERAGE(OFFSET($H$3,0,0,'Données projet'!$E$9+1,1))</f>
        <v>250.1520902752946</v>
      </c>
      <c r="T29" s="59">
        <f t="shared" si="34"/>
        <v>258.01144895030291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4.7711888304072216</v>
      </c>
      <c r="AA29" s="21">
        <f>EXP(-LN(2)/25)*AA28+(1-EXP(-LN(2)/25))/(LN(2)/25)*Calculateur!V29*Calculateur!X29*VLOOKUP('Données projet'!$B$9,Paramètres!$A$1:$I$89,3,0)*0.475*44/12</f>
        <v>10.277655373620185</v>
      </c>
      <c r="AB29" s="21">
        <f>EXP(-LN(2)/2)*AB28+(1-EXP(-LN(2)/2))/(LN(2)/2)*V29*Y29*VLOOKUP('Données projet'!$B$9,Paramètres!$A$1:$I$89,3,0)*0.475*44/12</f>
        <v>2.5289395183582024</v>
      </c>
      <c r="AC29" s="22">
        <f t="shared" si="3"/>
        <v>17.577783722385611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</v>
      </c>
      <c r="AI29" s="13">
        <f>IF('Données projet'!$A$62&gt;35,AI28+AH29-AQ28,IF(A29&lt;'Données projet'!$A$62,$AF$205^A29,IF(A29='Données projet'!$A$62,'Données projet'!$B$62,AI28+AH29-AQ28)))</f>
        <v>166</v>
      </c>
      <c r="AJ29" s="13">
        <f>AI29*VLOOKUP('Données projet'!$B$10,Paramètres!$A$1:$I$89,3,0)*VLOOKUP('Données projet'!$B$10,Paramètres!$A$1:$I$89,5,0)</f>
        <v>77.688000000000002</v>
      </c>
      <c r="AK29" s="13">
        <f t="shared" si="35"/>
        <v>21.570926907728207</v>
      </c>
      <c r="AL29" s="20">
        <f t="shared" si="4"/>
        <v>172.87596436429328</v>
      </c>
      <c r="AM29" s="59">
        <f t="shared" si="5"/>
        <v>466.2092976976266</v>
      </c>
      <c r="AN29" s="59">
        <f ca="1">AVERAGE(OFFSET($AM$3,0,0,'Données projet'!$E$10+1,1))-AVERAGE(OFFSET($H$3,0,0,'Données projet'!$E$10+1,1))</f>
        <v>141.51368882763865</v>
      </c>
      <c r="AO29" s="59">
        <f t="shared" si="36"/>
        <v>156.34514945935399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6.4509601668507921</v>
      </c>
      <c r="AW29" s="21">
        <f>EXP(-LN(2)/2)*AW28+(1-EXP(-LN(2)/2))/(LN(2)/2)*AQ29*AT29*VLOOKUP('Données projet'!$B$10,Paramètres!$A$1:$I$89,3,0)*0.475*44/12</f>
        <v>1.1657463735332498</v>
      </c>
      <c r="AX29" s="21">
        <f t="shared" si="6"/>
        <v>7.6167065403840422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21.612857142857145</v>
      </c>
      <c r="N30" s="13">
        <f>IF('Données projet'!$A$36&gt;35,N29+M30-V29,IF(A30&lt;'Données projet'!$A$36,$K$205^A30,IF(A30='Données projet'!$A$36,'Données projet'!$B$36,N29+M30-V29)))</f>
        <v>260.24714285714288</v>
      </c>
      <c r="O30" s="13">
        <f>N30*VLOOKUP('Données projet'!$B$9,Paramètres!$A$1:$I$89,3,0)*VLOOKUP('Données projet'!$B$9,Paramètres!$A$1:$I$89,5,0)</f>
        <v>145.47815285714287</v>
      </c>
      <c r="P30" s="13">
        <f t="shared" si="33"/>
        <v>37.54915616665005</v>
      </c>
      <c r="Q30" s="20">
        <f t="shared" si="2"/>
        <v>318.77256321643932</v>
      </c>
      <c r="R30" s="59">
        <f t="shared" si="0"/>
        <v>612.10589654977264</v>
      </c>
      <c r="S30" s="59">
        <f ca="1">AVERAGE(OFFSET($R$3,0,0,'Données projet'!$E$9+1,1))-AVERAGE(OFFSET($H$3,0,0,'Données projet'!$E$9+1,1))</f>
        <v>250.1520902752946</v>
      </c>
      <c r="T30" s="59">
        <f t="shared" si="34"/>
        <v>258.01144895030291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4.6776287275807702</v>
      </c>
      <c r="AA30" s="21">
        <f>EXP(-LN(2)/25)*AA29+(1-EXP(-LN(2)/25))/(LN(2)/25)*Calculateur!V30*Calculateur!X30*VLOOKUP('Données projet'!$B$9,Paramètres!$A$1:$I$89,3,0)*0.475*44/12</f>
        <v>9.9966123469501351</v>
      </c>
      <c r="AB30" s="21">
        <f>EXP(-LN(2)/2)*AB29+(1-EXP(-LN(2)/2))/(LN(2)/2)*V30*Y30*VLOOKUP('Données projet'!$B$9,Paramètres!$A$1:$I$89,3,0)*0.475*44/12</f>
        <v>1.7882302826417265</v>
      </c>
      <c r="AC30" s="22">
        <f t="shared" si="3"/>
        <v>16.462471357172632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</v>
      </c>
      <c r="AI30" s="13">
        <f>IF('Données projet'!$A$62&gt;35,AI29+AH30-AQ29,IF(A30&lt;'Données projet'!$A$62,$AF$205^A30,IF(A30='Données projet'!$A$62,'Données projet'!$B$62,AI29+AH30-AQ29)))</f>
        <v>177</v>
      </c>
      <c r="AJ30" s="13">
        <f>AI30*VLOOKUP('Données projet'!$B$10,Paramètres!$A$1:$I$89,3,0)*VLOOKUP('Données projet'!$B$10,Paramètres!$A$1:$I$89,5,0)</f>
        <v>82.835999999999999</v>
      </c>
      <c r="AK30" s="13">
        <f t="shared" si="35"/>
        <v>22.829188748646022</v>
      </c>
      <c r="AL30" s="20">
        <f t="shared" si="4"/>
        <v>184.03353707055848</v>
      </c>
      <c r="AM30" s="59">
        <f t="shared" si="5"/>
        <v>477.36687040389177</v>
      </c>
      <c r="AN30" s="59">
        <f ca="1">AVERAGE(OFFSET($AM$3,0,0,'Données projet'!$E$10+1,1))-AVERAGE(OFFSET($H$3,0,0,'Données projet'!$E$10+1,1))</f>
        <v>141.51368882763865</v>
      </c>
      <c r="AO30" s="59">
        <f t="shared" si="36"/>
        <v>156.34514945935399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6.2745583218470058</v>
      </c>
      <c r="AW30" s="21">
        <f>EXP(-LN(2)/2)*AW29+(1-EXP(-LN(2)/2))/(LN(2)/2)*AQ30*AT30*VLOOKUP('Données projet'!$B$10,Paramètres!$A$1:$I$89,3,0)*0.475*44/12</f>
        <v>0.824307165868987</v>
      </c>
      <c r="AX30" s="21">
        <f t="shared" si="6"/>
        <v>7.0988654877159929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281.86</v>
      </c>
      <c r="L31" s="12">
        <f>VLOOKUP(A31,'Données projet'!$A$35:$I$55,9,0)</f>
        <v>21.612857142857145</v>
      </c>
      <c r="M31" s="12">
        <f t="array" ref="M31">INDEX(L:L,MIN(IF(ISNUMBER(L31:L227),ROW(L31:L227),"")))</f>
        <v>21.612857142857145</v>
      </c>
      <c r="N31" s="13">
        <f>IF('Données projet'!$A$36&gt;35,N30+M31-V30,IF(A31&lt;'Données projet'!$A$36,$K$205^A31,IF(A31='Données projet'!$A$36,'Données projet'!$B$36,N30+M31-V30)))</f>
        <v>281.86</v>
      </c>
      <c r="O31" s="13">
        <f>N31*VLOOKUP('Données projet'!$B$9,Paramètres!$A$1:$I$89,3,0)*VLOOKUP('Données projet'!$B$9,Paramètres!$A$1:$I$89,5,0)</f>
        <v>157.55974000000001</v>
      </c>
      <c r="P31" s="13">
        <f t="shared" si="33"/>
        <v>40.291616590408985</v>
      </c>
      <c r="Q31" s="20">
        <f t="shared" si="2"/>
        <v>344.59111272829563</v>
      </c>
      <c r="R31" s="59">
        <f t="shared" si="0"/>
        <v>637.92444606162894</v>
      </c>
      <c r="S31" s="59">
        <f ca="1">AVERAGE(OFFSET($R$3,0,0,'Données projet'!$E$9+1,1))-AVERAGE(OFFSET($H$3,0,0,'Données projet'!$E$9+1,1))</f>
        <v>250.1520902752946</v>
      </c>
      <c r="T31" s="59">
        <f t="shared" si="34"/>
        <v>258.01144895030291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68</v>
      </c>
      <c r="W31" s="16">
        <f>IF(ISNA(VLOOKUP(A31,'Données projet'!$A$35:$I$55,5,0)),0%,VLOOKUP(A31,'Données projet'!$A$35:$I$55,5,0)*VLOOKUP('Données projet'!$B$9,Paramètres!$A$1:$I$89,7,0))</f>
        <v>0.22000000000000003</v>
      </c>
      <c r="X31" s="16">
        <f>IF(ISNA(VLOOKUP(A31,'Données projet'!$A$35:$I$55,6,0)),0%,VLOOKUP(A31,'Données projet'!$A$35:$I$55,6,0)*VLOOKUP('Données projet'!$B$9,Paramètres!$A$1:$I$89,7,0))</f>
        <v>0.18700000000000003</v>
      </c>
      <c r="Y31" s="16">
        <f>IF(ISNA(VLOOKUP(A31,'Données projet'!$A$35:$I$55,7,0)),0%,VLOOKUP(A31,'Données projet'!$A$35:$I$55,7,0))</f>
        <v>0.26</v>
      </c>
      <c r="Z31" s="21">
        <f>EXP(-LN(2)/35)*Z30+(1-EXP(-LN(2)/35))/(LN(2)/35)*V31*W31*VLOOKUP('Données projet'!$B$9,Paramètres!$A$1:$I$89,3,0)*0.475*44/12</f>
        <v>15.679484258941635</v>
      </c>
      <c r="AA31" s="21">
        <f>EXP(-LN(2)/25)*AA30+(1-EXP(-LN(2)/25))/(LN(2)/25)*Calculateur!V31*Calculateur!X31*VLOOKUP('Données projet'!$B$9,Paramètres!$A$1:$I$89,3,0)*0.475*44/12</f>
        <v>19.115670580614676</v>
      </c>
      <c r="AB31" s="21">
        <f>EXP(-LN(2)/2)*AB30+(1-EXP(-LN(2)/2))/(LN(2)/2)*V31*Y31*VLOOKUP('Données projet'!$B$9,Paramètres!$A$1:$I$89,3,0)*0.475*44/12</f>
        <v>12.454457423508867</v>
      </c>
      <c r="AC31" s="22">
        <f t="shared" si="3"/>
        <v>47.249612263065174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</v>
      </c>
      <c r="AI31" s="13">
        <f>IF('Données projet'!$A$62&gt;35,AI30+AH31-AQ30,IF(A31&lt;'Données projet'!$A$62,$AF$205^A31,IF(A31='Données projet'!$A$62,'Données projet'!$B$62,AI30+AH31-AQ30)))</f>
        <v>188</v>
      </c>
      <c r="AJ31" s="13">
        <f>AI31*VLOOKUP('Données projet'!$B$10,Paramètres!$A$1:$I$89,3,0)*VLOOKUP('Données projet'!$B$10,Paramètres!$A$1:$I$89,5,0)</f>
        <v>87.983999999999995</v>
      </c>
      <c r="AK31" s="13">
        <f t="shared" si="35"/>
        <v>24.078375128721785</v>
      </c>
      <c r="AL31" s="20">
        <f t="shared" si="4"/>
        <v>195.17530334919044</v>
      </c>
      <c r="AM31" s="59">
        <f t="shared" si="5"/>
        <v>488.50863668252373</v>
      </c>
      <c r="AN31" s="59">
        <f ca="1">AVERAGE(OFFSET($AM$3,0,0,'Données projet'!$E$10+1,1))-AVERAGE(OFFSET($H$3,0,0,'Données projet'!$E$10+1,1))</f>
        <v>141.51368882763865</v>
      </c>
      <c r="AO31" s="59">
        <f t="shared" si="36"/>
        <v>156.34514945935399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6.1029801945714182</v>
      </c>
      <c r="AW31" s="21">
        <f>EXP(-LN(2)/2)*AW30+(1-EXP(-LN(2)/2))/(LN(2)/2)*AQ31*AT31*VLOOKUP('Données projet'!$B$10,Paramètres!$A$1:$I$89,3,0)*0.475*44/12</f>
        <v>0.58287318676662492</v>
      </c>
      <c r="AX31" s="21">
        <f t="shared" si="6"/>
        <v>6.6858533813380427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23.322857142857142</v>
      </c>
      <c r="N32" s="13">
        <f>IF('Données projet'!$A$36&gt;35,N31+M32-V31,IF(A32&lt;'Données projet'!$A$36,$K$205^A32,IF(A32='Données projet'!$A$36,'Données projet'!$B$36,N31+M32-V31)))</f>
        <v>237.18285714285713</v>
      </c>
      <c r="O32" s="13">
        <f>N32*VLOOKUP('Données projet'!$B$9,Paramètres!$A$1:$I$89,3,0)*VLOOKUP('Données projet'!$B$9,Paramètres!$A$1:$I$89,5,0)</f>
        <v>132.58521714285715</v>
      </c>
      <c r="P32" s="13">
        <f t="shared" si="33"/>
        <v>34.593040790906365</v>
      </c>
      <c r="Q32" s="20">
        <f t="shared" si="2"/>
        <v>291.16879923463807</v>
      </c>
      <c r="R32" s="59">
        <f t="shared" si="0"/>
        <v>584.50213256797133</v>
      </c>
      <c r="S32" s="59">
        <f ca="1">AVERAGE(OFFSET($R$3,0,0,'Données projet'!$E$9+1,1))-AVERAGE(OFFSET($H$3,0,0,'Données projet'!$E$9+1,1))</f>
        <v>250.1520902752946</v>
      </c>
      <c r="T32" s="59">
        <f t="shared" si="34"/>
        <v>258.01144895030291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15.372019136164866</v>
      </c>
      <c r="AA32" s="21">
        <f>EXP(-LN(2)/25)*AA31+(1-EXP(-LN(2)/25))/(LN(2)/25)*Calculateur!V32*Calculateur!X32*VLOOKUP('Données projet'!$B$9,Paramètres!$A$1:$I$89,3,0)*0.475*44/12</f>
        <v>18.592951563338342</v>
      </c>
      <c r="AB32" s="21">
        <f>EXP(-LN(2)/2)*AB31+(1-EXP(-LN(2)/2))/(LN(2)/2)*V32*Y32*VLOOKUP('Données projet'!$B$9,Paramètres!$A$1:$I$89,3,0)*0.475*44/12</f>
        <v>8.8066313001622571</v>
      </c>
      <c r="AC32" s="22">
        <f t="shared" si="3"/>
        <v>42.771601999665471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</v>
      </c>
      <c r="AI32" s="13">
        <f>IF('Données projet'!$A$62&gt;35,AI31+AH32-AQ31,IF(A32&lt;'Données projet'!$A$62,$AF$205^A32,IF(A32='Données projet'!$A$62,'Données projet'!$B$62,AI31+AH32-AQ31)))</f>
        <v>199</v>
      </c>
      <c r="AJ32" s="13">
        <f>AI32*VLOOKUP('Données projet'!$B$10,Paramètres!$A$1:$I$89,3,0)*VLOOKUP('Données projet'!$B$10,Paramètres!$A$1:$I$89,5,0)</f>
        <v>93.132000000000005</v>
      </c>
      <c r="AK32" s="13">
        <f t="shared" si="35"/>
        <v>25.319077548810455</v>
      </c>
      <c r="AL32" s="20">
        <f t="shared" si="4"/>
        <v>206.30229339751153</v>
      </c>
      <c r="AM32" s="59">
        <f t="shared" si="5"/>
        <v>499.63562673084482</v>
      </c>
      <c r="AN32" s="59">
        <f ca="1">AVERAGE(OFFSET($AM$3,0,0,'Données projet'!$E$10+1,1))-AVERAGE(OFFSET($H$3,0,0,'Données projet'!$E$10+1,1))</f>
        <v>141.51368882763865</v>
      </c>
      <c r="AO32" s="59">
        <f t="shared" si="36"/>
        <v>156.34514945935399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5.936093880209083</v>
      </c>
      <c r="AW32" s="21">
        <f>EXP(-LN(2)/2)*AW31+(1-EXP(-LN(2)/2))/(LN(2)/2)*AQ32*AT32*VLOOKUP('Données projet'!$B$10,Paramètres!$A$1:$I$89,3,0)*0.475*44/12</f>
        <v>0.4121535829344935</v>
      </c>
      <c r="AX32" s="21">
        <f t="shared" si="6"/>
        <v>6.3482474631435766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23.322857142857142</v>
      </c>
      <c r="N33" s="13">
        <f>IF('Données projet'!$A$36&gt;35,N32+M33-V32,IF(A33&lt;'Données projet'!$A$36,$K$205^A33,IF(A33='Données projet'!$A$36,'Données projet'!$B$36,N32+M33-V32)))</f>
        <v>260.50571428571425</v>
      </c>
      <c r="O33" s="13">
        <f>N33*VLOOKUP('Données projet'!$B$9,Paramètres!$A$1:$I$89,3,0)*VLOOKUP('Données projet'!$B$9,Paramètres!$A$1:$I$89,5,0)</f>
        <v>145.62269428571426</v>
      </c>
      <c r="P33" s="13">
        <f t="shared" si="33"/>
        <v>37.582119061782137</v>
      </c>
      <c r="Q33" s="20">
        <f t="shared" si="2"/>
        <v>319.0817165802228</v>
      </c>
      <c r="R33" s="59">
        <f t="shared" si="0"/>
        <v>612.41504991355612</v>
      </c>
      <c r="S33" s="59">
        <f ca="1">AVERAGE(OFFSET($R$3,0,0,'Données projet'!$E$9+1,1))-AVERAGE(OFFSET($H$3,0,0,'Données projet'!$E$9+1,1))</f>
        <v>250.1520902752946</v>
      </c>
      <c r="T33" s="59">
        <f t="shared" si="34"/>
        <v>258.01144895030291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15.070583216910542</v>
      </c>
      <c r="AA33" s="21">
        <f>EXP(-LN(2)/25)*AA32+(1-EXP(-LN(2)/25))/(LN(2)/25)*Calculateur!V33*Calculateur!X33*VLOOKUP('Données projet'!$B$9,Paramètres!$A$1:$I$89,3,0)*0.475*44/12</f>
        <v>18.084526325078027</v>
      </c>
      <c r="AB33" s="21">
        <f>EXP(-LN(2)/2)*AB32+(1-EXP(-LN(2)/2))/(LN(2)/2)*V33*Y33*VLOOKUP('Données projet'!$B$9,Paramètres!$A$1:$I$89,3,0)*0.475*44/12</f>
        <v>6.2272287117544343</v>
      </c>
      <c r="AC33" s="22">
        <f t="shared" si="3"/>
        <v>39.382338253743001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210</v>
      </c>
      <c r="AG33" s="12">
        <f>VLOOKUP(A33,'Données projet'!$A$61:$I$81,9,0)</f>
        <v>11</v>
      </c>
      <c r="AH33" s="12">
        <f t="array" ref="AH33">INDEX(AG:AG,MIN(IF(ISNUMBER(AG33:AG229),ROW(AG33:AG229),"")))</f>
        <v>11</v>
      </c>
      <c r="AI33" s="13">
        <f>IF('Données projet'!$A$62&gt;35,AI32+AH33-AQ32,IF(A33&lt;'Données projet'!$A$62,$AF$205^A33,IF(A33='Données projet'!$A$62,'Données projet'!$B$62,AI32+AH33-AQ32)))</f>
        <v>210</v>
      </c>
      <c r="AJ33" s="13">
        <f>AI33*VLOOKUP('Données projet'!$B$10,Paramètres!$A$1:$I$89,3,0)*VLOOKUP('Données projet'!$B$10,Paramètres!$A$1:$I$89,5,0)</f>
        <v>98.28</v>
      </c>
      <c r="AK33" s="13">
        <f t="shared" si="35"/>
        <v>26.551818424463473</v>
      </c>
      <c r="AL33" s="20">
        <f t="shared" si="4"/>
        <v>217.41541708927389</v>
      </c>
      <c r="AM33" s="59">
        <f t="shared" si="5"/>
        <v>510.7487504226072</v>
      </c>
      <c r="AN33" s="59">
        <f ca="1">AVERAGE(OFFSET($AM$3,0,0,'Données projet'!$E$10+1,1))-AVERAGE(OFFSET($H$3,0,0,'Données projet'!$E$10+1,1))</f>
        <v>141.51368882763865</v>
      </c>
      <c r="AO33" s="59">
        <f t="shared" si="36"/>
        <v>156.34514945935399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50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0.30800000000000005</v>
      </c>
      <c r="AT33" s="16">
        <f>IF(ISNA(VLOOKUP(A33,'Données projet'!$A$61:$I$81,7,0)),0%,VLOOKUP(A33,'Données projet'!$A$61:$I$81,7,0))</f>
        <v>0.35</v>
      </c>
      <c r="AU33" s="21">
        <f>EXP(-LN(2)/35)*AU32+(1-EXP(-LN(2)/35))/(LN(2)/35)*AQ33*AR33*VLOOKUP('Données projet'!$B$10,Paramètres!$A$1:$I$89,3,0)*0.475*44/12</f>
        <v>3.4145769083013771</v>
      </c>
      <c r="AV33" s="21">
        <f>EXP(-LN(2)/25)*AV32+(1-EXP(-LN(2)/25))/(LN(2)/25)*Calculateur!AQ33*Calculateur!AS33*VLOOKUP('Données projet'!$B$10,Paramètres!$A$1:$I$89,3,0)*0.475*44/12</f>
        <v>15.296941851170409</v>
      </c>
      <c r="AW33" s="21">
        <f>EXP(-LN(2)/2)*AW32+(1-EXP(-LN(2)/2))/(LN(2)/2)*AQ33*AT33*VLOOKUP('Données projet'!$B$10,Paramètres!$A$1:$I$89,3,0)*0.475*44/12</f>
        <v>9.5644191101250673</v>
      </c>
      <c r="AX33" s="21">
        <f t="shared" si="6"/>
        <v>28.275937869596852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23.322857142857142</v>
      </c>
      <c r="N34" s="13">
        <f>IF('Données projet'!$A$36&gt;35,N33+M34-V33,IF(A34&lt;'Données projet'!$A$36,$K$205^A34,IF(A34='Données projet'!$A$36,'Données projet'!$B$36,N33+M34-V33)))</f>
        <v>283.82857142857137</v>
      </c>
      <c r="O34" s="13">
        <f>N34*VLOOKUP('Données projet'!$B$9,Paramètres!$A$1:$I$89,3,0)*VLOOKUP('Données projet'!$B$9,Paramètres!$A$1:$I$89,5,0)</f>
        <v>158.6601714285714</v>
      </c>
      <c r="P34" s="13">
        <f t="shared" si="33"/>
        <v>40.540165589493242</v>
      </c>
      <c r="Q34" s="20">
        <f t="shared" si="2"/>
        <v>346.94058697312926</v>
      </c>
      <c r="R34" s="59">
        <f t="shared" si="0"/>
        <v>640.27392030646251</v>
      </c>
      <c r="S34" s="59">
        <f ca="1">AVERAGE(OFFSET($R$3,0,0,'Données projet'!$E$9+1,1))-AVERAGE(OFFSET($H$3,0,0,'Données projet'!$E$9+1,1))</f>
        <v>250.1520902752946</v>
      </c>
      <c r="T34" s="59">
        <f t="shared" si="34"/>
        <v>258.01144895030291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14.775058272175039</v>
      </c>
      <c r="AA34" s="21">
        <f>EXP(-LN(2)/25)*AA33+(1-EXP(-LN(2)/25))/(LN(2)/25)*Calculateur!V34*Calculateur!X34*VLOOKUP('Données projet'!$B$9,Paramètres!$A$1:$I$89,3,0)*0.475*44/12</f>
        <v>17.590004001694862</v>
      </c>
      <c r="AB34" s="21">
        <f>EXP(-LN(2)/2)*AB33+(1-EXP(-LN(2)/2))/(LN(2)/2)*V34*Y34*VLOOKUP('Données projet'!$B$9,Paramètres!$A$1:$I$89,3,0)*0.475*44/12</f>
        <v>4.4033156500811295</v>
      </c>
      <c r="AC34" s="22">
        <f t="shared" si="3"/>
        <v>36.768377923951036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</v>
      </c>
      <c r="AI34" s="13">
        <f>IF('Données projet'!$A$62&gt;35,AI33+AH34-AQ33,IF(A34&lt;'Données projet'!$A$62,$AF$205^A34,IF(A34='Données projet'!$A$62,'Données projet'!$B$62,AI33+AH34-AQ33)))</f>
        <v>174</v>
      </c>
      <c r="AJ34" s="13">
        <f>AI34*VLOOKUP('Données projet'!$B$10,Paramètres!$A$1:$I$89,3,0)*VLOOKUP('Données projet'!$B$10,Paramètres!$A$1:$I$89,5,0)</f>
        <v>81.432000000000002</v>
      </c>
      <c r="AK34" s="13">
        <f t="shared" si="35"/>
        <v>22.486953220240881</v>
      </c>
      <c r="AL34" s="20">
        <f t="shared" si="4"/>
        <v>180.99217685858619</v>
      </c>
      <c r="AM34" s="59">
        <f t="shared" si="5"/>
        <v>474.32551019191953</v>
      </c>
      <c r="AN34" s="59">
        <f ca="1">AVERAGE(OFFSET($AM$3,0,0,'Données projet'!$E$10+1,1))-AVERAGE(OFFSET($H$3,0,0,'Données projet'!$E$10+1,1))</f>
        <v>141.51368882763865</v>
      </c>
      <c r="AO34" s="59">
        <f t="shared" si="36"/>
        <v>156.34514945935399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3.3476191378158529</v>
      </c>
      <c r="AV34" s="21">
        <f>EXP(-LN(2)/25)*AV33+(1-EXP(-LN(2)/25))/(LN(2)/25)*Calculateur!AQ34*Calculateur!AS34*VLOOKUP('Données projet'!$B$10,Paramètres!$A$1:$I$89,3,0)*0.475*44/12</f>
        <v>14.878646171818945</v>
      </c>
      <c r="AW34" s="21">
        <f>EXP(-LN(2)/2)*AW33+(1-EXP(-LN(2)/2))/(LN(2)/2)*AQ34*AT34*VLOOKUP('Données projet'!$B$10,Paramètres!$A$1:$I$89,3,0)*0.475*44/12</f>
        <v>6.7630656108796403</v>
      </c>
      <c r="AX34" s="21">
        <f t="shared" si="6"/>
        <v>24.989330920514437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23.322857142857142</v>
      </c>
      <c r="N35" s="13">
        <f>IF('Données projet'!$A$36&gt;35,N34+M35-V34,IF(A35&lt;'Données projet'!$A$36,$K$205^A35,IF(A35='Données projet'!$A$36,'Données projet'!$B$36,N34+M35-V34)))</f>
        <v>307.15142857142848</v>
      </c>
      <c r="O35" s="13">
        <f>N35*VLOOKUP('Données projet'!$B$9,Paramètres!$A$1:$I$89,3,0)*VLOOKUP('Données projet'!$B$9,Paramètres!$A$1:$I$89,5,0)</f>
        <v>171.69764857142854</v>
      </c>
      <c r="P35" s="13">
        <f t="shared" si="33"/>
        <v>43.470020228724849</v>
      </c>
      <c r="Q35" s="20">
        <f t="shared" ref="Q35:Q66" si="53">(O35+P35)*0.475*44/12</f>
        <v>374.75035649360046</v>
      </c>
      <c r="R35" s="59">
        <f t="shared" si="0"/>
        <v>668.08368982693378</v>
      </c>
      <c r="S35" s="59">
        <f ca="1">AVERAGE(OFFSET($R$3,0,0,'Données projet'!$E$9+1,1))-AVERAGE(OFFSET($H$3,0,0,'Données projet'!$E$9+1,1))</f>
        <v>250.1520902752946</v>
      </c>
      <c r="T35" s="59">
        <f t="shared" si="34"/>
        <v>258.01144895030291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14.485328391353383</v>
      </c>
      <c r="AA35" s="21">
        <f>EXP(-LN(2)/25)*AA34+(1-EXP(-LN(2)/25))/(LN(2)/25)*Calculateur!V35*Calculateur!X35*VLOOKUP('Données projet'!$B$9,Paramètres!$A$1:$I$89,3,0)*0.475*44/12</f>
        <v>17.109004417250407</v>
      </c>
      <c r="AB35" s="21">
        <f>EXP(-LN(2)/2)*AB34+(1-EXP(-LN(2)/2))/(LN(2)/2)*V35*Y35*VLOOKUP('Données projet'!$B$9,Paramètres!$A$1:$I$89,3,0)*0.475*44/12</f>
        <v>3.1136143558772176</v>
      </c>
      <c r="AC35" s="22">
        <f t="shared" si="3"/>
        <v>34.707947164481006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</v>
      </c>
      <c r="AI35" s="13">
        <f>IF('Données projet'!$A$62&gt;35,AI34+AH35-AQ34,IF(A35&lt;'Données projet'!$A$62,$AF$205^A35,IF(A35='Données projet'!$A$62,'Données projet'!$B$62,AI34+AH35-AQ34)))</f>
        <v>188</v>
      </c>
      <c r="AJ35" s="13">
        <f>AI35*VLOOKUP('Données projet'!$B$10,Paramètres!$A$1:$I$89,3,0)*VLOOKUP('Données projet'!$B$10,Paramètres!$A$1:$I$89,5,0)</f>
        <v>87.983999999999995</v>
      </c>
      <c r="AK35" s="13">
        <f t="shared" si="35"/>
        <v>24.078375128721785</v>
      </c>
      <c r="AL35" s="20">
        <f t="shared" si="4"/>
        <v>195.17530334919044</v>
      </c>
      <c r="AM35" s="59">
        <f t="shared" si="5"/>
        <v>488.50863668252373</v>
      </c>
      <c r="AN35" s="59">
        <f ca="1">AVERAGE(OFFSET($AM$3,0,0,'Données projet'!$E$10+1,1))-AVERAGE(OFFSET($H$3,0,0,'Données projet'!$E$10+1,1))</f>
        <v>141.51368882763865</v>
      </c>
      <c r="AO35" s="59">
        <f t="shared" si="36"/>
        <v>156.34514945935399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3.2819743683693425</v>
      </c>
      <c r="AV35" s="21">
        <f>EXP(-LN(2)/25)*AV34+(1-EXP(-LN(2)/25))/(LN(2)/25)*Calculateur!AQ35*Calculateur!AS35*VLOOKUP('Données projet'!$B$10,Paramètres!$A$1:$I$89,3,0)*0.475*44/12</f>
        <v>14.471788809816559</v>
      </c>
      <c r="AW35" s="21">
        <f>EXP(-LN(2)/2)*AW34+(1-EXP(-LN(2)/2))/(LN(2)/2)*AQ35*AT35*VLOOKUP('Données projet'!$B$10,Paramètres!$A$1:$I$89,3,0)*0.475*44/12</f>
        <v>4.7822095550625345</v>
      </c>
      <c r="AX35" s="21">
        <f t="shared" si="6"/>
        <v>22.535972733248435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23.322857142857142</v>
      </c>
      <c r="N36" s="13">
        <f>IF('Données projet'!$A$36&gt;35,N35+M36-V35,IF(A36&lt;'Données projet'!$A$36,$K$205^A36,IF(A36='Données projet'!$A$36,'Données projet'!$B$36,N35+M36-V35)))</f>
        <v>330.4742857142856</v>
      </c>
      <c r="O36" s="13">
        <f>N36*VLOOKUP('Données projet'!$B$9,Paramètres!$A$1:$I$89,3,0)*VLOOKUP('Données projet'!$B$9,Paramètres!$A$1:$I$89,5,0)</f>
        <v>184.73512571428566</v>
      </c>
      <c r="P36" s="13">
        <f t="shared" si="33"/>
        <v>46.374067071196414</v>
      </c>
      <c r="Q36" s="20">
        <f t="shared" si="53"/>
        <v>402.51517743471459</v>
      </c>
      <c r="R36" s="59">
        <f t="shared" si="0"/>
        <v>695.84851076804784</v>
      </c>
      <c r="S36" s="59">
        <f ca="1">AVERAGE(OFFSET($R$3,0,0,'Données projet'!$E$9+1,1))-AVERAGE(OFFSET($H$3,0,0,'Données projet'!$E$9+1,1))</f>
        <v>250.1520902752946</v>
      </c>
      <c r="T36" s="59">
        <f t="shared" si="34"/>
        <v>258.01144895030291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14.20127993677686</v>
      </c>
      <c r="AA36" s="21">
        <f>EXP(-LN(2)/25)*AA35+(1-EXP(-LN(2)/25))/(LN(2)/25)*Calculateur!V36*Calculateur!X36*VLOOKUP('Données projet'!$B$9,Paramètres!$A$1:$I$89,3,0)*0.475*44/12</f>
        <v>16.641157791737257</v>
      </c>
      <c r="AB36" s="21">
        <f>EXP(-LN(2)/2)*AB35+(1-EXP(-LN(2)/2))/(LN(2)/2)*V36*Y36*VLOOKUP('Données projet'!$B$9,Paramètres!$A$1:$I$89,3,0)*0.475*44/12</f>
        <v>2.2016578250405647</v>
      </c>
      <c r="AC36" s="22">
        <f t="shared" si="3"/>
        <v>33.044095553554683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</v>
      </c>
      <c r="AI36" s="13">
        <f>IF('Données projet'!$A$62&gt;35,AI35+AH36-AQ35,IF(A36&lt;'Données projet'!$A$62,$AF$205^A36,IF(A36='Données projet'!$A$62,'Données projet'!$B$62,AI35+AH36-AQ35)))</f>
        <v>202</v>
      </c>
      <c r="AJ36" s="13">
        <f>AI36*VLOOKUP('Données projet'!$B$10,Paramètres!$A$1:$I$89,3,0)*VLOOKUP('Données projet'!$B$10,Paramètres!$A$1:$I$89,5,0)</f>
        <v>94.536000000000001</v>
      </c>
      <c r="AK36" s="13">
        <f t="shared" si="35"/>
        <v>25.656048664271697</v>
      </c>
      <c r="AL36" s="20">
        <f t="shared" si="4"/>
        <v>209.33448475693987</v>
      </c>
      <c r="AM36" s="59">
        <f t="shared" si="5"/>
        <v>502.66781809027316</v>
      </c>
      <c r="AN36" s="59">
        <f ca="1">AVERAGE(OFFSET($AM$3,0,0,'Données projet'!$E$10+1,1))-AVERAGE(OFFSET($H$3,0,0,'Données projet'!$E$10+1,1))</f>
        <v>141.51368882763865</v>
      </c>
      <c r="AO36" s="59">
        <f t="shared" si="36"/>
        <v>156.34514945935399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3.2176168528123226</v>
      </c>
      <c r="AV36" s="21">
        <f>EXP(-LN(2)/25)*AV35+(1-EXP(-LN(2)/25))/(LN(2)/25)*Calculateur!AQ36*Calculateur!AS36*VLOOKUP('Données projet'!$B$10,Paramètres!$A$1:$I$89,3,0)*0.475*44/12</f>
        <v>14.076056983773828</v>
      </c>
      <c r="AW36" s="21">
        <f>EXP(-LN(2)/2)*AW35+(1-EXP(-LN(2)/2))/(LN(2)/2)*AQ36*AT36*VLOOKUP('Données projet'!$B$10,Paramètres!$A$1:$I$89,3,0)*0.475*44/12</f>
        <v>3.3815328054398206</v>
      </c>
      <c r="AX36" s="21">
        <f t="shared" si="6"/>
        <v>20.675206642025973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23.322857142857142</v>
      </c>
      <c r="N37" s="13">
        <f>IF('Données projet'!$A$36&gt;35,N36+M37-V36,IF(A37&lt;'Données projet'!$A$36,$K$205^A37,IF(A37='Données projet'!$A$36,'Données projet'!$B$36,N36+M37-V36)))</f>
        <v>353.79714285714272</v>
      </c>
      <c r="O37" s="13">
        <f>N37*VLOOKUP('Données projet'!$B$9,Paramètres!$A$1:$I$89,3,0)*VLOOKUP('Données projet'!$B$9,Paramètres!$A$1:$I$89,5,0)</f>
        <v>197.7726028571428</v>
      </c>
      <c r="P37" s="13">
        <f t="shared" si="33"/>
        <v>49.254334637340875</v>
      </c>
      <c r="Q37" s="20">
        <f t="shared" si="53"/>
        <v>430.23858280289238</v>
      </c>
      <c r="R37" s="59">
        <f t="shared" si="0"/>
        <v>723.5719161362257</v>
      </c>
      <c r="S37" s="59">
        <f ca="1">AVERAGE(OFFSET($R$3,0,0,'Données projet'!$E$9+1,1))-AVERAGE(OFFSET($H$3,0,0,'Données projet'!$E$9+1,1))</f>
        <v>250.1520902752946</v>
      </c>
      <c r="T37" s="59">
        <f t="shared" si="34"/>
        <v>258.01144895030291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13.922801499142134</v>
      </c>
      <c r="AA37" s="21">
        <f>EXP(-LN(2)/25)*AA36+(1-EXP(-LN(2)/25))/(LN(2)/25)*Calculateur!V37*Calculateur!X37*VLOOKUP('Données projet'!$B$9,Paramètres!$A$1:$I$89,3,0)*0.475*44/12</f>
        <v>16.186104456801747</v>
      </c>
      <c r="AB37" s="21">
        <f>EXP(-LN(2)/2)*AB36+(1-EXP(-LN(2)/2))/(LN(2)/2)*V37*Y37*VLOOKUP('Données projet'!$B$9,Paramètres!$A$1:$I$89,3,0)*0.475*44/12</f>
        <v>1.5568071779386088</v>
      </c>
      <c r="AC37" s="22">
        <f t="shared" si="3"/>
        <v>31.665713133882491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</v>
      </c>
      <c r="AI37" s="13">
        <f>IF('Données projet'!$A$62&gt;35,AI36+AH37-AQ36,IF(A37&lt;'Données projet'!$A$62,$AF$205^A37,IF(A37='Données projet'!$A$62,'Données projet'!$B$62,AI36+AH37-AQ36)))</f>
        <v>216</v>
      </c>
      <c r="AJ37" s="13">
        <f>AI37*VLOOKUP('Données projet'!$B$10,Paramètres!$A$1:$I$89,3,0)*VLOOKUP('Données projet'!$B$10,Paramètres!$A$1:$I$89,5,0)</f>
        <v>101.08799999999999</v>
      </c>
      <c r="AK37" s="13">
        <f t="shared" si="35"/>
        <v>27.221035075711939</v>
      </c>
      <c r="AL37" s="20">
        <f t="shared" si="4"/>
        <v>223.47156942353161</v>
      </c>
      <c r="AM37" s="59">
        <f t="shared" si="5"/>
        <v>516.80490275686498</v>
      </c>
      <c r="AN37" s="59">
        <f ca="1">AVERAGE(OFFSET($AM$3,0,0,'Données projet'!$E$10+1,1))-AVERAGE(OFFSET($H$3,0,0,'Données projet'!$E$10+1,1))</f>
        <v>141.51368882763865</v>
      </c>
      <c r="AO37" s="59">
        <f t="shared" si="36"/>
        <v>156.34514945935399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3.154521348881167</v>
      </c>
      <c r="AV37" s="21">
        <f>EXP(-LN(2)/25)*AV36+(1-EXP(-LN(2)/25))/(LN(2)/25)*Calculateur!AQ37*Calculateur!AS37*VLOOKUP('Données projet'!$B$10,Paramètres!$A$1:$I$89,3,0)*0.475*44/12</f>
        <v>13.691146465324866</v>
      </c>
      <c r="AW37" s="21">
        <f>EXP(-LN(2)/2)*AW36+(1-EXP(-LN(2)/2))/(LN(2)/2)*AQ37*AT37*VLOOKUP('Données projet'!$B$10,Paramètres!$A$1:$I$89,3,0)*0.475*44/12</f>
        <v>2.3911047775312677</v>
      </c>
      <c r="AX37" s="21">
        <f t="shared" si="6"/>
        <v>19.236772591737303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377.12</v>
      </c>
      <c r="L38" s="12">
        <f>VLOOKUP(A38,'Données projet'!$A$35:$I$55,9,0)</f>
        <v>23.322857142857142</v>
      </c>
      <c r="M38" s="12">
        <f t="array" ref="M38">INDEX(L:L,MIN(IF(ISNUMBER(L38:L234),ROW(L38:L234),"")))</f>
        <v>23.322857142857142</v>
      </c>
      <c r="N38" s="13">
        <f>IF('Données projet'!$A$36&gt;35,N37+M38-V37,IF(A38&lt;'Données projet'!$A$36,$K$205^A38,IF(A38='Données projet'!$A$36,'Données projet'!$B$36,N37+M38-V37)))</f>
        <v>377.11999999999983</v>
      </c>
      <c r="O38" s="13">
        <f>N38*VLOOKUP('Données projet'!$B$9,Paramètres!$A$1:$I$89,3,0)*VLOOKUP('Données projet'!$B$9,Paramètres!$A$1:$I$89,5,0)</f>
        <v>210.81007999999991</v>
      </c>
      <c r="P38" s="13">
        <f t="shared" si="33"/>
        <v>52.112568873523912</v>
      </c>
      <c r="Q38" s="20">
        <f t="shared" si="53"/>
        <v>457.92361345472062</v>
      </c>
      <c r="R38" s="59">
        <f t="shared" si="0"/>
        <v>751.25694678805394</v>
      </c>
      <c r="S38" s="59">
        <f ca="1">AVERAGE(OFFSET($R$3,0,0,'Données projet'!$E$9+1,1))-AVERAGE(OFFSET($H$3,0,0,'Données projet'!$E$9+1,1))</f>
        <v>250.1520902752946</v>
      </c>
      <c r="T38" s="59">
        <f t="shared" si="34"/>
        <v>258.01144895030291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86.68</v>
      </c>
      <c r="W38" s="16">
        <f>IF(ISNA(VLOOKUP(A38,'Données projet'!$A$35:$I$55,5,0)),0%,VLOOKUP(A38,'Données projet'!$A$35:$I$55,5,0)*VLOOKUP('Données projet'!$B$9,Paramètres!$A$1:$I$89,7,0))</f>
        <v>0.27500000000000002</v>
      </c>
      <c r="X38" s="16">
        <f>IF(ISNA(VLOOKUP(A38,'Données projet'!$A$35:$I$55,6,0)),0%,VLOOKUP(A38,'Données projet'!$A$35:$I$55,6,0)*VLOOKUP('Données projet'!$B$9,Paramètres!$A$1:$I$89,7,0))</f>
        <v>0.15400000000000003</v>
      </c>
      <c r="Y38" s="16">
        <f>IF(ISNA(VLOOKUP(A38,'Données projet'!$A$35:$I$55,7,0)),0%,VLOOKUP(A38,'Données projet'!$A$35:$I$55,7,0))</f>
        <v>0.22</v>
      </c>
      <c r="Z38" s="21">
        <f>EXP(-LN(2)/35)*Z37+(1-EXP(-LN(2)/35))/(LN(2)/35)*V38*W38*VLOOKUP('Données projet'!$B$9,Paramètres!$A$1:$I$89,3,0)*0.475*44/12</f>
        <v>31.326100014504938</v>
      </c>
      <c r="AA38" s="21">
        <f>EXP(-LN(2)/25)*AA37+(1-EXP(-LN(2)/25))/(LN(2)/25)*Calculateur!V38*Calculateur!X38*VLOOKUP('Données projet'!$B$9,Paramètres!$A$1:$I$89,3,0)*0.475*44/12</f>
        <v>25.60325652974668</v>
      </c>
      <c r="AB38" s="21">
        <f>EXP(-LN(2)/2)*AB37+(1-EXP(-LN(2)/2))/(LN(2)/2)*V38*Y38*VLOOKUP('Données projet'!$B$9,Paramètres!$A$1:$I$89,3,0)*0.475*44/12</f>
        <v>13.170319227209362</v>
      </c>
      <c r="AC38" s="22">
        <f t="shared" si="3"/>
        <v>70.09967577146098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</v>
      </c>
      <c r="AI38" s="13">
        <f>IF('Données projet'!$A$62&gt;35,AI37+AH38-AQ37,IF(A38&lt;'Données projet'!$A$62,$AF$205^A38,IF(A38='Données projet'!$A$62,'Données projet'!$B$62,AI37+AH38-AQ37)))</f>
        <v>230</v>
      </c>
      <c r="AJ38" s="13">
        <f>AI38*VLOOKUP('Données projet'!$B$10,Paramètres!$A$1:$I$89,3,0)*VLOOKUP('Données projet'!$B$10,Paramètres!$A$1:$I$89,5,0)</f>
        <v>107.64</v>
      </c>
      <c r="AK38" s="13">
        <f t="shared" si="35"/>
        <v>28.774250263353583</v>
      </c>
      <c r="AL38" s="20">
        <f t="shared" si="4"/>
        <v>237.58815254200749</v>
      </c>
      <c r="AM38" s="59">
        <f t="shared" si="5"/>
        <v>530.92148587534075</v>
      </c>
      <c r="AN38" s="59">
        <f ca="1">AVERAGE(OFFSET($AM$3,0,0,'Données projet'!$E$10+1,1))-AVERAGE(OFFSET($H$3,0,0,'Données projet'!$E$10+1,1))</f>
        <v>141.51368882763865</v>
      </c>
      <c r="AO38" s="59">
        <f t="shared" si="36"/>
        <v>156.34514945935399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3.0926631092976442</v>
      </c>
      <c r="AV38" s="21">
        <f>EXP(-LN(2)/25)*AV37+(1-EXP(-LN(2)/25))/(LN(2)/25)*Calculateur!AQ38*Calculateur!AS38*VLOOKUP('Données projet'!$B$10,Paramètres!$A$1:$I$89,3,0)*0.475*44/12</f>
        <v>13.316761345244457</v>
      </c>
      <c r="AW38" s="21">
        <f>EXP(-LN(2)/2)*AW37+(1-EXP(-LN(2)/2))/(LN(2)/2)*AQ38*AT38*VLOOKUP('Données projet'!$B$10,Paramètres!$A$1:$I$89,3,0)*0.475*44/12</f>
        <v>1.6907664027199105</v>
      </c>
      <c r="AX38" s="21">
        <f t="shared" si="6"/>
        <v>18.10019085726201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22.82714285714286</v>
      </c>
      <c r="N39" s="13">
        <f>IF('Données projet'!$A$36&gt;35,N38+M39-V38,IF(A39&lt;'Données projet'!$A$36,$K$205^A39,IF(A39='Données projet'!$A$36,'Données projet'!$B$36,N38+M39-V38)))</f>
        <v>313.26714285714269</v>
      </c>
      <c r="O39" s="13">
        <f>N39*VLOOKUP('Données projet'!$B$9,Paramètres!$A$1:$I$89,3,0)*VLOOKUP('Données projet'!$B$9,Paramètres!$A$1:$I$89,5,0)</f>
        <v>175.11633285714277</v>
      </c>
      <c r="P39" s="13">
        <f t="shared" si="33"/>
        <v>44.233926946721624</v>
      </c>
      <c r="Q39" s="20">
        <f t="shared" si="53"/>
        <v>382.03503582506374</v>
      </c>
      <c r="R39" s="59">
        <f t="shared" si="0"/>
        <v>675.36836915839706</v>
      </c>
      <c r="S39" s="59">
        <f ca="1">AVERAGE(OFFSET($R$3,0,0,'Données projet'!$E$9+1,1))-AVERAGE(OFFSET($H$3,0,0,'Données projet'!$E$9+1,1))</f>
        <v>250.1520902752946</v>
      </c>
      <c r="T39" s="59">
        <f t="shared" si="34"/>
        <v>258.01144895030291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30.711814300254844</v>
      </c>
      <c r="AA39" s="21">
        <f>EXP(-LN(2)/25)*AA38+(1-EXP(-LN(2)/25))/(LN(2)/25)*Calculateur!V39*Calculateur!X39*VLOOKUP('Données projet'!$B$9,Paramètres!$A$1:$I$89,3,0)*0.475*44/12</f>
        <v>24.903134133524013</v>
      </c>
      <c r="AB39" s="21">
        <f>EXP(-LN(2)/2)*AB38+(1-EXP(-LN(2)/2))/(LN(2)/2)*V39*Y39*VLOOKUP('Données projet'!$B$9,Paramètres!$A$1:$I$89,3,0)*0.475*44/12</f>
        <v>9.3128220359513101</v>
      </c>
      <c r="AC39" s="22">
        <f t="shared" si="3"/>
        <v>64.927770469730163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</v>
      </c>
      <c r="AI39" s="13">
        <f>IF('Données projet'!$A$62&gt;35,AI38+AH39-AQ38,IF(A39&lt;'Données projet'!$A$62,$AF$205^A39,IF(A39='Données projet'!$A$62,'Données projet'!$B$62,AI38+AH39-AQ38)))</f>
        <v>244</v>
      </c>
      <c r="AJ39" s="13">
        <f>AI39*VLOOKUP('Données projet'!$B$10,Paramètres!$A$1:$I$89,3,0)*VLOOKUP('Données projet'!$B$10,Paramètres!$A$1:$I$89,5,0)</f>
        <v>114.19200000000001</v>
      </c>
      <c r="AK39" s="13">
        <f t="shared" si="35"/>
        <v>30.316492326242802</v>
      </c>
      <c r="AL39" s="20">
        <f t="shared" si="4"/>
        <v>251.68562413487288</v>
      </c>
      <c r="AM39" s="59">
        <f t="shared" si="5"/>
        <v>545.01895746820617</v>
      </c>
      <c r="AN39" s="59">
        <f ca="1">AVERAGE(OFFSET($AM$3,0,0,'Données projet'!$E$10+1,1))-AVERAGE(OFFSET($H$3,0,0,'Données projet'!$E$10+1,1))</f>
        <v>141.51368882763865</v>
      </c>
      <c r="AO39" s="59">
        <f t="shared" si="36"/>
        <v>156.34514945935399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3.0320178720625535</v>
      </c>
      <c r="AV39" s="21">
        <f>EXP(-LN(2)/25)*AV38+(1-EXP(-LN(2)/25))/(LN(2)/25)*Calculateur!AQ39*Calculateur!AS39*VLOOKUP('Données projet'!$B$10,Paramètres!$A$1:$I$89,3,0)*0.475*44/12</f>
        <v>12.952613805960704</v>
      </c>
      <c r="AW39" s="21">
        <f>EXP(-LN(2)/2)*AW38+(1-EXP(-LN(2)/2))/(LN(2)/2)*AQ39*AT39*VLOOKUP('Données projet'!$B$10,Paramètres!$A$1:$I$89,3,0)*0.475*44/12</f>
        <v>1.1955523887656339</v>
      </c>
      <c r="AX39" s="21">
        <f t="shared" si="6"/>
        <v>17.18018406678889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22.82714285714286</v>
      </c>
      <c r="N40" s="13">
        <f>IF('Données projet'!$A$36&gt;35,N39+M40-V39,IF(A40&lt;'Données projet'!$A$36,$K$205^A40,IF(A40='Données projet'!$A$36,'Données projet'!$B$36,N39+M40-V39)))</f>
        <v>336.09428571428555</v>
      </c>
      <c r="O40" s="13">
        <f>N40*VLOOKUP('Données projet'!$B$9,Paramètres!$A$1:$I$89,3,0)*VLOOKUP('Données projet'!$B$9,Paramètres!$A$1:$I$89,5,0)</f>
        <v>187.87670571428561</v>
      </c>
      <c r="P40" s="13">
        <f t="shared" si="33"/>
        <v>47.070216037627873</v>
      </c>
      <c r="Q40" s="20">
        <f t="shared" si="53"/>
        <v>409.19922205124931</v>
      </c>
      <c r="R40" s="59">
        <f t="shared" si="0"/>
        <v>702.53255538458257</v>
      </c>
      <c r="S40" s="59">
        <f ca="1">AVERAGE(OFFSET($R$3,0,0,'Données projet'!$E$9+1,1))-AVERAGE(OFFSET($H$3,0,0,'Données projet'!$E$9+1,1))</f>
        <v>250.1520902752946</v>
      </c>
      <c r="T40" s="59">
        <f t="shared" si="34"/>
        <v>258.01144895030291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30.109574354183902</v>
      </c>
      <c r="AA40" s="21">
        <f>EXP(-LN(2)/25)*AA39+(1-EXP(-LN(2)/25))/(LN(2)/25)*Calculateur!V40*Calculateur!X40*VLOOKUP('Données projet'!$B$9,Paramètres!$A$1:$I$89,3,0)*0.475*44/12</f>
        <v>24.22215662104389</v>
      </c>
      <c r="AB40" s="21">
        <f>EXP(-LN(2)/2)*AB39+(1-EXP(-LN(2)/2))/(LN(2)/2)*V40*Y40*VLOOKUP('Données projet'!$B$9,Paramètres!$A$1:$I$89,3,0)*0.475*44/12</f>
        <v>6.5851596136046817</v>
      </c>
      <c r="AC40" s="22">
        <f t="shared" si="3"/>
        <v>60.916890588832473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</v>
      </c>
      <c r="AI40" s="13">
        <f>IF('Données projet'!$A$62&gt;35,AI39+AH40-AQ39,IF(A40&lt;'Données projet'!$A$62,$AF$205^A40,IF(A40='Données projet'!$A$62,'Données projet'!$B$62,AI39+AH40-AQ39)))</f>
        <v>258</v>
      </c>
      <c r="AJ40" s="13">
        <f>AI40*VLOOKUP('Données projet'!$B$10,Paramètres!$A$1:$I$89,3,0)*VLOOKUP('Données projet'!$B$10,Paramètres!$A$1:$I$89,5,0)</f>
        <v>120.744</v>
      </c>
      <c r="AK40" s="13">
        <f t="shared" si="35"/>
        <v>31.848462605207807</v>
      </c>
      <c r="AL40" s="20">
        <f t="shared" si="4"/>
        <v>265.76520570407024</v>
      </c>
      <c r="AM40" s="59">
        <f t="shared" si="5"/>
        <v>559.0985390374035</v>
      </c>
      <c r="AN40" s="59">
        <f ca="1">AVERAGE(OFFSET($AM$3,0,0,'Données projet'!$E$10+1,1))-AVERAGE(OFFSET($H$3,0,0,'Données projet'!$E$10+1,1))</f>
        <v>141.51368882763865</v>
      </c>
      <c r="AO40" s="59">
        <f t="shared" si="36"/>
        <v>156.34514945935399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2.9725618509397007</v>
      </c>
      <c r="AV40" s="21">
        <f>EXP(-LN(2)/25)*AV39+(1-EXP(-LN(2)/25))/(LN(2)/25)*Calculateur!AQ40*Calculateur!AS40*VLOOKUP('Données projet'!$B$10,Paramètres!$A$1:$I$89,3,0)*0.475*44/12</f>
        <v>12.598423900288353</v>
      </c>
      <c r="AW40" s="21">
        <f>EXP(-LN(2)/2)*AW39+(1-EXP(-LN(2)/2))/(LN(2)/2)*AQ40*AT40*VLOOKUP('Données projet'!$B$10,Paramètres!$A$1:$I$89,3,0)*0.475*44/12</f>
        <v>0.84538320135995526</v>
      </c>
      <c r="AX40" s="21">
        <f t="shared" si="6"/>
        <v>16.416368952588009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22.82714285714286</v>
      </c>
      <c r="N41" s="13">
        <f>IF('Données projet'!$A$36&gt;35,N40+M41-V40,IF(A41&lt;'Données projet'!$A$36,$K$205^A41,IF(A41='Données projet'!$A$36,'Données projet'!$B$36,N40+M41-V40)))</f>
        <v>358.92142857142841</v>
      </c>
      <c r="O41" s="13">
        <f>N41*VLOOKUP('Données projet'!$B$9,Paramètres!$A$1:$I$89,3,0)*VLOOKUP('Données projet'!$B$9,Paramètres!$A$1:$I$89,5,0)</f>
        <v>200.6370785714285</v>
      </c>
      <c r="P41" s="13">
        <f t="shared" si="33"/>
        <v>49.884152387105956</v>
      </c>
      <c r="Q41" s="20">
        <f t="shared" si="53"/>
        <v>436.32447725278081</v>
      </c>
      <c r="R41" s="59">
        <f t="shared" si="0"/>
        <v>729.65781058611412</v>
      </c>
      <c r="S41" s="59">
        <f ca="1">AVERAGE(OFFSET($R$3,0,0,'Données projet'!$E$9+1,1))-AVERAGE(OFFSET($H$3,0,0,'Données projet'!$E$9+1,1))</f>
        <v>250.1520902752946</v>
      </c>
      <c r="T41" s="59">
        <f t="shared" si="34"/>
        <v>258.01144895030291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29.519143966125316</v>
      </c>
      <c r="AA41" s="21">
        <f>EXP(-LN(2)/25)*AA40+(1-EXP(-LN(2)/25))/(LN(2)/25)*Calculateur!V41*Calculateur!X41*VLOOKUP('Données projet'!$B$9,Paramètres!$A$1:$I$89,3,0)*0.475*44/12</f>
        <v>23.559800474453588</v>
      </c>
      <c r="AB41" s="21">
        <f>EXP(-LN(2)/2)*AB40+(1-EXP(-LN(2)/2))/(LN(2)/2)*V41*Y41*VLOOKUP('Données projet'!$B$9,Paramètres!$A$1:$I$89,3,0)*0.475*44/12</f>
        <v>4.6564110179756559</v>
      </c>
      <c r="AC41" s="22">
        <f t="shared" si="3"/>
        <v>57.735355458554565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</v>
      </c>
      <c r="AI41" s="13">
        <f>IF('Données projet'!$A$62&gt;35,AI40+AH41-AQ40,IF(A41&lt;'Données projet'!$A$62,$AF$205^A41,IF(A41='Données projet'!$A$62,'Données projet'!$B$62,AI40+AH41-AQ40)))</f>
        <v>272</v>
      </c>
      <c r="AJ41" s="13">
        <f>AI41*VLOOKUP('Données projet'!$B$10,Paramètres!$A$1:$I$89,3,0)*VLOOKUP('Données projet'!$B$10,Paramètres!$A$1:$I$89,5,0)</f>
        <v>127.29600000000001</v>
      </c>
      <c r="AK41" s="13">
        <f t="shared" si="35"/>
        <v>33.370782027774453</v>
      </c>
      <c r="AL41" s="20">
        <f t="shared" si="4"/>
        <v>279.82797869837384</v>
      </c>
      <c r="AM41" s="59">
        <f t="shared" si="5"/>
        <v>573.16131203170721</v>
      </c>
      <c r="AN41" s="59">
        <f ca="1">AVERAGE(OFFSET($AM$3,0,0,'Données projet'!$E$10+1,1))-AVERAGE(OFFSET($H$3,0,0,'Données projet'!$E$10+1,1))</f>
        <v>141.51368882763865</v>
      </c>
      <c r="AO41" s="59">
        <f t="shared" si="36"/>
        <v>156.34514945935399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2.9142717261264752</v>
      </c>
      <c r="AV41" s="21">
        <f>EXP(-LN(2)/25)*AV40+(1-EXP(-LN(2)/25))/(LN(2)/25)*Calculateur!AQ41*Calculateur!AS41*VLOOKUP('Données projet'!$B$10,Paramètres!$A$1:$I$89,3,0)*0.475*44/12</f>
        <v>12.253919336212649</v>
      </c>
      <c r="AW41" s="21">
        <f>EXP(-LN(2)/2)*AW40+(1-EXP(-LN(2)/2))/(LN(2)/2)*AQ41*AT41*VLOOKUP('Données projet'!$B$10,Paramètres!$A$1:$I$89,3,0)*0.475*44/12</f>
        <v>0.59777619438281693</v>
      </c>
      <c r="AX41" s="21">
        <f t="shared" si="6"/>
        <v>15.765967256721941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22.82714285714286</v>
      </c>
      <c r="N42" s="13">
        <f>IF('Données projet'!$A$36&gt;35,N41+M42-V41,IF(A42&lt;'Données projet'!$A$36,$K$205^A42,IF(A42='Données projet'!$A$36,'Données projet'!$B$36,N41+M42-V41)))</f>
        <v>381.74857142857127</v>
      </c>
      <c r="O42" s="13">
        <f>N42*VLOOKUP('Données projet'!$B$9,Paramètres!$A$1:$I$89,3,0)*VLOOKUP('Données projet'!$B$9,Paramètres!$A$1:$I$89,5,0)</f>
        <v>213.39745142857134</v>
      </c>
      <c r="P42" s="13">
        <f t="shared" si="33"/>
        <v>52.67731943158536</v>
      </c>
      <c r="Q42" s="20">
        <f t="shared" si="53"/>
        <v>463.41355924810631</v>
      </c>
      <c r="R42" s="59">
        <f t="shared" si="0"/>
        <v>756.74689258143962</v>
      </c>
      <c r="S42" s="59">
        <f ca="1">AVERAGE(OFFSET($R$3,0,0,'Données projet'!$E$9+1,1))-AVERAGE(OFFSET($H$3,0,0,'Données projet'!$E$9+1,1))</f>
        <v>250.1520902752946</v>
      </c>
      <c r="T42" s="59">
        <f t="shared" si="34"/>
        <v>258.01144895030291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28.940291557849584</v>
      </c>
      <c r="AA42" s="21">
        <f>EXP(-LN(2)/25)*AA41+(1-EXP(-LN(2)/25))/(LN(2)/25)*Calculateur!V42*Calculateur!X42*VLOOKUP('Données projet'!$B$9,Paramètres!$A$1:$I$89,3,0)*0.475*44/12</f>
        <v>22.915556491523596</v>
      </c>
      <c r="AB42" s="21">
        <f>EXP(-LN(2)/2)*AB41+(1-EXP(-LN(2)/2))/(LN(2)/2)*V42*Y42*VLOOKUP('Données projet'!$B$9,Paramètres!$A$1:$I$89,3,0)*0.475*44/12</f>
        <v>3.2925798068023413</v>
      </c>
      <c r="AC42" s="22">
        <f t="shared" si="3"/>
        <v>55.148427856175523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</v>
      </c>
      <c r="AI42" s="13">
        <f>IF('Données projet'!$A$62&gt;35,AI41+AH42-AQ41,IF(A42&lt;'Données projet'!$A$62,$AF$205^A42,IF(A42='Données projet'!$A$62,'Données projet'!$B$62,AI41+AH42-AQ41)))</f>
        <v>286</v>
      </c>
      <c r="AJ42" s="13">
        <f>AI42*VLOOKUP('Données projet'!$B$10,Paramètres!$A$1:$I$89,3,0)*VLOOKUP('Données projet'!$B$10,Paramètres!$A$1:$I$89,5,0)</f>
        <v>133.84799999999998</v>
      </c>
      <c r="AK42" s="13">
        <f t="shared" si="35"/>
        <v>34.884003992121656</v>
      </c>
      <c r="AL42" s="20">
        <f t="shared" si="4"/>
        <v>293.8749069529452</v>
      </c>
      <c r="AM42" s="59">
        <f t="shared" si="5"/>
        <v>587.20824028627851</v>
      </c>
      <c r="AN42" s="59">
        <f ca="1">AVERAGE(OFFSET($AM$3,0,0,'Données projet'!$E$10+1,1))-AVERAGE(OFFSET($H$3,0,0,'Données projet'!$E$10+1,1))</f>
        <v>141.51368882763865</v>
      </c>
      <c r="AO42" s="59">
        <f t="shared" si="36"/>
        <v>156.34514945935399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2.8571246351073714</v>
      </c>
      <c r="AV42" s="21">
        <f>EXP(-LN(2)/25)*AV41+(1-EXP(-LN(2)/25))/(LN(2)/25)*Calculateur!AQ42*Calculateur!AS42*VLOOKUP('Données projet'!$B$10,Paramètres!$A$1:$I$89,3,0)*0.475*44/12</f>
        <v>11.918835267558302</v>
      </c>
      <c r="AW42" s="21">
        <f>EXP(-LN(2)/2)*AW41+(1-EXP(-LN(2)/2))/(LN(2)/2)*AQ42*AT42*VLOOKUP('Données projet'!$B$10,Paramètres!$A$1:$I$89,3,0)*0.475*44/12</f>
        <v>0.42269160067997763</v>
      </c>
      <c r="AX42" s="21">
        <f t="shared" si="6"/>
        <v>15.198651503345651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22.82714285714286</v>
      </c>
      <c r="N43" s="13">
        <f>IF('Données projet'!$A$36&gt;35,N42+M43-V42,IF(A43&lt;'Données projet'!$A$36,$K$205^A43,IF(A43='Données projet'!$A$36,'Données projet'!$B$36,N42+M43-V42)))</f>
        <v>404.57571428571413</v>
      </c>
      <c r="O43" s="13">
        <f>N43*VLOOKUP('Données projet'!$B$9,Paramètres!$A$1:$I$89,3,0)*VLOOKUP('Données projet'!$B$9,Paramètres!$A$1:$I$89,5,0)</f>
        <v>226.15782428571418</v>
      </c>
      <c r="P43" s="13">
        <f t="shared" si="33"/>
        <v>55.451100541643569</v>
      </c>
      <c r="Q43" s="20">
        <f t="shared" si="53"/>
        <v>490.46887740764811</v>
      </c>
      <c r="R43" s="59">
        <f t="shared" si="0"/>
        <v>783.80221074098142</v>
      </c>
      <c r="S43" s="59">
        <f ca="1">AVERAGE(OFFSET($R$3,0,0,'Données projet'!$E$9+1,1))-AVERAGE(OFFSET($H$3,0,0,'Données projet'!$E$9+1,1))</f>
        <v>250.1520902752946</v>
      </c>
      <c r="T43" s="59">
        <f t="shared" si="34"/>
        <v>258.01144895030291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28.372790092235029</v>
      </c>
      <c r="AA43" s="21">
        <f>EXP(-LN(2)/25)*AA42+(1-EXP(-LN(2)/25))/(LN(2)/25)*Calculateur!V43*Calculateur!X43*VLOOKUP('Données projet'!$B$9,Paramètres!$A$1:$I$89,3,0)*0.475*44/12</f>
        <v>22.288929394186141</v>
      </c>
      <c r="AB43" s="21">
        <f>EXP(-LN(2)/2)*AB42+(1-EXP(-LN(2)/2))/(LN(2)/2)*V43*Y43*VLOOKUP('Données projet'!$B$9,Paramètres!$A$1:$I$89,3,0)*0.475*44/12</f>
        <v>2.3282055089878284</v>
      </c>
      <c r="AC43" s="22">
        <f t="shared" si="3"/>
        <v>52.989924995408998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300</v>
      </c>
      <c r="AG43" s="12">
        <f>VLOOKUP(A43,'Données projet'!$A$61:$I$81,9,0)</f>
        <v>14</v>
      </c>
      <c r="AH43" s="12">
        <f t="array" ref="AH43">INDEX(AG:AG,MIN(IF(ISNUMBER(AG43:AG239),ROW(AG43:AG239),"")))</f>
        <v>14</v>
      </c>
      <c r="AI43" s="13">
        <f>IF('Données projet'!$A$62&gt;35,AI42+AH43-AQ42,IF(A43&lt;'Données projet'!$A$62,$AF$205^A43,IF(A43='Données projet'!$A$62,'Données projet'!$B$62,AI42+AH43-AQ42)))</f>
        <v>300</v>
      </c>
      <c r="AJ43" s="13">
        <f>AI43*VLOOKUP('Données projet'!$B$10,Paramètres!$A$1:$I$89,3,0)*VLOOKUP('Données projet'!$B$10,Paramètres!$A$1:$I$89,5,0)</f>
        <v>140.4</v>
      </c>
      <c r="AK43" s="13">
        <f t="shared" si="35"/>
        <v>36.388624656711201</v>
      </c>
      <c r="AL43" s="20">
        <f t="shared" si="4"/>
        <v>307.90685461043864</v>
      </c>
      <c r="AM43" s="59">
        <f t="shared" si="5"/>
        <v>601.24018794377196</v>
      </c>
      <c r="AN43" s="59">
        <f ca="1">AVERAGE(OFFSET($AM$3,0,0,'Données projet'!$E$10+1,1))-AVERAGE(OFFSET($H$3,0,0,'Données projet'!$E$10+1,1))</f>
        <v>141.51368882763865</v>
      </c>
      <c r="AO43" s="59">
        <f t="shared" si="36"/>
        <v>156.34514945935399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50</v>
      </c>
      <c r="AR43" s="16">
        <f>IF(ISNA(VLOOKUP(A43,'Données projet'!$A$61:$I$81,5,0)),0%,VLOOKUP(A43,'Données projet'!$A$61:$I$81,5,0)*VLOOKUP('Données projet'!$B$10,Paramètres!$A$1:$I$89,7,0))</f>
        <v>0.16500000000000001</v>
      </c>
      <c r="AS43" s="16">
        <f>IF(ISNA(VLOOKUP(A43,'Données projet'!$A$61:$I$81,6,0)),0%,VLOOKUP(A43,'Données projet'!$A$61:$I$81,6,0)*VLOOKUP('Données projet'!$B$10,Paramètres!$A$1:$I$89,7,0))</f>
        <v>0.21450000000000002</v>
      </c>
      <c r="AT43" s="16">
        <f>IF(ISNA(VLOOKUP(A43,'Données projet'!$A$61:$I$81,7,0)),0%,VLOOKUP(A43,'Données projet'!$A$61:$I$81,7,0))</f>
        <v>0.31</v>
      </c>
      <c r="AU43" s="21">
        <f>EXP(-LN(2)/35)*AU42+(1-EXP(-LN(2)/35))/(LN(2)/35)*AQ43*AR43*VLOOKUP('Données projet'!$B$10,Paramètres!$A$1:$I$89,3,0)*0.475*44/12</f>
        <v>7.9229635261389344</v>
      </c>
      <c r="AV43" s="21">
        <f>EXP(-LN(2)/25)*AV42+(1-EXP(-LN(2)/25))/(LN(2)/25)*Calculateur!AQ43*Calculateur!AS43*VLOOKUP('Données projet'!$B$10,Paramètres!$A$1:$I$89,3,0)*0.475*44/12</f>
        <v>18.225122305399918</v>
      </c>
      <c r="AW43" s="21">
        <f>EXP(-LN(2)/2)*AW42+(1-EXP(-LN(2)/2))/(LN(2)/2)*AQ43*AT43*VLOOKUP('Données projet'!$B$10,Paramètres!$A$1:$I$89,3,0)*0.475*44/12</f>
        <v>8.5121011834483884</v>
      </c>
      <c r="AX43" s="21">
        <f t="shared" si="6"/>
        <v>34.660187014987237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22.82714285714286</v>
      </c>
      <c r="N44" s="13">
        <f>IF('Données projet'!$A$36&gt;35,N43+M44-V43,IF(A44&lt;'Données projet'!$A$36,$K$205^A44,IF(A44='Données projet'!$A$36,'Données projet'!$B$36,N43+M44-V43)))</f>
        <v>427.40285714285699</v>
      </c>
      <c r="O44" s="13">
        <f>N44*VLOOKUP('Données projet'!$B$9,Paramètres!$A$1:$I$89,3,0)*VLOOKUP('Données projet'!$B$9,Paramètres!$A$1:$I$89,5,0)</f>
        <v>238.91819714285708</v>
      </c>
      <c r="P44" s="13">
        <f t="shared" si="33"/>
        <v>58.206714164613238</v>
      </c>
      <c r="Q44" s="20">
        <f t="shared" si="53"/>
        <v>517.49255386051084</v>
      </c>
      <c r="R44" s="59">
        <f t="shared" si="0"/>
        <v>810.82588719384421</v>
      </c>
      <c r="S44" s="59">
        <f ca="1">AVERAGE(OFFSET($R$3,0,0,'Données projet'!$E$9+1,1))-AVERAGE(OFFSET($H$3,0,0,'Données projet'!$E$9+1,1))</f>
        <v>250.1520902752946</v>
      </c>
      <c r="T44" s="59">
        <f t="shared" si="34"/>
        <v>258.01144895030291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27.816416984219462</v>
      </c>
      <c r="AA44" s="21">
        <f>EXP(-LN(2)/25)*AA43+(1-EXP(-LN(2)/25))/(LN(2)/25)*Calculateur!V44*Calculateur!X44*VLOOKUP('Données projet'!$B$9,Paramètres!$A$1:$I$89,3,0)*0.475*44/12</f>
        <v>21.679437447778266</v>
      </c>
      <c r="AB44" s="21">
        <f>EXP(-LN(2)/2)*AB43+(1-EXP(-LN(2)/2))/(LN(2)/2)*V44*Y44*VLOOKUP('Données projet'!$B$9,Paramètres!$A$1:$I$89,3,0)*0.475*44/12</f>
        <v>1.6462899034011711</v>
      </c>
      <c r="AC44" s="22">
        <f t="shared" si="3"/>
        <v>51.142144335398896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</v>
      </c>
      <c r="AI44" s="13">
        <f>IF('Données projet'!$A$62&gt;35,AI43+AH44-AQ43,IF(A44&lt;'Données projet'!$A$62,$AF$205^A44,IF(A44='Données projet'!$A$62,'Données projet'!$B$62,AI43+AH44-AQ43)))</f>
        <v>264</v>
      </c>
      <c r="AJ44" s="13">
        <f>AI44*VLOOKUP('Données projet'!$B$10,Paramètres!$A$1:$I$89,3,0)*VLOOKUP('Données projet'!$B$10,Paramètres!$A$1:$I$89,5,0)</f>
        <v>123.55199999999999</v>
      </c>
      <c r="AK44" s="13">
        <f t="shared" si="35"/>
        <v>32.502033262579566</v>
      </c>
      <c r="AL44" s="20">
        <f t="shared" si="4"/>
        <v>271.79410793232609</v>
      </c>
      <c r="AM44" s="59">
        <f t="shared" si="5"/>
        <v>565.1274412656594</v>
      </c>
      <c r="AN44" s="59">
        <f ca="1">AVERAGE(OFFSET($AM$3,0,0,'Données projet'!$E$10+1,1))-AVERAGE(OFFSET($H$3,0,0,'Données projet'!$E$10+1,1))</f>
        <v>141.51368882763865</v>
      </c>
      <c r="AO44" s="59">
        <f t="shared" si="36"/>
        <v>156.34514945935399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7.767599043921928</v>
      </c>
      <c r="AV44" s="21">
        <f>EXP(-LN(2)/25)*AV43+(1-EXP(-LN(2)/25))/(LN(2)/25)*Calculateur!AQ44*Calculateur!AS44*VLOOKUP('Données projet'!$B$10,Paramètres!$A$1:$I$89,3,0)*0.475*44/12</f>
        <v>17.726755377541227</v>
      </c>
      <c r="AW44" s="21">
        <f>EXP(-LN(2)/2)*AW43+(1-EXP(-LN(2)/2))/(LN(2)/2)*AQ44*AT44*VLOOKUP('Données projet'!$B$10,Paramètres!$A$1:$I$89,3,0)*0.475*44/12</f>
        <v>6.018964468962392</v>
      </c>
      <c r="AX44" s="21">
        <f t="shared" si="6"/>
        <v>31.513318890425548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450.23</v>
      </c>
      <c r="L45" s="12">
        <f>VLOOKUP(A45,'Données projet'!$A$35:$I$55,9,0)</f>
        <v>22.82714285714286</v>
      </c>
      <c r="M45" s="12">
        <f t="array" ref="M45">INDEX(L:L,MIN(IF(ISNUMBER(L45:L241),ROW(L45:L241),"")))</f>
        <v>22.82714285714286</v>
      </c>
      <c r="N45" s="13">
        <f>IF('Données projet'!$A$36&gt;35,N44+M45-V44,IF(A45&lt;'Données projet'!$A$36,$K$205^A45,IF(A45='Données projet'!$A$36,'Données projet'!$B$36,N44+M45-V44)))</f>
        <v>450.22999999999985</v>
      </c>
      <c r="O45" s="13">
        <f>N45*VLOOKUP('Données projet'!$B$9,Paramètres!$A$1:$I$89,3,0)*VLOOKUP('Données projet'!$B$9,Paramètres!$A$1:$I$89,5,0)</f>
        <v>251.67856999999992</v>
      </c>
      <c r="P45" s="13">
        <f t="shared" si="33"/>
        <v>60.945241245024086</v>
      </c>
      <c r="Q45" s="20">
        <f t="shared" si="53"/>
        <v>544.48647125175012</v>
      </c>
      <c r="R45" s="59">
        <f t="shared" si="0"/>
        <v>837.81980458508338</v>
      </c>
      <c r="S45" s="59">
        <f ca="1">AVERAGE(OFFSET($R$3,0,0,'Données projet'!$E$9+1,1))-AVERAGE(OFFSET($H$3,0,0,'Données projet'!$E$9+1,1))</f>
        <v>250.1520902752946</v>
      </c>
      <c r="T45" s="59">
        <f t="shared" si="34"/>
        <v>258.01144895030291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99.98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0.12100000000000001</v>
      </c>
      <c r="Y45" s="16">
        <f>IF(ISNA(VLOOKUP(A45,'Données projet'!$A$35:$I$55,7,0)),0%,VLOOKUP(A45,'Données projet'!$A$35:$I$55,7,0))</f>
        <v>0.18</v>
      </c>
      <c r="Z45" s="21">
        <f>EXP(-LN(2)/35)*Z44+(1-EXP(-LN(2)/35))/(LN(2)/35)*V45*W45*VLOOKUP('Données projet'!$B$9,Paramètres!$A$1:$I$89,3,0)*0.475*44/12</f>
        <v>51.737194296089292</v>
      </c>
      <c r="AA45" s="21">
        <f>EXP(-LN(2)/25)*AA44+(1-EXP(-LN(2)/25))/(LN(2)/25)*Calculateur!V45*Calculateur!X45*VLOOKUP('Données projet'!$B$9,Paramètres!$A$1:$I$89,3,0)*0.475*44/12</f>
        <v>30.022244793847825</v>
      </c>
      <c r="AB45" s="21">
        <f>EXP(-LN(2)/2)*AB44+(1-EXP(-LN(2)/2))/(LN(2)/2)*V45*Y45*VLOOKUP('Données projet'!$B$9,Paramètres!$A$1:$I$89,3,0)*0.475*44/12</f>
        <v>12.554345627929669</v>
      </c>
      <c r="AC45" s="22">
        <f t="shared" si="3"/>
        <v>94.313784717866781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</v>
      </c>
      <c r="AI45" s="13">
        <f>IF('Données projet'!$A$62&gt;35,AI44+AH45-AQ44,IF(A45&lt;'Données projet'!$A$62,$AF$205^A45,IF(A45='Données projet'!$A$62,'Données projet'!$B$62,AI44+AH45-AQ44)))</f>
        <v>278</v>
      </c>
      <c r="AJ45" s="13">
        <f>AI45*VLOOKUP('Données projet'!$B$10,Paramètres!$A$1:$I$89,3,0)*VLOOKUP('Données projet'!$B$10,Paramètres!$A$1:$I$89,5,0)</f>
        <v>130.10400000000001</v>
      </c>
      <c r="AK45" s="13">
        <f t="shared" si="35"/>
        <v>34.020389560268086</v>
      </c>
      <c r="AL45" s="20">
        <f t="shared" si="4"/>
        <v>285.8499784841336</v>
      </c>
      <c r="AM45" s="59">
        <f t="shared" si="5"/>
        <v>579.18331181746692</v>
      </c>
      <c r="AN45" s="59">
        <f ca="1">AVERAGE(OFFSET($AM$3,0,0,'Données projet'!$E$10+1,1))-AVERAGE(OFFSET($H$3,0,0,'Données projet'!$E$10+1,1))</f>
        <v>141.51368882763865</v>
      </c>
      <c r="AO45" s="59">
        <f t="shared" si="36"/>
        <v>156.34514945935399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7.6152811644382199</v>
      </c>
      <c r="AV45" s="21">
        <f>EXP(-LN(2)/25)*AV44+(1-EXP(-LN(2)/25))/(LN(2)/25)*Calculateur!AQ45*Calculateur!AS45*VLOOKUP('Données projet'!$B$10,Paramètres!$A$1:$I$89,3,0)*0.475*44/12</f>
        <v>17.242016319532812</v>
      </c>
      <c r="AW45" s="21">
        <f>EXP(-LN(2)/2)*AW44+(1-EXP(-LN(2)/2))/(LN(2)/2)*AQ45*AT45*VLOOKUP('Données projet'!$B$10,Paramètres!$A$1:$I$89,3,0)*0.475*44/12</f>
        <v>4.2560505917241942</v>
      </c>
      <c r="AX45" s="21">
        <f t="shared" si="6"/>
        <v>29.113348075695225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21.939999999999998</v>
      </c>
      <c r="N46" s="13">
        <f>IF('Données projet'!$A$36&gt;35,N45+M46-V45,IF(A46&lt;'Données projet'!$A$36,$K$205^A46,IF(A46='Données projet'!$A$36,'Données projet'!$B$36,N45+M46-V45)))</f>
        <v>372.18999999999983</v>
      </c>
      <c r="O46" s="13">
        <f>N46*VLOOKUP('Données projet'!$B$9,Paramètres!$A$1:$I$89,3,0)*VLOOKUP('Données projet'!$B$9,Paramètres!$A$1:$I$89,5,0)</f>
        <v>208.05420999999993</v>
      </c>
      <c r="P46" s="13">
        <f t="shared" si="33"/>
        <v>51.510151537098693</v>
      </c>
      <c r="Q46" s="20">
        <f t="shared" si="53"/>
        <v>452.07459634378012</v>
      </c>
      <c r="R46" s="59">
        <f t="shared" si="0"/>
        <v>745.40792967711343</v>
      </c>
      <c r="S46" s="59">
        <f ca="1">AVERAGE(OFFSET($R$3,0,0,'Données projet'!$E$9+1,1))-AVERAGE(OFFSET($H$3,0,0,'Données projet'!$E$9+1,1))</f>
        <v>250.1520902752946</v>
      </c>
      <c r="T46" s="59">
        <f t="shared" si="34"/>
        <v>258.01144895030291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50.722659472515552</v>
      </c>
      <c r="AA46" s="21">
        <f>EXP(-LN(2)/25)*AA45+(1-EXP(-LN(2)/25))/(LN(2)/25)*Calculateur!V46*Calculateur!X46*VLOOKUP('Données projet'!$B$9,Paramètres!$A$1:$I$89,3,0)*0.475*44/12</f>
        <v>29.201284931158821</v>
      </c>
      <c r="AB46" s="21">
        <f>EXP(-LN(2)/2)*AB45+(1-EXP(-LN(2)/2))/(LN(2)/2)*V46*Y46*VLOOKUP('Données projet'!$B$9,Paramètres!$A$1:$I$89,3,0)*0.475*44/12</f>
        <v>8.8772629268687542</v>
      </c>
      <c r="AC46" s="22">
        <f t="shared" si="3"/>
        <v>88.801207330543122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</v>
      </c>
      <c r="AI46" s="13">
        <f>IF('Données projet'!$A$62&gt;35,AI45+AH46-AQ45,IF(A46&lt;'Données projet'!$A$62,$AF$205^A46,IF(A46='Données projet'!$A$62,'Données projet'!$B$62,AI45+AH46-AQ45)))</f>
        <v>292</v>
      </c>
      <c r="AJ46" s="13">
        <f>AI46*VLOOKUP('Données projet'!$B$10,Paramètres!$A$1:$I$89,3,0)*VLOOKUP('Données projet'!$B$10,Paramètres!$A$1:$I$89,5,0)</f>
        <v>136.65600000000001</v>
      </c>
      <c r="AK46" s="13">
        <f t="shared" si="35"/>
        <v>35.52986752364091</v>
      </c>
      <c r="AL46" s="20">
        <f t="shared" si="4"/>
        <v>299.89038593700792</v>
      </c>
      <c r="AM46" s="59">
        <f t="shared" si="5"/>
        <v>593.22371927034123</v>
      </c>
      <c r="AN46" s="59">
        <f ca="1">AVERAGE(OFFSET($AM$3,0,0,'Données projet'!$E$10+1,1))-AVERAGE(OFFSET($H$3,0,0,'Données projet'!$E$10+1,1))</f>
        <v>141.51368882763865</v>
      </c>
      <c r="AO46" s="59">
        <f t="shared" si="36"/>
        <v>156.34514945935399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7.4659501456664543</v>
      </c>
      <c r="AV46" s="21">
        <f>EXP(-LN(2)/25)*AV45+(1-EXP(-LN(2)/25))/(LN(2)/25)*Calculateur!AQ46*Calculateur!AS46*VLOOKUP('Données projet'!$B$10,Paramètres!$A$1:$I$89,3,0)*0.475*44/12</f>
        <v>16.770532476556955</v>
      </c>
      <c r="AW46" s="21">
        <f>EXP(-LN(2)/2)*AW45+(1-EXP(-LN(2)/2))/(LN(2)/2)*AQ46*AT46*VLOOKUP('Données projet'!$B$10,Paramètres!$A$1:$I$89,3,0)*0.475*44/12</f>
        <v>3.009482234481196</v>
      </c>
      <c r="AX46" s="21">
        <f t="shared" si="6"/>
        <v>27.245964856704607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21.939999999999998</v>
      </c>
      <c r="N47" s="13">
        <f>IF('Données projet'!$A$36&gt;35,N46+M47-V46,IF(A47&lt;'Données projet'!$A$36,$K$205^A47,IF(A47='Données projet'!$A$36,'Données projet'!$B$36,N46+M47-V46)))</f>
        <v>394.12999999999982</v>
      </c>
      <c r="O47" s="13">
        <f>N47*VLOOKUP('Données projet'!$B$9,Paramètres!$A$1:$I$89,3,0)*VLOOKUP('Données projet'!$B$9,Paramètres!$A$1:$I$89,5,0)</f>
        <v>220.31866999999988</v>
      </c>
      <c r="P47" s="13">
        <f t="shared" si="33"/>
        <v>54.184141234835515</v>
      </c>
      <c r="Q47" s="20">
        <f t="shared" si="53"/>
        <v>478.09239623400498</v>
      </c>
      <c r="R47" s="59">
        <f t="shared" si="0"/>
        <v>771.42572956733829</v>
      </c>
      <c r="S47" s="59">
        <f ca="1">AVERAGE(OFFSET($R$3,0,0,'Données projet'!$E$9+1,1))-AVERAGE(OFFSET($H$3,0,0,'Données projet'!$E$9+1,1))</f>
        <v>250.1520902752946</v>
      </c>
      <c r="T47" s="59">
        <f t="shared" si="34"/>
        <v>258.01144895030291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49.728019058026952</v>
      </c>
      <c r="AA47" s="21">
        <f>EXP(-LN(2)/25)*AA46+(1-EXP(-LN(2)/25))/(LN(2)/25)*Calculateur!V47*Calculateur!X47*VLOOKUP('Données projet'!$B$9,Paramètres!$A$1:$I$89,3,0)*0.475*44/12</f>
        <v>28.402774259087447</v>
      </c>
      <c r="AB47" s="21">
        <f>EXP(-LN(2)/2)*AB46+(1-EXP(-LN(2)/2))/(LN(2)/2)*V47*Y47*VLOOKUP('Données projet'!$B$9,Paramètres!$A$1:$I$89,3,0)*0.475*44/12</f>
        <v>6.2771728139648353</v>
      </c>
      <c r="AC47" s="22">
        <f t="shared" si="3"/>
        <v>84.407966131079235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</v>
      </c>
      <c r="AI47" s="13">
        <f>IF('Données projet'!$A$62&gt;35,AI46+AH47-AQ46,IF(A47&lt;'Données projet'!$A$62,$AF$205^A47,IF(A47='Données projet'!$A$62,'Données projet'!$B$62,AI46+AH47-AQ46)))</f>
        <v>306</v>
      </c>
      <c r="AJ47" s="13">
        <f>AI47*VLOOKUP('Données projet'!$B$10,Paramètres!$A$1:$I$89,3,0)*VLOOKUP('Données projet'!$B$10,Paramètres!$A$1:$I$89,5,0)</f>
        <v>143.208</v>
      </c>
      <c r="AK47" s="13">
        <f t="shared" si="35"/>
        <v>37.030941422835802</v>
      </c>
      <c r="AL47" s="20">
        <f t="shared" si="4"/>
        <v>313.91615631143901</v>
      </c>
      <c r="AM47" s="59">
        <f t="shared" si="5"/>
        <v>607.24948964477232</v>
      </c>
      <c r="AN47" s="59">
        <f ca="1">AVERAGE(OFFSET($AM$3,0,0,'Données projet'!$E$10+1,1))-AVERAGE(OFFSET($H$3,0,0,'Données projet'!$E$10+1,1))</f>
        <v>141.51368882763865</v>
      </c>
      <c r="AO47" s="59">
        <f t="shared" si="36"/>
        <v>156.34514945935399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7.3195474170898756</v>
      </c>
      <c r="AV47" s="21">
        <f>EXP(-LN(2)/25)*AV46+(1-EXP(-LN(2)/25))/(LN(2)/25)*Calculateur!AQ47*Calculateur!AS47*VLOOKUP('Données projet'!$B$10,Paramètres!$A$1:$I$89,3,0)*0.475*44/12</f>
        <v>16.31194138406153</v>
      </c>
      <c r="AW47" s="21">
        <f>EXP(-LN(2)/2)*AW46+(1-EXP(-LN(2)/2))/(LN(2)/2)*AQ47*AT47*VLOOKUP('Données projet'!$B$10,Paramètres!$A$1:$I$89,3,0)*0.475*44/12</f>
        <v>2.1280252958620971</v>
      </c>
      <c r="AX47" s="21">
        <f t="shared" si="6"/>
        <v>25.759514097013504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21.939999999999998</v>
      </c>
      <c r="N48" s="13">
        <f>IF('Données projet'!$A$36&gt;35,N47+M48-V47,IF(A48&lt;'Données projet'!$A$36,$K$205^A48,IF(A48='Données projet'!$A$36,'Données projet'!$B$36,N47+M48-V47)))</f>
        <v>416.06999999999982</v>
      </c>
      <c r="O48" s="13">
        <f>N48*VLOOKUP('Données projet'!$B$9,Paramètres!$A$1:$I$89,3,0)*VLOOKUP('Données projet'!$B$9,Paramètres!$A$1:$I$89,5,0)</f>
        <v>232.5831299999999</v>
      </c>
      <c r="P48" s="13">
        <f t="shared" si="33"/>
        <v>56.84085106563974</v>
      </c>
      <c r="Q48" s="20">
        <f t="shared" si="53"/>
        <v>504.08010035598892</v>
      </c>
      <c r="R48" s="59">
        <f t="shared" si="0"/>
        <v>797.41343368932223</v>
      </c>
      <c r="S48" s="59">
        <f ca="1">AVERAGE(OFFSET($R$3,0,0,'Données projet'!$E$9+1,1))-AVERAGE(OFFSET($H$3,0,0,'Données projet'!$E$9+1,1))</f>
        <v>250.1520902752946</v>
      </c>
      <c r="T48" s="59">
        <f t="shared" si="34"/>
        <v>258.01144895030291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48.752882935395725</v>
      </c>
      <c r="AA48" s="21">
        <f>EXP(-LN(2)/25)*AA47+(1-EXP(-LN(2)/25))/(LN(2)/25)*Calculateur!V48*Calculateur!X48*VLOOKUP('Données projet'!$B$9,Paramètres!$A$1:$I$89,3,0)*0.475*44/12</f>
        <v>27.62609890333572</v>
      </c>
      <c r="AB48" s="21">
        <f>EXP(-LN(2)/2)*AB47+(1-EXP(-LN(2)/2))/(LN(2)/2)*V48*Y48*VLOOKUP('Données projet'!$B$9,Paramètres!$A$1:$I$89,3,0)*0.475*44/12</f>
        <v>4.438631463434378</v>
      </c>
      <c r="AC48" s="22">
        <f t="shared" si="3"/>
        <v>80.817613302165825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</v>
      </c>
      <c r="AI48" s="13">
        <f>IF('Données projet'!$A$62&gt;35,AI47+AH48-AQ47,IF(A48&lt;'Données projet'!$A$62,$AF$205^A48,IF(A48='Données projet'!$A$62,'Données projet'!$B$62,AI47+AH48-AQ47)))</f>
        <v>320</v>
      </c>
      <c r="AJ48" s="13">
        <f>AI48*VLOOKUP('Données projet'!$B$10,Paramètres!$A$1:$I$89,3,0)*VLOOKUP('Données projet'!$B$10,Paramètres!$A$1:$I$89,5,0)</f>
        <v>149.76</v>
      </c>
      <c r="AK48" s="13">
        <f t="shared" si="35"/>
        <v>38.524039677774802</v>
      </c>
      <c r="AL48" s="20">
        <f t="shared" si="4"/>
        <v>327.92803577212442</v>
      </c>
      <c r="AM48" s="59">
        <f t="shared" si="5"/>
        <v>621.26136910545779</v>
      </c>
      <c r="AN48" s="59">
        <f ca="1">AVERAGE(OFFSET($AM$3,0,0,'Données projet'!$E$10+1,1))-AVERAGE(OFFSET($H$3,0,0,'Données projet'!$E$10+1,1))</f>
        <v>141.51368882763865</v>
      </c>
      <c r="AO48" s="59">
        <f t="shared" si="36"/>
        <v>156.34514945935399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7.1760155567238364</v>
      </c>
      <c r="AV48" s="21">
        <f>EXP(-LN(2)/25)*AV47+(1-EXP(-LN(2)/25))/(LN(2)/25)*Calculateur!AQ48*Calculateur!AS48*VLOOKUP('Données projet'!$B$10,Paramètres!$A$1:$I$89,3,0)*0.475*44/12</f>
        <v>15.865890489106652</v>
      </c>
      <c r="AW48" s="21">
        <f>EXP(-LN(2)/2)*AW47+(1-EXP(-LN(2)/2))/(LN(2)/2)*AQ48*AT48*VLOOKUP('Données projet'!$B$10,Paramètres!$A$1:$I$89,3,0)*0.475*44/12</f>
        <v>1.504741117240598</v>
      </c>
      <c r="AX48" s="21">
        <f t="shared" si="6"/>
        <v>24.546647163071086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21.939999999999998</v>
      </c>
      <c r="N49" s="13">
        <f>IF('Données projet'!$A$36&gt;35,N48+M49-V48,IF(A49&lt;'Données projet'!$A$36,$K$205^A49,IF(A49='Données projet'!$A$36,'Données projet'!$B$36,N48+M49-V48)))</f>
        <v>438.00999999999982</v>
      </c>
      <c r="O49" s="13">
        <f>N49*VLOOKUP('Données projet'!$B$9,Paramètres!$A$1:$I$89,3,0)*VLOOKUP('Données projet'!$B$9,Paramètres!$A$1:$I$89,5,0)</f>
        <v>244.84758999999991</v>
      </c>
      <c r="P49" s="13">
        <f t="shared" si="33"/>
        <v>59.481296135283444</v>
      </c>
      <c r="Q49" s="20">
        <f t="shared" si="53"/>
        <v>530.03947668561852</v>
      </c>
      <c r="R49" s="59">
        <f t="shared" si="0"/>
        <v>823.3728100189519</v>
      </c>
      <c r="S49" s="59">
        <f ca="1">AVERAGE(OFFSET($R$3,0,0,'Données projet'!$E$9+1,1))-AVERAGE(OFFSET($H$3,0,0,'Données projet'!$E$9+1,1))</f>
        <v>250.1520902752946</v>
      </c>
      <c r="T49" s="59">
        <f t="shared" si="34"/>
        <v>258.01144895030291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47.79686863735499</v>
      </c>
      <c r="AA49" s="21">
        <f>EXP(-LN(2)/25)*AA48+(1-EXP(-LN(2)/25))/(LN(2)/25)*Calculateur!V49*Calculateur!X49*VLOOKUP('Données projet'!$B$9,Paramètres!$A$1:$I$89,3,0)*0.475*44/12</f>
        <v>26.870661776030605</v>
      </c>
      <c r="AB49" s="21">
        <f>EXP(-LN(2)/2)*AB48+(1-EXP(-LN(2)/2))/(LN(2)/2)*V49*Y49*VLOOKUP('Données projet'!$B$9,Paramètres!$A$1:$I$89,3,0)*0.475*44/12</f>
        <v>3.1385864069824181</v>
      </c>
      <c r="AC49" s="22">
        <f t="shared" si="3"/>
        <v>77.806116820368004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</v>
      </c>
      <c r="AI49" s="13">
        <f>IF('Données projet'!$A$62&gt;35,AI48+AH49-AQ48,IF(A49&lt;'Données projet'!$A$62,$AF$205^A49,IF(A49='Données projet'!$A$62,'Données projet'!$B$62,AI48+AH49-AQ48)))</f>
        <v>334</v>
      </c>
      <c r="AJ49" s="13">
        <f>AI49*VLOOKUP('Données projet'!$B$10,Paramètres!$A$1:$I$89,3,0)*VLOOKUP('Données projet'!$B$10,Paramètres!$A$1:$I$89,5,0)</f>
        <v>156.31200000000001</v>
      </c>
      <c r="AK49" s="13">
        <f t="shared" si="35"/>
        <v>40.009551101892576</v>
      </c>
      <c r="AL49" s="20">
        <f t="shared" si="4"/>
        <v>341.92670150246295</v>
      </c>
      <c r="AM49" s="59">
        <f t="shared" si="5"/>
        <v>635.2600348357962</v>
      </c>
      <c r="AN49" s="59">
        <f ca="1">AVERAGE(OFFSET($AM$3,0,0,'Données projet'!$E$10+1,1))-AVERAGE(OFFSET($H$3,0,0,'Données projet'!$E$10+1,1))</f>
        <v>141.51368882763865</v>
      </c>
      <c r="AO49" s="59">
        <f t="shared" si="36"/>
        <v>156.34514945935399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7.0352982685937846</v>
      </c>
      <c r="AV49" s="21">
        <f>EXP(-LN(2)/25)*AV48+(1-EXP(-LN(2)/25))/(LN(2)/25)*Calculateur!AQ49*Calculateur!AS49*VLOOKUP('Données projet'!$B$10,Paramètres!$A$1:$I$89,3,0)*0.475*44/12</f>
        <v>15.432036879331113</v>
      </c>
      <c r="AW49" s="21">
        <f>EXP(-LN(2)/2)*AW48+(1-EXP(-LN(2)/2))/(LN(2)/2)*AQ49*AT49*VLOOKUP('Données projet'!$B$10,Paramètres!$A$1:$I$89,3,0)*0.475*44/12</f>
        <v>1.0640126479310485</v>
      </c>
      <c r="AX49" s="21">
        <f t="shared" si="6"/>
        <v>23.531347795855947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21.939999999999998</v>
      </c>
      <c r="N50" s="13">
        <f>IF('Données projet'!$A$36&gt;35,N49+M50-V49,IF(A50&lt;'Données projet'!$A$36,$K$205^A50,IF(A50='Données projet'!$A$36,'Données projet'!$B$36,N49+M50-V49)))</f>
        <v>459.94999999999982</v>
      </c>
      <c r="O50" s="13">
        <f>N50*VLOOKUP('Données projet'!$B$9,Paramètres!$A$1:$I$89,3,0)*VLOOKUP('Données projet'!$B$9,Paramètres!$A$1:$I$89,5,0)</f>
        <v>257.1120499999999</v>
      </c>
      <c r="P50" s="13">
        <f t="shared" si="33"/>
        <v>62.106384111300528</v>
      </c>
      <c r="Q50" s="20">
        <f t="shared" si="53"/>
        <v>555.97210607718159</v>
      </c>
      <c r="R50" s="59">
        <f t="shared" si="0"/>
        <v>849.30543941051496</v>
      </c>
      <c r="S50" s="59">
        <f ca="1">AVERAGE(OFFSET($R$3,0,0,'Données projet'!$E$9+1,1))-AVERAGE(OFFSET($H$3,0,0,'Données projet'!$E$9+1,1))</f>
        <v>250.1520902752946</v>
      </c>
      <c r="T50" s="59">
        <f t="shared" si="34"/>
        <v>258.01144895030291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46.85960119658769</v>
      </c>
      <c r="AA50" s="21">
        <f>EXP(-LN(2)/25)*AA49+(1-EXP(-LN(2)/25))/(LN(2)/25)*Calculateur!V50*Calculateur!X50*VLOOKUP('Données projet'!$B$9,Paramètres!$A$1:$I$89,3,0)*0.475*44/12</f>
        <v>26.135882116698358</v>
      </c>
      <c r="AB50" s="21">
        <f>EXP(-LN(2)/2)*AB49+(1-EXP(-LN(2)/2))/(LN(2)/2)*V50*Y50*VLOOKUP('Données projet'!$B$9,Paramètres!$A$1:$I$89,3,0)*0.475*44/12</f>
        <v>2.2193157317171894</v>
      </c>
      <c r="AC50" s="22">
        <f t="shared" si="3"/>
        <v>75.214799045003232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</v>
      </c>
      <c r="AI50" s="13">
        <f>IF('Données projet'!$A$62&gt;35,AI49+AH50-AQ49,IF(A50&lt;'Données projet'!$A$62,$AF$205^A50,IF(A50='Données projet'!$A$62,'Données projet'!$B$62,AI49+AH50-AQ49)))</f>
        <v>348</v>
      </c>
      <c r="AJ50" s="13">
        <f>AI50*VLOOKUP('Données projet'!$B$10,Paramètres!$A$1:$I$89,3,0)*VLOOKUP('Données projet'!$B$10,Paramètres!$A$1:$I$89,5,0)</f>
        <v>162.864</v>
      </c>
      <c r="AK50" s="13">
        <f t="shared" si="35"/>
        <v>41.487830069509123</v>
      </c>
      <c r="AL50" s="20">
        <f t="shared" si="4"/>
        <v>355.91277070439509</v>
      </c>
      <c r="AM50" s="59">
        <f t="shared" si="5"/>
        <v>649.2461040377284</v>
      </c>
      <c r="AN50" s="59">
        <f ca="1">AVERAGE(OFFSET($AM$3,0,0,'Données projet'!$E$10+1,1))-AVERAGE(OFFSET($H$3,0,0,'Données projet'!$E$10+1,1))</f>
        <v>141.51368882763865</v>
      </c>
      <c r="AO50" s="59">
        <f t="shared" si="36"/>
        <v>156.34514945935399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6.8973403606548924</v>
      </c>
      <c r="AV50" s="21">
        <f>EXP(-LN(2)/25)*AV49+(1-EXP(-LN(2)/25))/(LN(2)/25)*Calculateur!AQ50*Calculateur!AS50*VLOOKUP('Données projet'!$B$10,Paramètres!$A$1:$I$89,3,0)*0.475*44/12</f>
        <v>15.010047019330255</v>
      </c>
      <c r="AW50" s="21">
        <f>EXP(-LN(2)/2)*AW49+(1-EXP(-LN(2)/2))/(LN(2)/2)*AQ50*AT50*VLOOKUP('Données projet'!$B$10,Paramètres!$A$1:$I$89,3,0)*0.475*44/12</f>
        <v>0.752370558620299</v>
      </c>
      <c r="AX50" s="21">
        <f t="shared" si="6"/>
        <v>22.659757938605445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21.939999999999998</v>
      </c>
      <c r="N51" s="13">
        <f>IF('Données projet'!$A$36&gt;35,N50+M51-V50,IF(A51&lt;'Données projet'!$A$36,$K$205^A51,IF(A51='Données projet'!$A$36,'Données projet'!$B$36,N50+M51-V50)))</f>
        <v>481.88999999999982</v>
      </c>
      <c r="O51" s="13">
        <f>N51*VLOOKUP('Données projet'!$B$9,Paramètres!$A$1:$I$89,3,0)*VLOOKUP('Données projet'!$B$9,Paramètres!$A$1:$I$89,5,0)</f>
        <v>269.37650999999994</v>
      </c>
      <c r="P51" s="13">
        <f t="shared" si="33"/>
        <v>64.716931175288423</v>
      </c>
      <c r="Q51" s="20">
        <f t="shared" si="53"/>
        <v>581.87941004696052</v>
      </c>
      <c r="R51" s="59">
        <f t="shared" si="0"/>
        <v>875.21274338029389</v>
      </c>
      <c r="S51" s="59">
        <f ca="1">AVERAGE(OFFSET($R$3,0,0,'Données projet'!$E$9+1,1))-AVERAGE(OFFSET($H$3,0,0,'Données projet'!$E$9+1,1))</f>
        <v>250.1520902752946</v>
      </c>
      <c r="T51" s="59">
        <f t="shared" si="34"/>
        <v>258.01144895030291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45.940712998657141</v>
      </c>
      <c r="AA51" s="21">
        <f>EXP(-LN(2)/25)*AA50+(1-EXP(-LN(2)/25))/(LN(2)/25)*Calculateur!V51*Calculateur!X51*VLOOKUP('Données projet'!$B$9,Paramètres!$A$1:$I$89,3,0)*0.475*44/12</f>
        <v>25.421195045790935</v>
      </c>
      <c r="AB51" s="21">
        <f>EXP(-LN(2)/2)*AB50+(1-EXP(-LN(2)/2))/(LN(2)/2)*V51*Y51*VLOOKUP('Données projet'!$B$9,Paramètres!$A$1:$I$89,3,0)*0.475*44/12</f>
        <v>1.5692932034912095</v>
      </c>
      <c r="AC51" s="22">
        <f t="shared" si="3"/>
        <v>72.931201247939285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</v>
      </c>
      <c r="AI51" s="13">
        <f>IF('Données projet'!$A$62&gt;35,AI50+AH51-AQ50,IF(A51&lt;'Données projet'!$A$62,$AF$205^A51,IF(A51='Données projet'!$A$62,'Données projet'!$B$62,AI50+AH51-AQ50)))</f>
        <v>362</v>
      </c>
      <c r="AJ51" s="13">
        <f>AI51*VLOOKUP('Données projet'!$B$10,Paramètres!$A$1:$I$89,3,0)*VLOOKUP('Données projet'!$B$10,Paramètres!$A$1:$I$89,5,0)</f>
        <v>169.416</v>
      </c>
      <c r="AK51" s="13">
        <f t="shared" si="35"/>
        <v>42.959200828261054</v>
      </c>
      <c r="AL51" s="20">
        <f t="shared" si="4"/>
        <v>369.88680810922136</v>
      </c>
      <c r="AM51" s="59">
        <f t="shared" si="5"/>
        <v>663.22014144255468</v>
      </c>
      <c r="AN51" s="59">
        <f ca="1">AVERAGE(OFFSET($AM$3,0,0,'Données projet'!$E$10+1,1))-AVERAGE(OFFSET($H$3,0,0,'Données projet'!$E$10+1,1))</f>
        <v>141.51368882763865</v>
      </c>
      <c r="AO51" s="59">
        <f t="shared" si="36"/>
        <v>156.34514945935399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6.762087723144667</v>
      </c>
      <c r="AV51" s="21">
        <f>EXP(-LN(2)/25)*AV50+(1-EXP(-LN(2)/25))/(LN(2)/25)*Calculateur!AQ51*Calculateur!AS51*VLOOKUP('Données projet'!$B$10,Paramètres!$A$1:$I$89,3,0)*0.475*44/12</f>
        <v>14.599596494242602</v>
      </c>
      <c r="AW51" s="21">
        <f>EXP(-LN(2)/2)*AW50+(1-EXP(-LN(2)/2))/(LN(2)/2)*AQ51*AT51*VLOOKUP('Données projet'!$B$10,Paramètres!$A$1:$I$89,3,0)*0.475*44/12</f>
        <v>0.53200632396552427</v>
      </c>
      <c r="AX51" s="21">
        <f t="shared" si="6"/>
        <v>21.893690541352797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503.83</v>
      </c>
      <c r="L52" s="12">
        <f>VLOOKUP(A52,'Données projet'!$A$35:$I$55,9,0)</f>
        <v>21.939999999999998</v>
      </c>
      <c r="M52" s="12">
        <f t="array" ref="M52">INDEX(L:L,MIN(IF(ISNUMBER(L52:L248),ROW(L52:L248),"")))</f>
        <v>21.939999999999998</v>
      </c>
      <c r="N52" s="13">
        <f>IF('Données projet'!$A$36&gt;35,N51+M52-V51,IF(A52&lt;'Données projet'!$A$36,$K$205^A52,IF(A52='Données projet'!$A$36,'Données projet'!$B$36,N51+M52-V51)))</f>
        <v>503.82999999999981</v>
      </c>
      <c r="O52" s="13">
        <f>N52*VLOOKUP('Données projet'!$B$9,Paramètres!$A$1:$I$89,3,0)*VLOOKUP('Données projet'!$B$9,Paramètres!$A$1:$I$89,5,0)</f>
        <v>281.64096999999987</v>
      </c>
      <c r="P52" s="13">
        <f t="shared" si="33"/>
        <v>67.313674987907305</v>
      </c>
      <c r="Q52" s="20">
        <f t="shared" si="53"/>
        <v>607.76267335393834</v>
      </c>
      <c r="R52" s="59">
        <f t="shared" si="0"/>
        <v>901.09600668727171</v>
      </c>
      <c r="S52" s="59">
        <f ca="1">AVERAGE(OFFSET($R$3,0,0,'Données projet'!$E$9+1,1))-AVERAGE(OFFSET($H$3,0,0,'Données projet'!$E$9+1,1))</f>
        <v>250.1520902752946</v>
      </c>
      <c r="T52" s="59">
        <f t="shared" si="34"/>
        <v>258.01144895030291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113</v>
      </c>
      <c r="W52" s="16">
        <f>IF(ISNA(VLOOKUP(A52,'Données projet'!$A$35:$I$55,5,0)),0%,VLOOKUP(A52,'Données projet'!$A$35:$I$55,5,0)*VLOOKUP('Données projet'!$B$9,Paramètres!$A$1:$I$89,7,0))</f>
        <v>0.38500000000000001</v>
      </c>
      <c r="X52" s="16">
        <f>IF(ISNA(VLOOKUP(A52,'Données projet'!$A$35:$I$55,6,0)),0%,VLOOKUP(A52,'Données projet'!$A$35:$I$55,6,0)*VLOOKUP('Données projet'!$B$9,Paramètres!$A$1:$I$89,7,0))</f>
        <v>9.3500000000000014E-2</v>
      </c>
      <c r="Y52" s="16">
        <f>IF(ISNA(VLOOKUP(A52,'Données projet'!$A$35:$I$55,7,0)),0%,VLOOKUP(A52,'Données projet'!$A$35:$I$55,7,0))</f>
        <v>0.13</v>
      </c>
      <c r="Z52" s="21">
        <f>EXP(-LN(2)/35)*Z51+(1-EXP(-LN(2)/35))/(LN(2)/35)*V52*W52*VLOOKUP('Données projet'!$B$9,Paramètres!$A$1:$I$89,3,0)*0.475*44/12</f>
        <v>77.300955966170079</v>
      </c>
      <c r="AA52" s="21">
        <f>EXP(-LN(2)/25)*AA51+(1-EXP(-LN(2)/25))/(LN(2)/25)*Calculateur!V52*Calculateur!X52*VLOOKUP('Données projet'!$B$9,Paramètres!$A$1:$I$89,3,0)*0.475*44/12</f>
        <v>32.530043939325431</v>
      </c>
      <c r="AB52" s="21">
        <f>EXP(-LN(2)/2)*AB51+(1-EXP(-LN(2)/2))/(LN(2)/2)*V52*Y52*VLOOKUP('Données projet'!$B$9,Paramètres!$A$1:$I$89,3,0)*0.475*44/12</f>
        <v>10.407221145779651</v>
      </c>
      <c r="AC52" s="22">
        <f t="shared" si="3"/>
        <v>120.23822105127516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</v>
      </c>
      <c r="AI52" s="13">
        <f>IF('Données projet'!$A$62&gt;35,AI51+AH52-AQ51,IF(A52&lt;'Données projet'!$A$62,$AF$205^A52,IF(A52='Données projet'!$A$62,'Données projet'!$B$62,AI51+AH52-AQ51)))</f>
        <v>376</v>
      </c>
      <c r="AJ52" s="13">
        <f>AI52*VLOOKUP('Données projet'!$B$10,Paramètres!$A$1:$I$89,3,0)*VLOOKUP('Données projet'!$B$10,Paramètres!$A$1:$I$89,5,0)</f>
        <v>175.96799999999999</v>
      </c>
      <c r="AK52" s="13">
        <f t="shared" si="35"/>
        <v>44.423961125650585</v>
      </c>
      <c r="AL52" s="20">
        <f t="shared" si="4"/>
        <v>383.84933229384137</v>
      </c>
      <c r="AM52" s="59">
        <f t="shared" si="5"/>
        <v>677.18266562717463</v>
      </c>
      <c r="AN52" s="59">
        <f ca="1">AVERAGE(OFFSET($AM$3,0,0,'Données projet'!$E$10+1,1))-AVERAGE(OFFSET($H$3,0,0,'Données projet'!$E$10+1,1))</f>
        <v>141.51368882763865</v>
      </c>
      <c r="AO52" s="59">
        <f t="shared" si="36"/>
        <v>156.34514945935399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6.629487307360054</v>
      </c>
      <c r="AV52" s="21">
        <f>EXP(-LN(2)/25)*AV51+(1-EXP(-LN(2)/25))/(LN(2)/25)*Calculateur!AQ52*Calculateur!AS52*VLOOKUP('Données projet'!$B$10,Paramètres!$A$1:$I$89,3,0)*0.475*44/12</f>
        <v>14.200369760348126</v>
      </c>
      <c r="AW52" s="21">
        <f>EXP(-LN(2)/2)*AW51+(1-EXP(-LN(2)/2))/(LN(2)/2)*AQ52*AT52*VLOOKUP('Données projet'!$B$10,Paramètres!$A$1:$I$89,3,0)*0.475*44/12</f>
        <v>0.3761852793101495</v>
      </c>
      <c r="AX52" s="21">
        <f t="shared" si="6"/>
        <v>21.206042347018329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12.969090909090911</v>
      </c>
      <c r="N53" s="13">
        <f>IF('Données projet'!$A$36&gt;35,N52+M53-V52,IF(A53&lt;'Données projet'!$A$36,$K$205^A53,IF(A53='Données projet'!$A$36,'Données projet'!$B$36,N52+M53-V52)))</f>
        <v>403.79909090909075</v>
      </c>
      <c r="O53" s="13">
        <f>N53*VLOOKUP('Données projet'!$B$9,Paramètres!$A$1:$I$89,3,0)*VLOOKUP('Données projet'!$B$9,Paramètres!$A$1:$I$89,5,0)</f>
        <v>225.72369181818175</v>
      </c>
      <c r="P53" s="13">
        <f t="shared" si="33"/>
        <v>55.357036187448529</v>
      </c>
      <c r="Q53" s="20">
        <f t="shared" si="53"/>
        <v>489.54893460980605</v>
      </c>
      <c r="R53" s="59">
        <f t="shared" si="0"/>
        <v>782.88226794313937</v>
      </c>
      <c r="S53" s="59">
        <f ca="1">AVERAGE(OFFSET($R$3,0,0,'Données projet'!$E$9+1,1))-AVERAGE(OFFSET($H$3,0,0,'Données projet'!$E$9+1,1))</f>
        <v>250.1520902752946</v>
      </c>
      <c r="T53" s="59">
        <f t="shared" si="34"/>
        <v>258.01144895030291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75.785131368601057</v>
      </c>
      <c r="AA53" s="21">
        <f>EXP(-LN(2)/25)*AA52+(1-EXP(-LN(2)/25))/(LN(2)/25)*Calculateur!V53*Calculateur!X53*VLOOKUP('Données projet'!$B$9,Paramètres!$A$1:$I$89,3,0)*0.475*44/12</f>
        <v>31.640508177123916</v>
      </c>
      <c r="AB53" s="21">
        <f>EXP(-LN(2)/2)*AB52+(1-EXP(-LN(2)/2))/(LN(2)/2)*V53*Y53*VLOOKUP('Données projet'!$B$9,Paramètres!$A$1:$I$89,3,0)*0.475*44/12</f>
        <v>7.3590166454888228</v>
      </c>
      <c r="AC53" s="22">
        <f t="shared" si="3"/>
        <v>114.7846561912138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390</v>
      </c>
      <c r="AG53" s="12">
        <f>VLOOKUP(A53,'Données projet'!$A$61:$I$81,9,0)</f>
        <v>14</v>
      </c>
      <c r="AH53" s="12">
        <f t="array" ref="AH53">INDEX(AG:AG,MIN(IF(ISNUMBER(AG53:AG249),ROW(AG53:AG249),"")))</f>
        <v>14</v>
      </c>
      <c r="AI53" s="13">
        <f>IF('Données projet'!$A$62&gt;35,AI52+AH53-AQ52,IF(A53&lt;'Données projet'!$A$62,$AF$205^A53,IF(A53='Données projet'!$A$62,'Données projet'!$B$62,AI52+AH53-AQ52)))</f>
        <v>390</v>
      </c>
      <c r="AJ53" s="13">
        <f>AI53*VLOOKUP('Données projet'!$B$10,Paramètres!$A$1:$I$89,3,0)*VLOOKUP('Données projet'!$B$10,Paramètres!$A$1:$I$89,5,0)</f>
        <v>182.52</v>
      </c>
      <c r="AK53" s="13">
        <f t="shared" si="35"/>
        <v>45.882385280285632</v>
      </c>
      <c r="AL53" s="20">
        <f t="shared" si="4"/>
        <v>397.80082102983079</v>
      </c>
      <c r="AM53" s="59">
        <f t="shared" si="5"/>
        <v>691.13415436316404</v>
      </c>
      <c r="AN53" s="59">
        <f ca="1">AVERAGE(OFFSET($AM$3,0,0,'Données projet'!$E$10+1,1))-AVERAGE(OFFSET($H$3,0,0,'Données projet'!$E$10+1,1))</f>
        <v>141.51368882763865</v>
      </c>
      <c r="AO53" s="59">
        <f t="shared" si="36"/>
        <v>156.34514945935399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0.22000000000000003</v>
      </c>
      <c r="AS53" s="16">
        <f>IF(ISNA(VLOOKUP(A53,'Données projet'!$A$61:$I$81,6,0)),0%,VLOOKUP(A53,'Données projet'!$A$61:$I$81,6,0)*VLOOKUP('Données projet'!$B$10,Paramètres!$A$1:$I$89,7,0))</f>
        <v>0.18700000000000003</v>
      </c>
      <c r="AT53" s="16">
        <f>IF(ISNA(VLOOKUP(A53,'Données projet'!$A$61:$I$81,7,0)),0%,VLOOKUP(A53,'Données projet'!$A$61:$I$81,7,0))</f>
        <v>0.26</v>
      </c>
      <c r="AU53" s="21">
        <f>EXP(-LN(2)/35)*AU52+(1-EXP(-LN(2)/35))/(LN(2)/35)*AQ53*AR53*VLOOKUP('Données projet'!$B$10,Paramètres!$A$1:$I$89,3,0)*0.475*44/12</f>
        <v>13.328640921453463</v>
      </c>
      <c r="AV53" s="21">
        <f>EXP(-LN(2)/25)*AV52+(1-EXP(-LN(2)/25))/(LN(2)/25)*Calculateur!AQ53*Calculateur!AS53*VLOOKUP('Données projet'!$B$10,Paramètres!$A$1:$I$89,3,0)*0.475*44/12</f>
        <v>19.593985013014318</v>
      </c>
      <c r="AW53" s="21">
        <f>EXP(-LN(2)/2)*AW52+(1-EXP(-LN(2)/2))/(LN(2)/2)*AQ53*AT53*VLOOKUP('Données projet'!$B$10,Paramètres!$A$1:$I$89,3,0)*0.475*44/12</f>
        <v>7.1545044601337793</v>
      </c>
      <c r="AX53" s="21">
        <f t="shared" si="6"/>
        <v>40.077130394601561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12.969090909090911</v>
      </c>
      <c r="N54" s="13">
        <f>IF('Données projet'!$A$36&gt;35,N53+M54-V53,IF(A54&lt;'Données projet'!$A$36,$K$205^A54,IF(A54='Données projet'!$A$36,'Données projet'!$B$36,N53+M54-V53)))</f>
        <v>416.76818181818169</v>
      </c>
      <c r="O54" s="13">
        <f>N54*VLOOKUP('Données projet'!$B$9,Paramètres!$A$1:$I$89,3,0)*VLOOKUP('Données projet'!$B$9,Paramètres!$A$1:$I$89,5,0)</f>
        <v>232.97341363636355</v>
      </c>
      <c r="P54" s="13">
        <f t="shared" si="33"/>
        <v>56.925121653103837</v>
      </c>
      <c r="Q54" s="20">
        <f t="shared" si="53"/>
        <v>504.90661562915557</v>
      </c>
      <c r="R54" s="59">
        <f t="shared" si="0"/>
        <v>798.23994896248882</v>
      </c>
      <c r="S54" s="59">
        <f ca="1">AVERAGE(OFFSET($R$3,0,0,'Données projet'!$E$9+1,1))-AVERAGE(OFFSET($H$3,0,0,'Données projet'!$E$9+1,1))</f>
        <v>250.1520902752946</v>
      </c>
      <c r="T54" s="59">
        <f t="shared" si="34"/>
        <v>258.01144895030291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74.299031166828655</v>
      </c>
      <c r="AA54" s="21">
        <f>EXP(-LN(2)/25)*AA53+(1-EXP(-LN(2)/25))/(LN(2)/25)*Calculateur!V54*Calculateur!X54*VLOOKUP('Données projet'!$B$9,Paramètres!$A$1:$I$89,3,0)*0.475*44/12</f>
        <v>30.775296817118452</v>
      </c>
      <c r="AB54" s="21">
        <f>EXP(-LN(2)/2)*AB53+(1-EXP(-LN(2)/2))/(LN(2)/2)*V54*Y54*VLOOKUP('Données projet'!$B$9,Paramètres!$A$1:$I$89,3,0)*0.475*44/12</f>
        <v>5.2036105728898265</v>
      </c>
      <c r="AC54" s="22">
        <f t="shared" si="3"/>
        <v>110.27793855683694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</v>
      </c>
      <c r="AI54" s="13">
        <f>IF('Données projet'!$A$62&gt;35,AI53+AH54-AQ53,IF(A54&lt;'Données projet'!$A$62,$AF$205^A54,IF(A54='Données projet'!$A$62,'Données projet'!$B$62,AI53+AH54-AQ53)))</f>
        <v>353</v>
      </c>
      <c r="AJ54" s="13">
        <f>AI54*VLOOKUP('Données projet'!$B$10,Paramètres!$A$1:$I$89,3,0)*VLOOKUP('Données projet'!$B$10,Paramètres!$A$1:$I$89,5,0)</f>
        <v>165.20400000000001</v>
      </c>
      <c r="AK54" s="13">
        <f t="shared" si="35"/>
        <v>42.01409666579589</v>
      </c>
      <c r="AL54" s="20">
        <f t="shared" si="4"/>
        <v>360.90485169292782</v>
      </c>
      <c r="AM54" s="59">
        <f t="shared" si="5"/>
        <v>654.23818502626114</v>
      </c>
      <c r="AN54" s="59">
        <f ca="1">AVERAGE(OFFSET($AM$3,0,0,'Données projet'!$E$10+1,1))-AVERAGE(OFFSET($H$3,0,0,'Données projet'!$E$10+1,1))</f>
        <v>141.51368882763865</v>
      </c>
      <c r="AO54" s="59">
        <f t="shared" si="36"/>
        <v>156.34514945935399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13.067274402651984</v>
      </c>
      <c r="AV54" s="21">
        <f>EXP(-LN(2)/25)*AV53+(1-EXP(-LN(2)/25))/(LN(2)/25)*Calculateur!AQ54*Calculateur!AS54*VLOOKUP('Données projet'!$B$10,Paramètres!$A$1:$I$89,3,0)*0.475*44/12</f>
        <v>19.058186462430552</v>
      </c>
      <c r="AW54" s="21">
        <f>EXP(-LN(2)/2)*AW53+(1-EXP(-LN(2)/2))/(LN(2)/2)*AQ54*AT54*VLOOKUP('Données projet'!$B$10,Paramètres!$A$1:$I$89,3,0)*0.475*44/12</f>
        <v>5.0589986197899952</v>
      </c>
      <c r="AX54" s="21">
        <f t="shared" si="6"/>
        <v>37.184459484872534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12.969090909090911</v>
      </c>
      <c r="N55" s="13">
        <f>IF('Données projet'!$A$36&gt;35,N54+M55-V54,IF(A55&lt;'Données projet'!$A$36,$K$205^A55,IF(A55='Données projet'!$A$36,'Données projet'!$B$36,N54+M55-V54)))</f>
        <v>429.73727272727263</v>
      </c>
      <c r="O55" s="13">
        <f>N55*VLOOKUP('Données projet'!$B$9,Paramètres!$A$1:$I$89,3,0)*VLOOKUP('Données projet'!$B$9,Paramètres!$A$1:$I$89,5,0)</f>
        <v>240.2231354545454</v>
      </c>
      <c r="P55" s="13">
        <f t="shared" si="33"/>
        <v>58.48753656537226</v>
      </c>
      <c r="Q55" s="20">
        <f t="shared" si="53"/>
        <v>520.25442043468991</v>
      </c>
      <c r="R55" s="59">
        <f t="shared" si="0"/>
        <v>813.58775376802328</v>
      </c>
      <c r="S55" s="59">
        <f ca="1">AVERAGE(OFFSET($R$3,0,0,'Données projet'!$E$9+1,1))-AVERAGE(OFFSET($H$3,0,0,'Données projet'!$E$9+1,1))</f>
        <v>250.1520902752946</v>
      </c>
      <c r="T55" s="59">
        <f t="shared" si="34"/>
        <v>258.01144895030291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72.842072483581376</v>
      </c>
      <c r="AA55" s="21">
        <f>EXP(-LN(2)/25)*AA54+(1-EXP(-LN(2)/25))/(LN(2)/25)*Calculateur!V55*Calculateur!X55*VLOOKUP('Données projet'!$B$9,Paramètres!$A$1:$I$89,3,0)*0.475*44/12</f>
        <v>29.933744707251826</v>
      </c>
      <c r="AB55" s="21">
        <f>EXP(-LN(2)/2)*AB54+(1-EXP(-LN(2)/2))/(LN(2)/2)*V55*Y55*VLOOKUP('Données projet'!$B$9,Paramètres!$A$1:$I$89,3,0)*0.475*44/12</f>
        <v>3.6795083227444119</v>
      </c>
      <c r="AC55" s="22">
        <f t="shared" si="3"/>
        <v>106.45532551357762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</v>
      </c>
      <c r="AI55" s="13">
        <f>IF('Données projet'!$A$62&gt;35,AI54+AH55-AQ54,IF(A55&lt;'Données projet'!$A$62,$AF$205^A55,IF(A55='Données projet'!$A$62,'Données projet'!$B$62,AI54+AH55-AQ54)))</f>
        <v>366</v>
      </c>
      <c r="AJ55" s="13">
        <f>AI55*VLOOKUP('Données projet'!$B$10,Paramètres!$A$1:$I$89,3,0)*VLOOKUP('Données projet'!$B$10,Paramètres!$A$1:$I$89,5,0)</f>
        <v>171.28799999999998</v>
      </c>
      <c r="AK55" s="13">
        <f t="shared" si="35"/>
        <v>43.37836589572138</v>
      </c>
      <c r="AL55" s="20">
        <f t="shared" si="4"/>
        <v>373.87725393504803</v>
      </c>
      <c r="AM55" s="59">
        <f t="shared" si="5"/>
        <v>667.21058726838135</v>
      </c>
      <c r="AN55" s="59">
        <f ca="1">AVERAGE(OFFSET($AM$3,0,0,'Données projet'!$E$10+1,1))-AVERAGE(OFFSET($H$3,0,0,'Données projet'!$E$10+1,1))</f>
        <v>141.51368882763865</v>
      </c>
      <c r="AO55" s="59">
        <f t="shared" si="36"/>
        <v>156.34514945935399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12.811033121866368</v>
      </c>
      <c r="AV55" s="21">
        <f>EXP(-LN(2)/25)*AV54+(1-EXP(-LN(2)/25))/(LN(2)/25)*Calculateur!AQ55*Calculateur!AS55*VLOOKUP('Données projet'!$B$10,Paramètres!$A$1:$I$89,3,0)*0.475*44/12</f>
        <v>18.53703935138892</v>
      </c>
      <c r="AW55" s="21">
        <f>EXP(-LN(2)/2)*AW54+(1-EXP(-LN(2)/2))/(LN(2)/2)*AQ55*AT55*VLOOKUP('Données projet'!$B$10,Paramètres!$A$1:$I$89,3,0)*0.475*44/12</f>
        <v>3.5772522300668905</v>
      </c>
      <c r="AX55" s="21">
        <f t="shared" si="6"/>
        <v>34.925324703322175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12.969090909090911</v>
      </c>
      <c r="N56" s="13">
        <f>IF('Données projet'!$A$36&gt;35,N55+M56-V55,IF(A56&lt;'Données projet'!$A$36,$K$205^A56,IF(A56='Données projet'!$A$36,'Données projet'!$B$36,N55+M56-V55)))</f>
        <v>442.70636363636356</v>
      </c>
      <c r="O56" s="13">
        <f>N56*VLOOKUP('Données projet'!$B$9,Paramètres!$A$1:$I$89,3,0)*VLOOKUP('Données projet'!$B$9,Paramètres!$A$1:$I$89,5,0)</f>
        <v>247.47285727272723</v>
      </c>
      <c r="P56" s="13">
        <f t="shared" si="33"/>
        <v>60.044471699893421</v>
      </c>
      <c r="Q56" s="20">
        <f t="shared" si="53"/>
        <v>535.59268129398095</v>
      </c>
      <c r="R56" s="59">
        <f t="shared" si="0"/>
        <v>828.92601462731432</v>
      </c>
      <c r="S56" s="59">
        <f ca="1">AVERAGE(OFFSET($R$3,0,0,'Données projet'!$E$9+1,1))-AVERAGE(OFFSET($H$3,0,0,'Données projet'!$E$9+1,1))</f>
        <v>250.1520902752946</v>
      </c>
      <c r="T56" s="59">
        <f t="shared" si="34"/>
        <v>258.01144895030291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71.413683871455532</v>
      </c>
      <c r="AA56" s="21">
        <f>EXP(-LN(2)/25)*AA55+(1-EXP(-LN(2)/25))/(LN(2)/25)*Calculateur!V56*Calculateur!X56*VLOOKUP('Données projet'!$B$9,Paramètres!$A$1:$I$89,3,0)*0.475*44/12</f>
        <v>29.115204884084804</v>
      </c>
      <c r="AB56" s="21">
        <f>EXP(-LN(2)/2)*AB55+(1-EXP(-LN(2)/2))/(LN(2)/2)*V56*Y56*VLOOKUP('Données projet'!$B$9,Paramètres!$A$1:$I$89,3,0)*0.475*44/12</f>
        <v>2.6018052864449137</v>
      </c>
      <c r="AC56" s="22">
        <f t="shared" si="3"/>
        <v>103.13069404198525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</v>
      </c>
      <c r="AI56" s="13">
        <f>IF('Données projet'!$A$62&gt;35,AI55+AH56-AQ55,IF(A56&lt;'Données projet'!$A$62,$AF$205^A56,IF(A56='Données projet'!$A$62,'Données projet'!$B$62,AI55+AH56-AQ55)))</f>
        <v>379</v>
      </c>
      <c r="AJ56" s="13">
        <f>AI56*VLOOKUP('Données projet'!$B$10,Paramètres!$A$1:$I$89,3,0)*VLOOKUP('Données projet'!$B$10,Paramètres!$A$1:$I$89,5,0)</f>
        <v>177.37200000000001</v>
      </c>
      <c r="AK56" s="13">
        <f t="shared" si="35"/>
        <v>44.737005048641883</v>
      </c>
      <c r="AL56" s="20">
        <f t="shared" si="4"/>
        <v>386.83985045971798</v>
      </c>
      <c r="AM56" s="59">
        <f t="shared" si="5"/>
        <v>680.17318379305129</v>
      </c>
      <c r="AN56" s="59">
        <f ca="1">AVERAGE(OFFSET($AM$3,0,0,'Données projet'!$E$10+1,1))-AVERAGE(OFFSET($H$3,0,0,'Données projet'!$E$10+1,1))</f>
        <v>141.51368882763865</v>
      </c>
      <c r="AO56" s="59">
        <f t="shared" si="36"/>
        <v>156.34514945935399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12.559816576305208</v>
      </c>
      <c r="AV56" s="21">
        <f>EXP(-LN(2)/25)*AV55+(1-EXP(-LN(2)/25))/(LN(2)/25)*Calculateur!AQ56*Calculateur!AS56*VLOOKUP('Données projet'!$B$10,Paramètres!$A$1:$I$89,3,0)*0.475*44/12</f>
        <v>18.030143035504658</v>
      </c>
      <c r="AW56" s="21">
        <f>EXP(-LN(2)/2)*AW55+(1-EXP(-LN(2)/2))/(LN(2)/2)*AQ56*AT56*VLOOKUP('Données projet'!$B$10,Paramètres!$A$1:$I$89,3,0)*0.475*44/12</f>
        <v>2.529499309894998</v>
      </c>
      <c r="AX56" s="21">
        <f t="shared" si="6"/>
        <v>33.119458921704862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12.969090909090911</v>
      </c>
      <c r="N57" s="13">
        <f>IF('Données projet'!$A$36&gt;35,N56+M57-V56,IF(A57&lt;'Données projet'!$A$36,$K$205^A57,IF(A57='Données projet'!$A$36,'Données projet'!$B$36,N56+M57-V56)))</f>
        <v>455.6754545454545</v>
      </c>
      <c r="O57" s="13">
        <f>N57*VLOOKUP('Données projet'!$B$9,Paramètres!$A$1:$I$89,3,0)*VLOOKUP('Données projet'!$B$9,Paramètres!$A$1:$I$89,5,0)</f>
        <v>254.72257909090905</v>
      </c>
      <c r="P57" s="13">
        <f t="shared" si="33"/>
        <v>61.596106019249447</v>
      </c>
      <c r="Q57" s="20">
        <f t="shared" si="53"/>
        <v>550.9217099001927</v>
      </c>
      <c r="R57" s="59">
        <f t="shared" si="0"/>
        <v>844.25504323352607</v>
      </c>
      <c r="S57" s="59">
        <f ca="1">AVERAGE(OFFSET($R$3,0,0,'Données projet'!$E$9+1,1))-AVERAGE(OFFSET($H$3,0,0,'Données projet'!$E$9+1,1))</f>
        <v>250.1520902752946</v>
      </c>
      <c r="T57" s="59">
        <f t="shared" si="34"/>
        <v>258.01144895030291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70.013305088782445</v>
      </c>
      <c r="AA57" s="21">
        <f>EXP(-LN(2)/25)*AA56+(1-EXP(-LN(2)/25))/(LN(2)/25)*Calculateur!V57*Calculateur!X57*VLOOKUP('Données projet'!$B$9,Paramètres!$A$1:$I$89,3,0)*0.475*44/12</f>
        <v>28.319048075427425</v>
      </c>
      <c r="AB57" s="21">
        <f>EXP(-LN(2)/2)*AB56+(1-EXP(-LN(2)/2))/(LN(2)/2)*V57*Y57*VLOOKUP('Données projet'!$B$9,Paramètres!$A$1:$I$89,3,0)*0.475*44/12</f>
        <v>1.8397541613722064</v>
      </c>
      <c r="AC57" s="22">
        <f t="shared" si="3"/>
        <v>100.17210732558209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</v>
      </c>
      <c r="AI57" s="13">
        <f>IF('Données projet'!$A$62&gt;35,AI56+AH57-AQ56,IF(A57&lt;'Données projet'!$A$62,$AF$205^A57,IF(A57='Données projet'!$A$62,'Données projet'!$B$62,AI56+AH57-AQ56)))</f>
        <v>392</v>
      </c>
      <c r="AJ57" s="13">
        <f>AI57*VLOOKUP('Données projet'!$B$10,Paramètres!$A$1:$I$89,3,0)*VLOOKUP('Données projet'!$B$10,Paramètres!$A$1:$I$89,5,0)</f>
        <v>183.45600000000002</v>
      </c>
      <c r="AK57" s="13">
        <f t="shared" si="35"/>
        <v>46.090229375321144</v>
      </c>
      <c r="AL57" s="20">
        <f t="shared" si="4"/>
        <v>399.79301616201769</v>
      </c>
      <c r="AM57" s="59">
        <f t="shared" si="5"/>
        <v>693.12634949535095</v>
      </c>
      <c r="AN57" s="59">
        <f ca="1">AVERAGE(OFFSET($AM$3,0,0,'Données projet'!$E$10+1,1))-AVERAGE(OFFSET($H$3,0,0,'Données projet'!$E$10+1,1))</f>
        <v>141.51368882763865</v>
      </c>
      <c r="AO57" s="59">
        <f t="shared" si="36"/>
        <v>156.34514945935399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12.313526233975539</v>
      </c>
      <c r="AV57" s="21">
        <f>EXP(-LN(2)/25)*AV56+(1-EXP(-LN(2)/25))/(LN(2)/25)*Calculateur!AQ57*Calculateur!AS57*VLOOKUP('Données projet'!$B$10,Paramètres!$A$1:$I$89,3,0)*0.475*44/12</f>
        <v>17.53710782603477</v>
      </c>
      <c r="AW57" s="21">
        <f>EXP(-LN(2)/2)*AW56+(1-EXP(-LN(2)/2))/(LN(2)/2)*AQ57*AT57*VLOOKUP('Données projet'!$B$10,Paramètres!$A$1:$I$89,3,0)*0.475*44/12</f>
        <v>1.7886261150334455</v>
      </c>
      <c r="AX57" s="21">
        <f t="shared" si="6"/>
        <v>31.639260175043752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12.969090909090911</v>
      </c>
      <c r="N58" s="13">
        <f>IF('Données projet'!$A$36&gt;35,N57+M58-V57,IF(A58&lt;'Données projet'!$A$36,$K$205^A58,IF(A58='Données projet'!$A$36,'Données projet'!$B$36,N57+M58-V57)))</f>
        <v>468.64454545454544</v>
      </c>
      <c r="O58" s="13">
        <f>N58*VLOOKUP('Données projet'!$B$9,Paramètres!$A$1:$I$89,3,0)*VLOOKUP('Données projet'!$B$9,Paramètres!$A$1:$I$89,5,0)</f>
        <v>261.9723009090909</v>
      </c>
      <c r="P58" s="13">
        <f t="shared" si="33"/>
        <v>63.142607719582401</v>
      </c>
      <c r="Q58" s="20">
        <f t="shared" si="53"/>
        <v>566.24179919493929</v>
      </c>
      <c r="R58" s="59">
        <f t="shared" si="0"/>
        <v>859.57513252827266</v>
      </c>
      <c r="S58" s="59">
        <f ca="1">AVERAGE(OFFSET($R$3,0,0,'Données projet'!$E$9+1,1))-AVERAGE(OFFSET($H$3,0,0,'Données projet'!$E$9+1,1))</f>
        <v>250.1520902752946</v>
      </c>
      <c r="T58" s="59">
        <f t="shared" si="34"/>
        <v>258.01144895030291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68.640386879890869</v>
      </c>
      <c r="AA58" s="21">
        <f>EXP(-LN(2)/25)*AA57+(1-EXP(-LN(2)/25))/(LN(2)/25)*Calculateur!V58*Calculateur!X58*VLOOKUP('Données projet'!$B$9,Paramètres!$A$1:$I$89,3,0)*0.475*44/12</f>
        <v>27.544662216570849</v>
      </c>
      <c r="AB58" s="21">
        <f>EXP(-LN(2)/2)*AB57+(1-EXP(-LN(2)/2))/(LN(2)/2)*V58*Y58*VLOOKUP('Données projet'!$B$9,Paramètres!$A$1:$I$89,3,0)*0.475*44/12</f>
        <v>1.3009026432224571</v>
      </c>
      <c r="AC58" s="22">
        <f t="shared" si="3"/>
        <v>97.485951739684168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</v>
      </c>
      <c r="AI58" s="13">
        <f>IF('Données projet'!$A$62&gt;35,AI57+AH58-AQ57,IF(A58&lt;'Données projet'!$A$62,$AF$205^A58,IF(A58='Données projet'!$A$62,'Données projet'!$B$62,AI57+AH58-AQ57)))</f>
        <v>405</v>
      </c>
      <c r="AJ58" s="13">
        <f>AI58*VLOOKUP('Données projet'!$B$10,Paramètres!$A$1:$I$89,3,0)*VLOOKUP('Données projet'!$B$10,Paramètres!$A$1:$I$89,5,0)</f>
        <v>189.54</v>
      </c>
      <c r="AK58" s="13">
        <f t="shared" si="35"/>
        <v>47.438239039488813</v>
      </c>
      <c r="AL58" s="20">
        <f t="shared" si="4"/>
        <v>412.73709966044299</v>
      </c>
      <c r="AM58" s="59">
        <f t="shared" si="5"/>
        <v>706.07043299377631</v>
      </c>
      <c r="AN58" s="59">
        <f ca="1">AVERAGE(OFFSET($AM$3,0,0,'Données projet'!$E$10+1,1))-AVERAGE(OFFSET($H$3,0,0,'Données projet'!$E$10+1,1))</f>
        <v>141.51368882763865</v>
      </c>
      <c r="AO58" s="59">
        <f t="shared" si="36"/>
        <v>156.34514945935399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12.07206549503668</v>
      </c>
      <c r="AV58" s="21">
        <f>EXP(-LN(2)/25)*AV57+(1-EXP(-LN(2)/25))/(LN(2)/25)*Calculateur!AQ58*Calculateur!AS58*VLOOKUP('Données projet'!$B$10,Paramètres!$A$1:$I$89,3,0)*0.475*44/12</f>
        <v>17.057554690295429</v>
      </c>
      <c r="AW58" s="21">
        <f>EXP(-LN(2)/2)*AW57+(1-EXP(-LN(2)/2))/(LN(2)/2)*AQ58*AT58*VLOOKUP('Données projet'!$B$10,Paramètres!$A$1:$I$89,3,0)*0.475*44/12</f>
        <v>1.2647496549474992</v>
      </c>
      <c r="AX58" s="21">
        <f t="shared" si="6"/>
        <v>30.394369840279609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12.969090909090911</v>
      </c>
      <c r="N59" s="13">
        <f>IF('Données projet'!$A$36&gt;35,N58+M59-V58,IF(A59&lt;'Données projet'!$A$36,$K$205^A59,IF(A59='Données projet'!$A$36,'Données projet'!$B$36,N58+M59-V58)))</f>
        <v>481.61363636363637</v>
      </c>
      <c r="O59" s="13">
        <f>N59*VLOOKUP('Données projet'!$B$9,Paramètres!$A$1:$I$89,3,0)*VLOOKUP('Données projet'!$B$9,Paramètres!$A$1:$I$89,5,0)</f>
        <v>269.22202272727276</v>
      </c>
      <c r="P59" s="13">
        <f t="shared" si="33"/>
        <v>64.684135158099792</v>
      </c>
      <c r="Q59" s="20">
        <f t="shared" si="53"/>
        <v>581.55322498369048</v>
      </c>
      <c r="R59" s="59">
        <f t="shared" si="0"/>
        <v>874.88655831702386</v>
      </c>
      <c r="S59" s="59">
        <f ca="1">AVERAGE(OFFSET($R$3,0,0,'Données projet'!$E$9+1,1))-AVERAGE(OFFSET($H$3,0,0,'Données projet'!$E$9+1,1))</f>
        <v>250.1520902752946</v>
      </c>
      <c r="T59" s="59">
        <f t="shared" si="34"/>
        <v>258.01144895030291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67.294390759678237</v>
      </c>
      <c r="AA59" s="21">
        <f>EXP(-LN(2)/25)*AA58+(1-EXP(-LN(2)/25))/(LN(2)/25)*Calculateur!V59*Calculateur!X59*VLOOKUP('Données projet'!$B$9,Paramètres!$A$1:$I$89,3,0)*0.475*44/12</f>
        <v>26.791451979747887</v>
      </c>
      <c r="AB59" s="21">
        <f>EXP(-LN(2)/2)*AB58+(1-EXP(-LN(2)/2))/(LN(2)/2)*V59*Y59*VLOOKUP('Données projet'!$B$9,Paramètres!$A$1:$I$89,3,0)*0.475*44/12</f>
        <v>0.9198770806861033</v>
      </c>
      <c r="AC59" s="22">
        <f t="shared" si="3"/>
        <v>95.005719820112233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</v>
      </c>
      <c r="AI59" s="13">
        <f>IF('Données projet'!$A$62&gt;35,AI58+AH59-AQ58,IF(A59&lt;'Données projet'!$A$62,$AF$205^A59,IF(A59='Données projet'!$A$62,'Données projet'!$B$62,AI58+AH59-AQ58)))</f>
        <v>418</v>
      </c>
      <c r="AJ59" s="13">
        <f>AI59*VLOOKUP('Données projet'!$B$10,Paramètres!$A$1:$I$89,3,0)*VLOOKUP('Données projet'!$B$10,Paramètres!$A$1:$I$89,5,0)</f>
        <v>195.624</v>
      </c>
      <c r="AK59" s="13">
        <f t="shared" si="35"/>
        <v>48.781220625276006</v>
      </c>
      <c r="AL59" s="20">
        <f t="shared" si="4"/>
        <v>425.67242592235567</v>
      </c>
      <c r="AM59" s="59">
        <f t="shared" si="5"/>
        <v>719.00575925568899</v>
      </c>
      <c r="AN59" s="59">
        <f ca="1">AVERAGE(OFFSET($AM$3,0,0,'Données projet'!$E$10+1,1))-AVERAGE(OFFSET($H$3,0,0,'Données projet'!$E$10+1,1))</f>
        <v>141.51368882763865</v>
      </c>
      <c r="AO59" s="59">
        <f t="shared" si="36"/>
        <v>156.34514945935399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11.835339653911904</v>
      </c>
      <c r="AV59" s="21">
        <f>EXP(-LN(2)/25)*AV58+(1-EXP(-LN(2)/25))/(LN(2)/25)*Calculateur!AQ59*Calculateur!AS59*VLOOKUP('Données projet'!$B$10,Paramètres!$A$1:$I$89,3,0)*0.475*44/12</f>
        <v>16.591114960271486</v>
      </c>
      <c r="AW59" s="21">
        <f>EXP(-LN(2)/2)*AW58+(1-EXP(-LN(2)/2))/(LN(2)/2)*AQ59*AT59*VLOOKUP('Données projet'!$B$10,Paramètres!$A$1:$I$89,3,0)*0.475*44/12</f>
        <v>0.89431305751672285</v>
      </c>
      <c r="AX59" s="21">
        <f t="shared" si="6"/>
        <v>29.320767671700114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12.969090909090911</v>
      </c>
      <c r="N60" s="13">
        <f>IF('Données projet'!$A$36&gt;35,N59+M60-V59,IF(A60&lt;'Données projet'!$A$36,$K$205^A60,IF(A60='Données projet'!$A$36,'Données projet'!$B$36,N59+M60-V59)))</f>
        <v>494.58272727272731</v>
      </c>
      <c r="O60" s="13">
        <f>N60*VLOOKUP('Données projet'!$B$9,Paramètres!$A$1:$I$89,3,0)*VLOOKUP('Données projet'!$B$9,Paramètres!$A$1:$I$89,5,0)</f>
        <v>276.47174454545456</v>
      </c>
      <c r="P60" s="13">
        <f t="shared" si="33"/>
        <v>66.220837677865759</v>
      </c>
      <c r="Q60" s="20">
        <f t="shared" si="53"/>
        <v>596.85624737228284</v>
      </c>
      <c r="R60" s="59">
        <f t="shared" si="0"/>
        <v>890.18958070561621</v>
      </c>
      <c r="S60" s="59">
        <f ca="1">AVERAGE(OFFSET($R$3,0,0,'Données projet'!$E$9+1,1))-AVERAGE(OFFSET($H$3,0,0,'Données projet'!$E$9+1,1))</f>
        <v>250.1520902752946</v>
      </c>
      <c r="T60" s="59">
        <f t="shared" si="34"/>
        <v>258.01144895030291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65.974788802406394</v>
      </c>
      <c r="AA60" s="21">
        <f>EXP(-LN(2)/25)*AA59+(1-EXP(-LN(2)/25))/(LN(2)/25)*Calculateur!V60*Calculateur!X60*VLOOKUP('Données projet'!$B$9,Paramètres!$A$1:$I$89,3,0)*0.475*44/12</f>
        <v>26.058838316460452</v>
      </c>
      <c r="AB60" s="21">
        <f>EXP(-LN(2)/2)*AB59+(1-EXP(-LN(2)/2))/(LN(2)/2)*V60*Y60*VLOOKUP('Données projet'!$B$9,Paramètres!$A$1:$I$89,3,0)*0.475*44/12</f>
        <v>0.65045132161122865</v>
      </c>
      <c r="AC60" s="22">
        <f t="shared" si="3"/>
        <v>92.684078440478075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</v>
      </c>
      <c r="AI60" s="13">
        <f>IF('Données projet'!$A$62&gt;35,AI59+AH60-AQ59,IF(A60&lt;'Données projet'!$A$62,$AF$205^A60,IF(A60='Données projet'!$A$62,'Données projet'!$B$62,AI59+AH60-AQ59)))</f>
        <v>431</v>
      </c>
      <c r="AJ60" s="13">
        <f>AI60*VLOOKUP('Données projet'!$B$10,Paramètres!$A$1:$I$89,3,0)*VLOOKUP('Données projet'!$B$10,Paramètres!$A$1:$I$89,5,0)</f>
        <v>201.708</v>
      </c>
      <c r="AK60" s="13">
        <f t="shared" si="35"/>
        <v>50.119348451854286</v>
      </c>
      <c r="AL60" s="20">
        <f t="shared" si="4"/>
        <v>438.59929855364618</v>
      </c>
      <c r="AM60" s="59">
        <f t="shared" si="5"/>
        <v>731.93263188697949</v>
      </c>
      <c r="AN60" s="59">
        <f ca="1">AVERAGE(OFFSET($AM$3,0,0,'Données projet'!$E$10+1,1))-AVERAGE(OFFSET($H$3,0,0,'Données projet'!$E$10+1,1))</f>
        <v>141.51368882763865</v>
      </c>
      <c r="AO60" s="59">
        <f t="shared" si="36"/>
        <v>156.34514945935399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11.603255862143078</v>
      </c>
      <c r="AV60" s="21">
        <f>EXP(-LN(2)/25)*AV59+(1-EXP(-LN(2)/25))/(LN(2)/25)*Calculateur!AQ60*Calculateur!AS60*VLOOKUP('Données projet'!$B$10,Paramètres!$A$1:$I$89,3,0)*0.475*44/12</f>
        <v>16.137430049194048</v>
      </c>
      <c r="AW60" s="21">
        <f>EXP(-LN(2)/2)*AW59+(1-EXP(-LN(2)/2))/(LN(2)/2)*AQ60*AT60*VLOOKUP('Données projet'!$B$10,Paramètres!$A$1:$I$89,3,0)*0.475*44/12</f>
        <v>0.63237482747374973</v>
      </c>
      <c r="AX60" s="21">
        <f t="shared" si="6"/>
        <v>28.373060738810874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12.969090909090911</v>
      </c>
      <c r="N61" s="13">
        <f>IF('Données projet'!$A$36&gt;35,N60+M61-V60,IF(A61&lt;'Données projet'!$A$36,$K$205^A61,IF(A61='Données projet'!$A$36,'Données projet'!$B$36,N60+M61-V60)))</f>
        <v>507.55181818181825</v>
      </c>
      <c r="O61" s="13">
        <f>N61*VLOOKUP('Données projet'!$B$9,Paramètres!$A$1:$I$89,3,0)*VLOOKUP('Données projet'!$B$9,Paramètres!$A$1:$I$89,5,0)</f>
        <v>283.72146636363641</v>
      </c>
      <c r="P61" s="13">
        <f t="shared" si="33"/>
        <v>67.752856343647096</v>
      </c>
      <c r="Q61" s="20">
        <f t="shared" si="53"/>
        <v>612.15111204851871</v>
      </c>
      <c r="R61" s="59">
        <f t="shared" si="0"/>
        <v>905.48444538185208</v>
      </c>
      <c r="S61" s="59">
        <f ca="1">AVERAGE(OFFSET($R$3,0,0,'Données projet'!$E$9+1,1))-AVERAGE(OFFSET($H$3,0,0,'Données projet'!$E$9+1,1))</f>
        <v>250.1520902752946</v>
      </c>
      <c r="T61" s="59">
        <f t="shared" si="34"/>
        <v>258.01144895030291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64.681063434638943</v>
      </c>
      <c r="AA61" s="21">
        <f>EXP(-LN(2)/25)*AA60+(1-EXP(-LN(2)/25))/(LN(2)/25)*Calculateur!V61*Calculateur!X61*VLOOKUP('Données projet'!$B$9,Paramètres!$A$1:$I$89,3,0)*0.475*44/12</f>
        <v>25.346258012322092</v>
      </c>
      <c r="AB61" s="21">
        <f>EXP(-LN(2)/2)*AB60+(1-EXP(-LN(2)/2))/(LN(2)/2)*V61*Y61*VLOOKUP('Données projet'!$B$9,Paramètres!$A$1:$I$89,3,0)*0.475*44/12</f>
        <v>0.45993854034305176</v>
      </c>
      <c r="AC61" s="22">
        <f t="shared" si="3"/>
        <v>90.487259987304085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</v>
      </c>
      <c r="AI61" s="13">
        <f>IF('Données projet'!$A$62&gt;35,AI60+AH61-AQ60,IF(A61&lt;'Données projet'!$A$62,$AF$205^A61,IF(A61='Données projet'!$A$62,'Données projet'!$B$62,AI60+AH61-AQ60)))</f>
        <v>444</v>
      </c>
      <c r="AJ61" s="13">
        <f>AI61*VLOOKUP('Données projet'!$B$10,Paramètres!$A$1:$I$89,3,0)*VLOOKUP('Données projet'!$B$10,Paramètres!$A$1:$I$89,5,0)</f>
        <v>207.792</v>
      </c>
      <c r="AK61" s="13">
        <f t="shared" si="35"/>
        <v>51.452785725007864</v>
      </c>
      <c r="AL61" s="20">
        <f t="shared" si="4"/>
        <v>451.51800180438869</v>
      </c>
      <c r="AM61" s="59">
        <f t="shared" si="5"/>
        <v>744.851335137722</v>
      </c>
      <c r="AN61" s="59">
        <f ca="1">AVERAGE(OFFSET($AM$3,0,0,'Données projet'!$E$10+1,1))-AVERAGE(OFFSET($H$3,0,0,'Données projet'!$E$10+1,1))</f>
        <v>141.51368882763865</v>
      </c>
      <c r="AO61" s="59">
        <f t="shared" si="36"/>
        <v>156.34514945935399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11.375723091973704</v>
      </c>
      <c r="AV61" s="21">
        <f>EXP(-LN(2)/25)*AV60+(1-EXP(-LN(2)/25))/(LN(2)/25)*Calculateur!AQ61*Calculateur!AS61*VLOOKUP('Données projet'!$B$10,Paramètres!$A$1:$I$89,3,0)*0.475*44/12</f>
        <v>15.696151175868273</v>
      </c>
      <c r="AW61" s="21">
        <f>EXP(-LN(2)/2)*AW60+(1-EXP(-LN(2)/2))/(LN(2)/2)*AQ61*AT61*VLOOKUP('Données projet'!$B$10,Paramètres!$A$1:$I$89,3,0)*0.475*44/12</f>
        <v>0.44715652875836154</v>
      </c>
      <c r="AX61" s="21">
        <f t="shared" si="6"/>
        <v>27.51903079660034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12.969090909090911</v>
      </c>
      <c r="N62" s="13">
        <f>IF('Données projet'!$A$36&gt;35,N61+M62-V61,IF(A62&lt;'Données projet'!$A$36,$K$205^A62,IF(A62='Données projet'!$A$36,'Données projet'!$B$36,N61+M62-V61)))</f>
        <v>520.52090909090919</v>
      </c>
      <c r="O62" s="13">
        <f>N62*VLOOKUP('Données projet'!$B$9,Paramètres!$A$1:$I$89,3,0)*VLOOKUP('Données projet'!$B$9,Paramètres!$A$1:$I$89,5,0)</f>
        <v>290.97118818181826</v>
      </c>
      <c r="P62" s="13">
        <f t="shared" si="33"/>
        <v>69.280324600432195</v>
      </c>
      <c r="Q62" s="20">
        <f t="shared" si="53"/>
        <v>627.43805142908616</v>
      </c>
      <c r="R62" s="59">
        <f t="shared" si="0"/>
        <v>920.77138476241953</v>
      </c>
      <c r="S62" s="59">
        <f ca="1">AVERAGE(OFFSET($R$3,0,0,'Données projet'!$E$9+1,1))-AVERAGE(OFFSET($H$3,0,0,'Données projet'!$E$9+1,1))</f>
        <v>250.1520902752946</v>
      </c>
      <c r="T62" s="59">
        <f t="shared" si="34"/>
        <v>258.01144895030291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63.412707232238851</v>
      </c>
      <c r="AA62" s="21">
        <f>EXP(-LN(2)/25)*AA61+(1-EXP(-LN(2)/25))/(LN(2)/25)*Calculateur!V62*Calculateur!X62*VLOOKUP('Données projet'!$B$9,Paramètres!$A$1:$I$89,3,0)*0.475*44/12</f>
        <v>24.653163254073366</v>
      </c>
      <c r="AB62" s="21">
        <f>EXP(-LN(2)/2)*AB61+(1-EXP(-LN(2)/2))/(LN(2)/2)*V62*Y62*VLOOKUP('Données projet'!$B$9,Paramètres!$A$1:$I$89,3,0)*0.475*44/12</f>
        <v>0.32522566080561438</v>
      </c>
      <c r="AC62" s="22">
        <f t="shared" si="3"/>
        <v>88.391096147117835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</v>
      </c>
      <c r="AI62" s="13">
        <f>IF('Données projet'!$A$62&gt;35,AI61+AH62-AQ61,IF(A62&lt;'Données projet'!$A$62,$AF$205^A62,IF(A62='Données projet'!$A$62,'Données projet'!$B$62,AI61+AH62-AQ61)))</f>
        <v>457</v>
      </c>
      <c r="AJ62" s="13">
        <f>AI62*VLOOKUP('Données projet'!$B$10,Paramètres!$A$1:$I$89,3,0)*VLOOKUP('Données projet'!$B$10,Paramètres!$A$1:$I$89,5,0)</f>
        <v>213.87599999999998</v>
      </c>
      <c r="AK62" s="13">
        <f t="shared" si="35"/>
        <v>52.781685550046873</v>
      </c>
      <c r="AL62" s="20">
        <f t="shared" si="4"/>
        <v>464.4288023329982</v>
      </c>
      <c r="AM62" s="59">
        <f t="shared" si="5"/>
        <v>757.76213566633146</v>
      </c>
      <c r="AN62" s="59">
        <f ca="1">AVERAGE(OFFSET($AM$3,0,0,'Données projet'!$E$10+1,1))-AVERAGE(OFFSET($H$3,0,0,'Données projet'!$E$10+1,1))</f>
        <v>141.51368882763865</v>
      </c>
      <c r="AO62" s="59">
        <f t="shared" si="36"/>
        <v>156.34514945935399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11.152652100646065</v>
      </c>
      <c r="AV62" s="21">
        <f>EXP(-LN(2)/25)*AV61+(1-EXP(-LN(2)/25))/(LN(2)/25)*Calculateur!AQ62*Calculateur!AS62*VLOOKUP('Données projet'!$B$10,Paramètres!$A$1:$I$89,3,0)*0.475*44/12</f>
        <v>15.266939096539438</v>
      </c>
      <c r="AW62" s="21">
        <f>EXP(-LN(2)/2)*AW61+(1-EXP(-LN(2)/2))/(LN(2)/2)*AQ62*AT62*VLOOKUP('Données projet'!$B$10,Paramètres!$A$1:$I$89,3,0)*0.475*44/12</f>
        <v>0.31618741373687492</v>
      </c>
      <c r="AX62" s="21">
        <f t="shared" si="6"/>
        <v>26.735778610922377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533.49</v>
      </c>
      <c r="L63" s="12">
        <f>VLOOKUP(A63,'Données projet'!$A$35:$I$55,9,0)</f>
        <v>12.969090909090911</v>
      </c>
      <c r="M63" s="12">
        <f t="array" ref="M63">INDEX(L:L,MIN(IF(ISNUMBER(L63:L259),ROW(L63:L259),"")))</f>
        <v>12.969090909090911</v>
      </c>
      <c r="N63" s="13">
        <f>IF('Données projet'!$A$36&gt;35,N62+M63-V62,IF(A63&lt;'Données projet'!$A$36,$K$205^A63,IF(A63='Données projet'!$A$36,'Données projet'!$B$36,N62+M63-V62)))</f>
        <v>533.49000000000012</v>
      </c>
      <c r="O63" s="13">
        <f>N63*VLOOKUP('Données projet'!$B$9,Paramètres!$A$1:$I$89,3,0)*VLOOKUP('Données projet'!$B$9,Paramètres!$A$1:$I$89,5,0)</f>
        <v>298.22091000000006</v>
      </c>
      <c r="P63" s="13">
        <f t="shared" si="33"/>
        <v>70.803368864473441</v>
      </c>
      <c r="Q63" s="20">
        <f t="shared" si="53"/>
        <v>642.71728568895799</v>
      </c>
      <c r="R63" s="59">
        <f t="shared" si="0"/>
        <v>936.05061902229136</v>
      </c>
      <c r="S63" s="59">
        <f ca="1">AVERAGE(OFFSET($R$3,0,0,'Données projet'!$E$9+1,1))-AVERAGE(OFFSET($H$3,0,0,'Données projet'!$E$9+1,1))</f>
        <v>250.1520902752946</v>
      </c>
      <c r="T63" s="59">
        <f t="shared" si="34"/>
        <v>258.01144895030291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533.49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6.0500000000000005E-2</v>
      </c>
      <c r="Y63" s="16">
        <f>IF(ISNA(VLOOKUP(A63,'Données projet'!$A$35:$I$55,7,0)),0%,VLOOKUP(A63,'Données projet'!$A$35:$I$55,7,0))</f>
        <v>0.09</v>
      </c>
      <c r="Z63" s="21">
        <f>EXP(-LN(2)/35)*Z62+(1-EXP(-LN(2)/35))/(LN(2)/35)*V63*W63*VLOOKUP('Données projet'!$B$9,Paramètres!$A$1:$I$89,3,0)*0.475*44/12</f>
        <v>236.23729671427395</v>
      </c>
      <c r="AA63" s="21">
        <f>EXP(-LN(2)/25)*AA62+(1-EXP(-LN(2)/25))/(LN(2)/25)*Calculateur!V63*Calculateur!X63*VLOOKUP('Données projet'!$B$9,Paramètres!$A$1:$I$89,3,0)*0.475*44/12</f>
        <v>47.819142686753338</v>
      </c>
      <c r="AB63" s="21">
        <f>EXP(-LN(2)/2)*AB62+(1-EXP(-LN(2)/2))/(LN(2)/2)*V63*Y63*VLOOKUP('Données projet'!$B$9,Paramètres!$A$1:$I$89,3,0)*0.475*44/12</f>
        <v>30.618950419147531</v>
      </c>
      <c r="AC63" s="22">
        <f t="shared" si="3"/>
        <v>314.67538982017487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470</v>
      </c>
      <c r="AG63" s="12">
        <f>VLOOKUP(A63,'Données projet'!$A$61:$I$81,9,0)</f>
        <v>13</v>
      </c>
      <c r="AH63" s="12">
        <f t="array" ref="AH63">INDEX(AG:AG,MIN(IF(ISNUMBER(AG63:AG259),ROW(AG63:AG259),"")))</f>
        <v>13</v>
      </c>
      <c r="AI63" s="13">
        <f>IF('Données projet'!$A$62&gt;35,AI62+AH63-AQ62,IF(A63&lt;'Données projet'!$A$62,$AF$205^A63,IF(A63='Données projet'!$A$62,'Données projet'!$B$62,AI62+AH63-AQ62)))</f>
        <v>470</v>
      </c>
      <c r="AJ63" s="13">
        <f>AI63*VLOOKUP('Données projet'!$B$10,Paramètres!$A$1:$I$89,3,0)*VLOOKUP('Données projet'!$B$10,Paramètres!$A$1:$I$89,5,0)</f>
        <v>219.95999999999998</v>
      </c>
      <c r="AK63" s="13">
        <f t="shared" si="35"/>
        <v>54.106191826225746</v>
      </c>
      <c r="AL63" s="20">
        <f t="shared" si="4"/>
        <v>477.33195076400972</v>
      </c>
      <c r="AM63" s="59">
        <f t="shared" si="5"/>
        <v>770.66528409734303</v>
      </c>
      <c r="AN63" s="59">
        <f ca="1">AVERAGE(OFFSET($AM$3,0,0,'Données projet'!$E$10+1,1))-AVERAGE(OFFSET($H$3,0,0,'Données projet'!$E$10+1,1))</f>
        <v>141.51368882763865</v>
      </c>
      <c r="AO63" s="59">
        <f t="shared" si="36"/>
        <v>156.34514945935399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470</v>
      </c>
      <c r="AR63" s="16">
        <f>IF(ISNA(VLOOKUP(A63,'Données projet'!$A$61:$I$81,5,0)),0%,VLOOKUP(A63,'Données projet'!$A$61:$I$81,5,0)*VLOOKUP('Données projet'!$B$10,Paramètres!$A$1:$I$89,7,0))</f>
        <v>0.27500000000000002</v>
      </c>
      <c r="AS63" s="16">
        <f>IF(ISNA(VLOOKUP(A63,'Données projet'!$A$61:$I$81,6,0)),0%,VLOOKUP(A63,'Données projet'!$A$61:$I$81,6,0)*VLOOKUP('Données projet'!$B$10,Paramètres!$A$1:$I$89,7,0))</f>
        <v>0.15400000000000003</v>
      </c>
      <c r="AT63" s="16">
        <f>IF(ISNA(VLOOKUP(A63,'Données projet'!$A$61:$I$81,7,0)),0%,VLOOKUP(A63,'Données projet'!$A$61:$I$81,7,0))</f>
        <v>0.22</v>
      </c>
      <c r="AU63" s="21">
        <f>EXP(-LN(2)/35)*AU62+(1-EXP(-LN(2)/35))/(LN(2)/35)*AQ63*AR63*VLOOKUP('Données projet'!$B$10,Paramètres!$A$1:$I$89,3,0)*0.475*44/12</f>
        <v>91.176512740480831</v>
      </c>
      <c r="AV63" s="21">
        <f>EXP(-LN(2)/25)*AV62+(1-EXP(-LN(2)/25))/(LN(2)/25)*Calculateur!AQ63*Calculateur!AS63*VLOOKUP('Données projet'!$B$10,Paramètres!$A$1:$I$89,3,0)*0.475*44/12</f>
        <v>59.608366464413031</v>
      </c>
      <c r="AW63" s="21">
        <f>EXP(-LN(2)/2)*AW62+(1-EXP(-LN(2)/2))/(LN(2)/2)*AQ63*AT63*VLOOKUP('Données projet'!$B$10,Paramètres!$A$1:$I$89,3,0)*0.475*44/12</f>
        <v>55.013657820441892</v>
      </c>
      <c r="AX63" s="21">
        <f t="shared" si="6"/>
        <v>205.79853702533575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6.3550942286383367E-14</v>
      </c>
      <c r="P64" s="13">
        <f t="shared" si="33"/>
        <v>1.0064464192543978E-12</v>
      </c>
      <c r="Q64" s="20">
        <f t="shared" si="53"/>
        <v>1.8635787380168604E-12</v>
      </c>
      <c r="R64" s="59">
        <f t="shared" si="0"/>
        <v>293.33333333333519</v>
      </c>
      <c r="S64" s="59">
        <f ca="1">AVERAGE(OFFSET($R$3,0,0,'Données projet'!$E$9+1,1))-AVERAGE(OFFSET($H$3,0,0,'Données projet'!$E$9+1,1))</f>
        <v>250.1520902752946</v>
      </c>
      <c r="T64" s="59">
        <f t="shared" si="34"/>
        <v>258.01144895030291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231.60482741623028</v>
      </c>
      <c r="AA64" s="21">
        <f>EXP(-LN(2)/25)*AA63+(1-EXP(-LN(2)/25))/(LN(2)/25)*Calculateur!V64*Calculateur!X64*VLOOKUP('Données projet'!$B$9,Paramètres!$A$1:$I$89,3,0)*0.475*44/12</f>
        <v>46.511525715284648</v>
      </c>
      <c r="AB64" s="21">
        <f>EXP(-LN(2)/2)*AB63+(1-EXP(-LN(2)/2))/(LN(2)/2)*V64*Y64*VLOOKUP('Données projet'!$B$9,Paramètres!$A$1:$I$89,3,0)*0.475*44/12</f>
        <v>21.650867474193902</v>
      </c>
      <c r="AC64" s="22">
        <f t="shared" si="3"/>
        <v>299.76722060570881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141.51368882763865</v>
      </c>
      <c r="AO64" s="59">
        <f t="shared" si="36"/>
        <v>156.34514945935399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89.388596937821532</v>
      </c>
      <c r="AV64" s="21">
        <f>EXP(-LN(2)/25)*AV63+(1-EXP(-LN(2)/25))/(LN(2)/25)*Calculateur!AQ64*Calculateur!AS64*VLOOKUP('Données projet'!$B$10,Paramètres!$A$1:$I$89,3,0)*0.475*44/12</f>
        <v>57.978372548775901</v>
      </c>
      <c r="AW64" s="21">
        <f>EXP(-LN(2)/2)*AW63+(1-EXP(-LN(2)/2))/(LN(2)/2)*AQ64*AT64*VLOOKUP('Données projet'!$B$10,Paramètres!$A$1:$I$89,3,0)*0.475*44/12</f>
        <v>38.900530502710808</v>
      </c>
      <c r="AX64" s="21">
        <f t="shared" si="6"/>
        <v>186.26749998930825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6.3550942286383367E-14</v>
      </c>
      <c r="P65" s="13">
        <f t="shared" si="33"/>
        <v>1.0064464192543978E-12</v>
      </c>
      <c r="Q65" s="20">
        <f t="shared" si="53"/>
        <v>1.8635787380168604E-12</v>
      </c>
      <c r="R65" s="59">
        <f t="shared" si="0"/>
        <v>293.33333333333519</v>
      </c>
      <c r="S65" s="59">
        <f ca="1">AVERAGE(OFFSET($R$3,0,0,'Données projet'!$E$9+1,1))-AVERAGE(OFFSET($H$3,0,0,'Données projet'!$E$9+1,1))</f>
        <v>250.1520902752946</v>
      </c>
      <c r="T65" s="59">
        <f t="shared" si="34"/>
        <v>258.01144895030291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227.06319801559397</v>
      </c>
      <c r="AA65" s="21">
        <f>EXP(-LN(2)/25)*AA64+(1-EXP(-LN(2)/25))/(LN(2)/25)*Calculateur!V65*Calculateur!X65*VLOOKUP('Données projet'!$B$9,Paramètres!$A$1:$I$89,3,0)*0.475*44/12</f>
        <v>45.239665598665354</v>
      </c>
      <c r="AB65" s="21">
        <f>EXP(-LN(2)/2)*AB64+(1-EXP(-LN(2)/2))/(LN(2)/2)*V65*Y65*VLOOKUP('Données projet'!$B$9,Paramètres!$A$1:$I$89,3,0)*0.475*44/12</f>
        <v>15.309475209573767</v>
      </c>
      <c r="AC65" s="22">
        <f t="shared" si="3"/>
        <v>287.61233882383306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141.51368882763865</v>
      </c>
      <c r="AO65" s="59">
        <f t="shared" si="36"/>
        <v>156.34514945935399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87.63574107353142</v>
      </c>
      <c r="AV65" s="21">
        <f>EXP(-LN(2)/25)*AV64+(1-EXP(-LN(2)/25))/(LN(2)/25)*Calculateur!AQ65*Calculateur!AS65*VLOOKUP('Données projet'!$B$10,Paramètres!$A$1:$I$89,3,0)*0.475*44/12</f>
        <v>56.392950902479527</v>
      </c>
      <c r="AW65" s="21">
        <f>EXP(-LN(2)/2)*AW64+(1-EXP(-LN(2)/2))/(LN(2)/2)*AQ65*AT65*VLOOKUP('Données projet'!$B$10,Paramètres!$A$1:$I$89,3,0)*0.475*44/12</f>
        <v>27.50682891022095</v>
      </c>
      <c r="AX65" s="21">
        <f t="shared" si="6"/>
        <v>171.53552088623189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6.3550942286383367E-14</v>
      </c>
      <c r="P66" s="13">
        <f t="shared" si="33"/>
        <v>1.0064464192543978E-12</v>
      </c>
      <c r="Q66" s="20">
        <f t="shared" si="53"/>
        <v>1.8635787380168604E-12</v>
      </c>
      <c r="R66" s="59">
        <f t="shared" si="0"/>
        <v>293.33333333333519</v>
      </c>
      <c r="S66" s="59">
        <f ca="1">AVERAGE(OFFSET($R$3,0,0,'Données projet'!$E$9+1,1))-AVERAGE(OFFSET($H$3,0,0,'Données projet'!$E$9+1,1))</f>
        <v>250.1520902752946</v>
      </c>
      <c r="T66" s="59">
        <f t="shared" si="34"/>
        <v>258.01144895030291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222.61062719738374</v>
      </c>
      <c r="AA66" s="21">
        <f>EXP(-LN(2)/25)*AA65+(1-EXP(-LN(2)/25))/(LN(2)/25)*Calculateur!V66*Calculateur!X66*VLOOKUP('Données projet'!$B$9,Paramètres!$A$1:$I$89,3,0)*0.475*44/12</f>
        <v>44.002584563819234</v>
      </c>
      <c r="AB66" s="21">
        <f>EXP(-LN(2)/2)*AB65+(1-EXP(-LN(2)/2))/(LN(2)/2)*V66*Y66*VLOOKUP('Données projet'!$B$9,Paramètres!$A$1:$I$89,3,0)*0.475*44/12</f>
        <v>10.825433737096953</v>
      </c>
      <c r="AC66" s="22">
        <f t="shared" si="3"/>
        <v>277.43864549829993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141.51368882763865</v>
      </c>
      <c r="AO66" s="59">
        <f t="shared" si="36"/>
        <v>156.34514945935399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85.91725764360352</v>
      </c>
      <c r="AV66" s="21">
        <f>EXP(-LN(2)/25)*AV65+(1-EXP(-LN(2)/25))/(LN(2)/25)*Calculateur!AQ66*Calculateur!AS66*VLOOKUP('Données projet'!$B$10,Paramètres!$A$1:$I$89,3,0)*0.475*44/12</f>
        <v>54.850882694474826</v>
      </c>
      <c r="AW66" s="21">
        <f>EXP(-LN(2)/2)*AW65+(1-EXP(-LN(2)/2))/(LN(2)/2)*AQ66*AT66*VLOOKUP('Données projet'!$B$10,Paramètres!$A$1:$I$89,3,0)*0.475*44/12</f>
        <v>19.450265251355408</v>
      </c>
      <c r="AX66" s="21">
        <f t="shared" si="6"/>
        <v>160.21840558943376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6.3550942286383367E-14</v>
      </c>
      <c r="P67" s="13">
        <f t="shared" si="33"/>
        <v>1.0064464192543978E-12</v>
      </c>
      <c r="Q67" s="20">
        <f t="shared" ref="Q67:Q98" si="54">(O67+P67)*0.475*44/12</f>
        <v>1.8635787380168604E-12</v>
      </c>
      <c r="R67" s="59">
        <f t="shared" ref="R67:R130" si="55">Q67+(I67+J67)*44/12</f>
        <v>293.33333333333519</v>
      </c>
      <c r="S67" s="59">
        <f ca="1">AVERAGE(OFFSET($R$3,0,0,'Données projet'!$E$9+1,1))-AVERAGE(OFFSET($H$3,0,0,'Données projet'!$E$9+1,1))</f>
        <v>250.1520902752946</v>
      </c>
      <c r="T67" s="59">
        <f t="shared" si="34"/>
        <v>258.01144895030291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218.24536857711857</v>
      </c>
      <c r="AA67" s="21">
        <f>EXP(-LN(2)/25)*AA66+(1-EXP(-LN(2)/25))/(LN(2)/25)*Calculateur!V67*Calculateur!X67*VLOOKUP('Données projet'!$B$9,Paramètres!$A$1:$I$89,3,0)*0.475*44/12</f>
        <v>42.799331574926242</v>
      </c>
      <c r="AB67" s="21">
        <f>EXP(-LN(2)/2)*AB66+(1-EXP(-LN(2)/2))/(LN(2)/2)*V67*Y67*VLOOKUP('Données projet'!$B$9,Paramètres!$A$1:$I$89,3,0)*0.475*44/12</f>
        <v>7.6547376047868845</v>
      </c>
      <c r="AC67" s="22">
        <f t="shared" si="3"/>
        <v>268.69943775683168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141.51368882763865</v>
      </c>
      <c r="AO67" s="59">
        <f t="shared" si="36"/>
        <v>156.34514945935399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84.232472625565123</v>
      </c>
      <c r="AV67" s="21">
        <f>EXP(-LN(2)/25)*AV66+(1-EXP(-LN(2)/25))/(LN(2)/25)*Calculateur!AQ67*Calculateur!AS67*VLOOKUP('Données projet'!$B$10,Paramètres!$A$1:$I$89,3,0)*0.475*44/12</f>
        <v>53.350982422711851</v>
      </c>
      <c r="AW67" s="21">
        <f>EXP(-LN(2)/2)*AW66+(1-EXP(-LN(2)/2))/(LN(2)/2)*AQ67*AT67*VLOOKUP('Données projet'!$B$10,Paramètres!$A$1:$I$89,3,0)*0.475*44/12</f>
        <v>13.753414455110478</v>
      </c>
      <c r="AX67" s="21">
        <f t="shared" si="6"/>
        <v>151.33686950338745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6.3550942286383367E-14</v>
      </c>
      <c r="P68" s="13">
        <f t="shared" si="33"/>
        <v>1.0064464192543978E-12</v>
      </c>
      <c r="Q68" s="20">
        <f t="shared" si="54"/>
        <v>1.8635787380168604E-12</v>
      </c>
      <c r="R68" s="59">
        <f t="shared" si="55"/>
        <v>293.33333333333519</v>
      </c>
      <c r="S68" s="59">
        <f ca="1">AVERAGE(OFFSET($R$3,0,0,'Données projet'!$E$9+1,1))-AVERAGE(OFFSET($H$3,0,0,'Données projet'!$E$9+1,1))</f>
        <v>250.1520902752946</v>
      </c>
      <c r="T68" s="59">
        <f t="shared" si="34"/>
        <v>258.01144895030291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213.96571001585195</v>
      </c>
      <c r="AA68" s="21">
        <f>EXP(-LN(2)/25)*AA67+(1-EXP(-LN(2)/25))/(LN(2)/25)*Calculateur!V68*Calculateur!X68*VLOOKUP('Données projet'!$B$9,Paramètres!$A$1:$I$89,3,0)*0.475*44/12</f>
        <v>41.628981602290857</v>
      </c>
      <c r="AB68" s="21">
        <f>EXP(-LN(2)/2)*AB67+(1-EXP(-LN(2)/2))/(LN(2)/2)*V68*Y68*VLOOKUP('Données projet'!$B$9,Paramètres!$A$1:$I$89,3,0)*0.475*44/12</f>
        <v>5.4127168685484772</v>
      </c>
      <c r="AC68" s="22">
        <f t="shared" ref="AC68:AC131" si="57">SUM(Z68:AB68)</f>
        <v>261.0074084866913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141.51368882763865</v>
      </c>
      <c r="AO68" s="59">
        <f t="shared" si="36"/>
        <v>156.34514945935399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82.580725214113059</v>
      </c>
      <c r="AV68" s="21">
        <f>EXP(-LN(2)/25)*AV67+(1-EXP(-LN(2)/25))/(LN(2)/25)*Calculateur!AQ68*Calculateur!AS68*VLOOKUP('Données projet'!$B$10,Paramètres!$A$1:$I$89,3,0)*0.475*44/12</f>
        <v>51.892097002756564</v>
      </c>
      <c r="AW68" s="21">
        <f>EXP(-LN(2)/2)*AW67+(1-EXP(-LN(2)/2))/(LN(2)/2)*AQ68*AT68*VLOOKUP('Données projet'!$B$10,Paramètres!$A$1:$I$89,3,0)*0.475*44/12</f>
        <v>9.7251326256777055</v>
      </c>
      <c r="AX68" s="21">
        <f t="shared" ref="AX68:AX131" si="60">SUM(AU68:AW68)</f>
        <v>144.19795484254732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6.3550942286383367E-14</v>
      </c>
      <c r="P69" s="13">
        <f t="shared" ref="P69:P132" si="87">EXP(-1.0587+0.8836*LN(O69)+0.284)</f>
        <v>1.0064464192543978E-12</v>
      </c>
      <c r="Q69" s="20">
        <f t="shared" si="54"/>
        <v>1.8635787380168604E-12</v>
      </c>
      <c r="R69" s="59">
        <f t="shared" si="55"/>
        <v>293.33333333333519</v>
      </c>
      <c r="S69" s="59">
        <f ca="1">AVERAGE(OFFSET($R$3,0,0,'Données projet'!$E$9+1,1))-AVERAGE(OFFSET($H$3,0,0,'Données projet'!$E$9+1,1))</f>
        <v>250.1520902752946</v>
      </c>
      <c r="T69" s="59">
        <f t="shared" ref="T69:T132" si="88">$T$3</f>
        <v>258.01144895030291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209.76997294863779</v>
      </c>
      <c r="AA69" s="21">
        <f>EXP(-LN(2)/25)*AA68+(1-EXP(-LN(2)/25))/(LN(2)/25)*Calculateur!V69*Calculateur!X69*VLOOKUP('Données projet'!$B$9,Paramètres!$A$1:$I$89,3,0)*0.475*44/12</f>
        <v>40.490634911203216</v>
      </c>
      <c r="AB69" s="21">
        <f>EXP(-LN(2)/2)*AB68+(1-EXP(-LN(2)/2))/(LN(2)/2)*V69*Y69*VLOOKUP('Données projet'!$B$9,Paramètres!$A$1:$I$89,3,0)*0.475*44/12</f>
        <v>3.8273688023934431</v>
      </c>
      <c r="AC69" s="22">
        <f t="shared" si="57"/>
        <v>254.08797666223444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141.51368882763865</v>
      </c>
      <c r="AO69" s="59">
        <f t="shared" ref="AO69:AO132" si="90">$AO$3</f>
        <v>156.34514945935399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80.96136756193313</v>
      </c>
      <c r="AV69" s="21">
        <f>EXP(-LN(2)/25)*AV68+(1-EXP(-LN(2)/25))/(LN(2)/25)*Calculateur!AQ69*Calculateur!AS69*VLOOKUP('Données projet'!$B$10,Paramètres!$A$1:$I$89,3,0)*0.475*44/12</f>
        <v>50.473104881329405</v>
      </c>
      <c r="AW69" s="21">
        <f>EXP(-LN(2)/2)*AW68+(1-EXP(-LN(2)/2))/(LN(2)/2)*AQ69*AT69*VLOOKUP('Données projet'!$B$10,Paramètres!$A$1:$I$89,3,0)*0.475*44/12</f>
        <v>6.8767072275552401</v>
      </c>
      <c r="AX69" s="21">
        <f t="shared" si="60"/>
        <v>138.31117967081778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6.3550942286383367E-14</v>
      </c>
      <c r="P70" s="13">
        <f t="shared" si="87"/>
        <v>1.0064464192543978E-12</v>
      </c>
      <c r="Q70" s="20">
        <f t="shared" si="54"/>
        <v>1.8635787380168604E-12</v>
      </c>
      <c r="R70" s="59">
        <f t="shared" si="55"/>
        <v>293.33333333333519</v>
      </c>
      <c r="S70" s="59">
        <f ca="1">AVERAGE(OFFSET($R$3,0,0,'Données projet'!$E$9+1,1))-AVERAGE(OFFSET($H$3,0,0,'Données projet'!$E$9+1,1))</f>
        <v>250.1520902752946</v>
      </c>
      <c r="T70" s="59">
        <f t="shared" si="88"/>
        <v>258.01144895030291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205.65651172616478</v>
      </c>
      <c r="AA70" s="21">
        <f>EXP(-LN(2)/25)*AA69+(1-EXP(-LN(2)/25))/(LN(2)/25)*Calculateur!V70*Calculateur!X70*VLOOKUP('Données projet'!$B$9,Paramètres!$A$1:$I$89,3,0)*0.475*44/12</f>
        <v>39.383416370246415</v>
      </c>
      <c r="AB70" s="21">
        <f>EXP(-LN(2)/2)*AB69+(1-EXP(-LN(2)/2))/(LN(2)/2)*V70*Y70*VLOOKUP('Données projet'!$B$9,Paramètres!$A$1:$I$89,3,0)*0.475*44/12</f>
        <v>2.7063584342742391</v>
      </c>
      <c r="AC70" s="22">
        <f t="shared" si="57"/>
        <v>247.74628653068544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141.51368882763865</v>
      </c>
      <c r="AO70" s="59">
        <f t="shared" si="90"/>
        <v>156.34514945935399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79.373764525601814</v>
      </c>
      <c r="AV70" s="21">
        <f>EXP(-LN(2)/25)*AV69+(1-EXP(-LN(2)/25))/(LN(2)/25)*Calculateur!AQ70*Calculateur!AS70*VLOOKUP('Données projet'!$B$10,Paramètres!$A$1:$I$89,3,0)*0.475*44/12</f>
        <v>49.092915174084226</v>
      </c>
      <c r="AW70" s="21">
        <f>EXP(-LN(2)/2)*AW69+(1-EXP(-LN(2)/2))/(LN(2)/2)*AQ70*AT70*VLOOKUP('Données projet'!$B$10,Paramètres!$A$1:$I$89,3,0)*0.475*44/12</f>
        <v>4.8625663128388537</v>
      </c>
      <c r="AX70" s="21">
        <f t="shared" si="60"/>
        <v>133.32924601252489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6.3550942286383367E-14</v>
      </c>
      <c r="P71" s="13">
        <f t="shared" si="87"/>
        <v>1.0064464192543978E-12</v>
      </c>
      <c r="Q71" s="20">
        <f t="shared" si="54"/>
        <v>1.8635787380168604E-12</v>
      </c>
      <c r="R71" s="59">
        <f t="shared" si="55"/>
        <v>293.33333333333519</v>
      </c>
      <c r="S71" s="59">
        <f ca="1">AVERAGE(OFFSET($R$3,0,0,'Données projet'!$E$9+1,1))-AVERAGE(OFFSET($H$3,0,0,'Données projet'!$E$9+1,1))</f>
        <v>250.1520902752946</v>
      </c>
      <c r="T71" s="59">
        <f t="shared" si="88"/>
        <v>258.01144895030291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201.62371296930087</v>
      </c>
      <c r="AA71" s="21">
        <f>EXP(-LN(2)/25)*AA70+(1-EXP(-LN(2)/25))/(LN(2)/25)*Calculateur!V71*Calculateur!X71*VLOOKUP('Données projet'!$B$9,Paramètres!$A$1:$I$89,3,0)*0.475*44/12</f>
        <v>38.306474778518172</v>
      </c>
      <c r="AB71" s="21">
        <f>EXP(-LN(2)/2)*AB70+(1-EXP(-LN(2)/2))/(LN(2)/2)*V71*Y71*VLOOKUP('Données projet'!$B$9,Paramètres!$A$1:$I$89,3,0)*0.475*44/12</f>
        <v>1.9136844011967218</v>
      </c>
      <c r="AC71" s="22">
        <f t="shared" si="57"/>
        <v>241.84387214901577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141.51368882763865</v>
      </c>
      <c r="AO71" s="59">
        <f t="shared" si="90"/>
        <v>156.34514945935399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77.817293416470719</v>
      </c>
      <c r="AV71" s="21">
        <f>EXP(-LN(2)/25)*AV70+(1-EXP(-LN(2)/25))/(LN(2)/25)*Calculateur!AQ71*Calculateur!AS71*VLOOKUP('Données projet'!$B$10,Paramètres!$A$1:$I$89,3,0)*0.475*44/12</f>
        <v>47.75046682696469</v>
      </c>
      <c r="AW71" s="21">
        <f>EXP(-LN(2)/2)*AW70+(1-EXP(-LN(2)/2))/(LN(2)/2)*AQ71*AT71*VLOOKUP('Données projet'!$B$10,Paramètres!$A$1:$I$89,3,0)*0.475*44/12</f>
        <v>3.4383536137776209</v>
      </c>
      <c r="AX71" s="21">
        <f t="shared" si="60"/>
        <v>129.00611385721302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6.3550942286383367E-14</v>
      </c>
      <c r="P72" s="13">
        <f t="shared" si="87"/>
        <v>1.0064464192543978E-12</v>
      </c>
      <c r="Q72" s="20">
        <f t="shared" si="54"/>
        <v>1.8635787380168604E-12</v>
      </c>
      <c r="R72" s="59">
        <f t="shared" si="55"/>
        <v>293.33333333333519</v>
      </c>
      <c r="S72" s="59">
        <f ca="1">AVERAGE(OFFSET($R$3,0,0,'Données projet'!$E$9+1,1))-AVERAGE(OFFSET($H$3,0,0,'Données projet'!$E$9+1,1))</f>
        <v>250.1520902752946</v>
      </c>
      <c r="T72" s="59">
        <f t="shared" si="88"/>
        <v>258.01144895030291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197.6699949362947</v>
      </c>
      <c r="AA72" s="21">
        <f>EXP(-LN(2)/25)*AA71+(1-EXP(-LN(2)/25))/(LN(2)/25)*Calculateur!V72*Calculateur!X72*VLOOKUP('Données projet'!$B$9,Paramètres!$A$1:$I$89,3,0)*0.475*44/12</f>
        <v>37.258982211249638</v>
      </c>
      <c r="AB72" s="21">
        <f>EXP(-LN(2)/2)*AB71+(1-EXP(-LN(2)/2))/(LN(2)/2)*V72*Y72*VLOOKUP('Données projet'!$B$9,Paramètres!$A$1:$I$89,3,0)*0.475*44/12</f>
        <v>1.3531792171371197</v>
      </c>
      <c r="AC72" s="22">
        <f t="shared" si="57"/>
        <v>236.28215636468147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141.51368882763865</v>
      </c>
      <c r="AO72" s="59">
        <f t="shared" si="90"/>
        <v>156.34514945935399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76.291343756436049</v>
      </c>
      <c r="AV72" s="21">
        <f>EXP(-LN(2)/25)*AV71+(1-EXP(-LN(2)/25))/(LN(2)/25)*Calculateur!AQ72*Calculateur!AS72*VLOOKUP('Données projet'!$B$10,Paramètres!$A$1:$I$89,3,0)*0.475*44/12</f>
        <v>46.444727800493425</v>
      </c>
      <c r="AW72" s="21">
        <f>EXP(-LN(2)/2)*AW71+(1-EXP(-LN(2)/2))/(LN(2)/2)*AQ72*AT72*VLOOKUP('Données projet'!$B$10,Paramètres!$A$1:$I$89,3,0)*0.475*44/12</f>
        <v>2.4312831564194273</v>
      </c>
      <c r="AX72" s="21">
        <f t="shared" si="60"/>
        <v>125.1673547133489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6.3550942286383367E-14</v>
      </c>
      <c r="P73" s="13">
        <f t="shared" si="87"/>
        <v>1.0064464192543978E-12</v>
      </c>
      <c r="Q73" s="20">
        <f t="shared" si="54"/>
        <v>1.8635787380168604E-12</v>
      </c>
      <c r="R73" s="59">
        <f t="shared" si="55"/>
        <v>293.33333333333519</v>
      </c>
      <c r="S73" s="59">
        <f ca="1">AVERAGE(OFFSET($R$3,0,0,'Données projet'!$E$9+1,1))-AVERAGE(OFFSET($H$3,0,0,'Données projet'!$E$9+1,1))</f>
        <v>250.1520902752946</v>
      </c>
      <c r="T73" s="59">
        <f t="shared" si="88"/>
        <v>258.01144895030291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193.79380690238588</v>
      </c>
      <c r="AA73" s="21">
        <f>EXP(-LN(2)/25)*AA72+(1-EXP(-LN(2)/25))/(LN(2)/25)*Calculateur!V73*Calculateur!X73*VLOOKUP('Données projet'!$B$9,Paramètres!$A$1:$I$89,3,0)*0.475*44/12</f>
        <v>36.240133383318302</v>
      </c>
      <c r="AB73" s="21">
        <f>EXP(-LN(2)/2)*AB72+(1-EXP(-LN(2)/2))/(LN(2)/2)*V73*Y73*VLOOKUP('Données projet'!$B$9,Paramètres!$A$1:$I$89,3,0)*0.475*44/12</f>
        <v>0.95684220059836111</v>
      </c>
      <c r="AC73" s="22">
        <f t="shared" si="57"/>
        <v>230.99078248630255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141.51368882763865</v>
      </c>
      <c r="AO73" s="59">
        <f t="shared" si="90"/>
        <v>156.34514945935399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74.795317038497259</v>
      </c>
      <c r="AV73" s="21">
        <f>EXP(-LN(2)/25)*AV72+(1-EXP(-LN(2)/25))/(LN(2)/25)*Calculateur!AQ73*Calculateur!AS73*VLOOKUP('Données projet'!$B$10,Paramètres!$A$1:$I$89,3,0)*0.475*44/12</f>
        <v>45.17469427636685</v>
      </c>
      <c r="AW73" s="21">
        <f>EXP(-LN(2)/2)*AW72+(1-EXP(-LN(2)/2))/(LN(2)/2)*AQ73*AT73*VLOOKUP('Données projet'!$B$10,Paramètres!$A$1:$I$89,3,0)*0.475*44/12</f>
        <v>1.7191768068888107</v>
      </c>
      <c r="AX73" s="21">
        <f t="shared" si="60"/>
        <v>121.68918812175292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6.3550942286383367E-14</v>
      </c>
      <c r="P74" s="13">
        <f t="shared" si="87"/>
        <v>1.0064464192543978E-12</v>
      </c>
      <c r="Q74" s="20">
        <f t="shared" si="54"/>
        <v>1.8635787380168604E-12</v>
      </c>
      <c r="R74" s="59">
        <f t="shared" si="55"/>
        <v>293.33333333333519</v>
      </c>
      <c r="S74" s="59">
        <f ca="1">AVERAGE(OFFSET($R$3,0,0,'Données projet'!$E$9+1,1))-AVERAGE(OFFSET($H$3,0,0,'Données projet'!$E$9+1,1))</f>
        <v>250.1520902752946</v>
      </c>
      <c r="T74" s="59">
        <f t="shared" si="88"/>
        <v>258.01144895030291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189.99362855158077</v>
      </c>
      <c r="AA74" s="21">
        <f>EXP(-LN(2)/25)*AA73+(1-EXP(-LN(2)/25))/(LN(2)/25)*Calculateur!V74*Calculateur!X74*VLOOKUP('Données projet'!$B$9,Paramètres!$A$1:$I$89,3,0)*0.475*44/12</f>
        <v>35.249145030165678</v>
      </c>
      <c r="AB74" s="21">
        <f>EXP(-LN(2)/2)*AB73+(1-EXP(-LN(2)/2))/(LN(2)/2)*V74*Y74*VLOOKUP('Données projet'!$B$9,Paramètres!$A$1:$I$89,3,0)*0.475*44/12</f>
        <v>0.67658960856855999</v>
      </c>
      <c r="AC74" s="22">
        <f t="shared" si="57"/>
        <v>225.91936319031501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141.51368882763865</v>
      </c>
      <c r="AO74" s="59">
        <f t="shared" si="90"/>
        <v>156.34514945935399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73.328626492011054</v>
      </c>
      <c r="AV74" s="21">
        <f>EXP(-LN(2)/25)*AV73+(1-EXP(-LN(2)/25))/(LN(2)/25)*Calculateur!AQ74*Calculateur!AS74*VLOOKUP('Données projet'!$B$10,Paramètres!$A$1:$I$89,3,0)*0.475*44/12</f>
        <v>43.939389885745676</v>
      </c>
      <c r="AW74" s="21">
        <f>EXP(-LN(2)/2)*AW73+(1-EXP(-LN(2)/2))/(LN(2)/2)*AQ74*AT74*VLOOKUP('Données projet'!$B$10,Paramètres!$A$1:$I$89,3,0)*0.475*44/12</f>
        <v>1.2156415782097139</v>
      </c>
      <c r="AX74" s="21">
        <f t="shared" si="60"/>
        <v>118.48365795596645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6.3550942286383367E-14</v>
      </c>
      <c r="P75" s="13">
        <f t="shared" si="87"/>
        <v>1.0064464192543978E-12</v>
      </c>
      <c r="Q75" s="20">
        <f t="shared" si="54"/>
        <v>1.8635787380168604E-12</v>
      </c>
      <c r="R75" s="59">
        <f t="shared" si="55"/>
        <v>293.33333333333519</v>
      </c>
      <c r="S75" s="59">
        <f ca="1">AVERAGE(OFFSET($R$3,0,0,'Données projet'!$E$9+1,1))-AVERAGE(OFFSET($H$3,0,0,'Données projet'!$E$9+1,1))</f>
        <v>250.1520902752946</v>
      </c>
      <c r="T75" s="59">
        <f t="shared" si="88"/>
        <v>258.01144895030291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186.26796938035503</v>
      </c>
      <c r="AA75" s="21">
        <f>EXP(-LN(2)/25)*AA74+(1-EXP(-LN(2)/25))/(LN(2)/25)*Calculateur!V75*Calculateur!X75*VLOOKUP('Données projet'!$B$9,Paramètres!$A$1:$I$89,3,0)*0.475*44/12</f>
        <v>34.285255305643823</v>
      </c>
      <c r="AB75" s="21">
        <f>EXP(-LN(2)/2)*AB74+(1-EXP(-LN(2)/2))/(LN(2)/2)*V75*Y75*VLOOKUP('Données projet'!$B$9,Paramètres!$A$1:$I$89,3,0)*0.475*44/12</f>
        <v>0.47842110029918061</v>
      </c>
      <c r="AC75" s="22">
        <f t="shared" si="57"/>
        <v>221.03164578629804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141.51368882763865</v>
      </c>
      <c r="AO75" s="59">
        <f t="shared" si="90"/>
        <v>156.34514945935399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71.890696852548544</v>
      </c>
      <c r="AV75" s="21">
        <f>EXP(-LN(2)/25)*AV74+(1-EXP(-LN(2)/25))/(LN(2)/25)*Calculateur!AQ75*Calculateur!AS75*VLOOKUP('Données projet'!$B$10,Paramètres!$A$1:$I$89,3,0)*0.475*44/12</f>
        <v>42.737864958647869</v>
      </c>
      <c r="AW75" s="21">
        <f>EXP(-LN(2)/2)*AW74+(1-EXP(-LN(2)/2))/(LN(2)/2)*AQ75*AT75*VLOOKUP('Données projet'!$B$10,Paramètres!$A$1:$I$89,3,0)*0.475*44/12</f>
        <v>0.85958840344440546</v>
      </c>
      <c r="AX75" s="21">
        <f t="shared" si="60"/>
        <v>115.48815021464083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6.3550942286383367E-14</v>
      </c>
      <c r="P76" s="13">
        <f t="shared" si="87"/>
        <v>1.0064464192543978E-12</v>
      </c>
      <c r="Q76" s="20">
        <f t="shared" si="54"/>
        <v>1.8635787380168604E-12</v>
      </c>
      <c r="R76" s="59">
        <f t="shared" si="55"/>
        <v>293.33333333333519</v>
      </c>
      <c r="S76" s="59">
        <f ca="1">AVERAGE(OFFSET($R$3,0,0,'Données projet'!$E$9+1,1))-AVERAGE(OFFSET($H$3,0,0,'Données projet'!$E$9+1,1))</f>
        <v>250.1520902752946</v>
      </c>
      <c r="T76" s="59">
        <f t="shared" si="88"/>
        <v>258.01144895030291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182.6153681130493</v>
      </c>
      <c r="AA76" s="21">
        <f>EXP(-LN(2)/25)*AA75+(1-EXP(-LN(2)/25))/(LN(2)/25)*Calculateur!V76*Calculateur!X76*VLOOKUP('Données projet'!$B$9,Paramètres!$A$1:$I$89,3,0)*0.475*44/12</f>
        <v>33.347723196327777</v>
      </c>
      <c r="AB76" s="21">
        <f>EXP(-LN(2)/2)*AB75+(1-EXP(-LN(2)/2))/(LN(2)/2)*V76*Y76*VLOOKUP('Données projet'!$B$9,Paramètres!$A$1:$I$89,3,0)*0.475*44/12</f>
        <v>0.33829480428428005</v>
      </c>
      <c r="AC76" s="22">
        <f t="shared" si="57"/>
        <v>216.30138611366138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141.51368882763865</v>
      </c>
      <c r="AO76" s="59">
        <f t="shared" si="90"/>
        <v>156.34514945935399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70.480964136265413</v>
      </c>
      <c r="AV76" s="21">
        <f>EXP(-LN(2)/25)*AV75+(1-EXP(-LN(2)/25))/(LN(2)/25)*Calculateur!AQ76*Calculateur!AS76*VLOOKUP('Données projet'!$B$10,Paramètres!$A$1:$I$89,3,0)*0.475*44/12</f>
        <v>41.569195793867003</v>
      </c>
      <c r="AW76" s="21">
        <f>EXP(-LN(2)/2)*AW75+(1-EXP(-LN(2)/2))/(LN(2)/2)*AQ76*AT76*VLOOKUP('Données projet'!$B$10,Paramètres!$A$1:$I$89,3,0)*0.475*44/12</f>
        <v>0.60782078910485704</v>
      </c>
      <c r="AX76" s="21">
        <f t="shared" si="60"/>
        <v>112.65798071923729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6.3550942286383367E-14</v>
      </c>
      <c r="P77" s="13">
        <f t="shared" si="87"/>
        <v>1.0064464192543978E-12</v>
      </c>
      <c r="Q77" s="20">
        <f t="shared" si="54"/>
        <v>1.8635787380168604E-12</v>
      </c>
      <c r="R77" s="59">
        <f t="shared" si="55"/>
        <v>293.33333333333519</v>
      </c>
      <c r="S77" s="59">
        <f ca="1">AVERAGE(OFFSET($R$3,0,0,'Données projet'!$E$9+1,1))-AVERAGE(OFFSET($H$3,0,0,'Données projet'!$E$9+1,1))</f>
        <v>250.1520902752946</v>
      </c>
      <c r="T77" s="59">
        <f t="shared" si="88"/>
        <v>258.01144895030291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179.03439212872865</v>
      </c>
      <c r="AA77" s="21">
        <f>EXP(-LN(2)/25)*AA76+(1-EXP(-LN(2)/25))/(LN(2)/25)*Calculateur!V77*Calculateur!X77*VLOOKUP('Données projet'!$B$9,Paramètres!$A$1:$I$89,3,0)*0.475*44/12</f>
        <v>32.435827951843649</v>
      </c>
      <c r="AB77" s="21">
        <f>EXP(-LN(2)/2)*AB76+(1-EXP(-LN(2)/2))/(LN(2)/2)*V77*Y77*VLOOKUP('Données projet'!$B$9,Paramètres!$A$1:$I$89,3,0)*0.475*44/12</f>
        <v>0.23921055014959036</v>
      </c>
      <c r="AC77" s="22">
        <f t="shared" si="57"/>
        <v>211.70943063072187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141.51368882763865</v>
      </c>
      <c r="AO77" s="59">
        <f t="shared" si="90"/>
        <v>156.34514945935399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69.098875418696551</v>
      </c>
      <c r="AV77" s="21">
        <f>EXP(-LN(2)/25)*AV76+(1-EXP(-LN(2)/25))/(LN(2)/25)*Calculateur!AQ77*Calculateur!AS77*VLOOKUP('Données projet'!$B$10,Paramètres!$A$1:$I$89,3,0)*0.475*44/12</f>
        <v>40.43248394885471</v>
      </c>
      <c r="AW77" s="21">
        <f>EXP(-LN(2)/2)*AW76+(1-EXP(-LN(2)/2))/(LN(2)/2)*AQ77*AT77*VLOOKUP('Données projet'!$B$10,Paramètres!$A$1:$I$89,3,0)*0.475*44/12</f>
        <v>0.42979420172220284</v>
      </c>
      <c r="AX77" s="21">
        <f t="shared" si="60"/>
        <v>109.96115356927346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6.3550942286383367E-14</v>
      </c>
      <c r="P78" s="13">
        <f t="shared" si="87"/>
        <v>1.0064464192543978E-12</v>
      </c>
      <c r="Q78" s="20">
        <f t="shared" si="54"/>
        <v>1.8635787380168604E-12</v>
      </c>
      <c r="R78" s="59">
        <f t="shared" si="55"/>
        <v>293.33333333333519</v>
      </c>
      <c r="S78" s="59">
        <f ca="1">AVERAGE(OFFSET($R$3,0,0,'Données projet'!$E$9+1,1))-AVERAGE(OFFSET($H$3,0,0,'Données projet'!$E$9+1,1))</f>
        <v>250.1520902752946</v>
      </c>
      <c r="T78" s="59">
        <f t="shared" si="88"/>
        <v>258.01144895030291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175.52363689928086</v>
      </c>
      <c r="AA78" s="21">
        <f>EXP(-LN(2)/25)*AA77+(1-EXP(-LN(2)/25))/(LN(2)/25)*Calculateur!V78*Calculateur!X78*VLOOKUP('Données projet'!$B$9,Paramètres!$A$1:$I$89,3,0)*0.475*44/12</f>
        <v>31.548868530774424</v>
      </c>
      <c r="AB78" s="21">
        <f>EXP(-LN(2)/2)*AB77+(1-EXP(-LN(2)/2))/(LN(2)/2)*V78*Y78*VLOOKUP('Données projet'!$B$9,Paramètres!$A$1:$I$89,3,0)*0.475*44/12</f>
        <v>0.16914740214214005</v>
      </c>
      <c r="AC78" s="22">
        <f t="shared" si="57"/>
        <v>207.24165283219742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141.51368882763865</v>
      </c>
      <c r="AO78" s="59">
        <f t="shared" si="90"/>
        <v>156.34514945935399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67.743888617888331</v>
      </c>
      <c r="AV78" s="21">
        <f>EXP(-LN(2)/25)*AV77+(1-EXP(-LN(2)/25))/(LN(2)/25)*Calculateur!AQ78*Calculateur!AS78*VLOOKUP('Données projet'!$B$10,Paramètres!$A$1:$I$89,3,0)*0.475*44/12</f>
        <v>39.32685554902136</v>
      </c>
      <c r="AW78" s="21">
        <f>EXP(-LN(2)/2)*AW77+(1-EXP(-LN(2)/2))/(LN(2)/2)*AQ78*AT78*VLOOKUP('Données projet'!$B$10,Paramètres!$A$1:$I$89,3,0)*0.475*44/12</f>
        <v>0.30391039455242858</v>
      </c>
      <c r="AX78" s="21">
        <f t="shared" si="60"/>
        <v>107.37465456146212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6.3550942286383367E-14</v>
      </c>
      <c r="P79" s="13">
        <f t="shared" si="87"/>
        <v>1.0064464192543978E-12</v>
      </c>
      <c r="Q79" s="20">
        <f t="shared" si="54"/>
        <v>1.8635787380168604E-12</v>
      </c>
      <c r="R79" s="59">
        <f t="shared" si="55"/>
        <v>293.33333333333519</v>
      </c>
      <c r="S79" s="59">
        <f ca="1">AVERAGE(OFFSET($R$3,0,0,'Données projet'!$E$9+1,1))-AVERAGE(OFFSET($H$3,0,0,'Données projet'!$E$9+1,1))</f>
        <v>250.1520902752946</v>
      </c>
      <c r="T79" s="59">
        <f t="shared" si="88"/>
        <v>258.01144895030291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172.08172543853328</v>
      </c>
      <c r="AA79" s="21">
        <f>EXP(-LN(2)/25)*AA78+(1-EXP(-LN(2)/25))/(LN(2)/25)*Calculateur!V79*Calculateur!X79*VLOOKUP('Données projet'!$B$9,Paramètres!$A$1:$I$89,3,0)*0.475*44/12</f>
        <v>30.686163061717508</v>
      </c>
      <c r="AB79" s="21">
        <f>EXP(-LN(2)/2)*AB78+(1-EXP(-LN(2)/2))/(LN(2)/2)*V79*Y79*VLOOKUP('Données projet'!$B$9,Paramètres!$A$1:$I$89,3,0)*0.475*44/12</f>
        <v>0.11960527507479519</v>
      </c>
      <c r="AC79" s="22">
        <f t="shared" si="57"/>
        <v>202.88749377532559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141.51368882763865</v>
      </c>
      <c r="AO79" s="59">
        <f t="shared" si="90"/>
        <v>156.34514945935399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66.415472281783622</v>
      </c>
      <c r="AV79" s="21">
        <f>EXP(-LN(2)/25)*AV78+(1-EXP(-LN(2)/25))/(LN(2)/25)*Calculateur!AQ79*Calculateur!AS79*VLOOKUP('Données projet'!$B$10,Paramètres!$A$1:$I$89,3,0)*0.475*44/12</f>
        <v>38.251460615923918</v>
      </c>
      <c r="AW79" s="21">
        <f>EXP(-LN(2)/2)*AW78+(1-EXP(-LN(2)/2))/(LN(2)/2)*AQ79*AT79*VLOOKUP('Données projet'!$B$10,Paramètres!$A$1:$I$89,3,0)*0.475*44/12</f>
        <v>0.21489710086110145</v>
      </c>
      <c r="AX79" s="21">
        <f t="shared" si="60"/>
        <v>104.88182999856865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6.3550942286383367E-14</v>
      </c>
      <c r="P80" s="13">
        <f t="shared" si="87"/>
        <v>1.0064464192543978E-12</v>
      </c>
      <c r="Q80" s="20">
        <f t="shared" si="54"/>
        <v>1.8635787380168604E-12</v>
      </c>
      <c r="R80" s="59">
        <f t="shared" si="55"/>
        <v>293.33333333333519</v>
      </c>
      <c r="S80" s="59">
        <f ca="1">AVERAGE(OFFSET($R$3,0,0,'Données projet'!$E$9+1,1))-AVERAGE(OFFSET($H$3,0,0,'Données projet'!$E$9+1,1))</f>
        <v>250.1520902752946</v>
      </c>
      <c r="T80" s="59">
        <f t="shared" si="88"/>
        <v>258.01144895030291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168.70730776217226</v>
      </c>
      <c r="AA80" s="21">
        <f>EXP(-LN(2)/25)*AA79+(1-EXP(-LN(2)/25))/(LN(2)/25)*Calculateur!V80*Calculateur!X80*VLOOKUP('Données projet'!$B$9,Paramètres!$A$1:$I$89,3,0)*0.475*44/12</f>
        <v>29.847048319079661</v>
      </c>
      <c r="AB80" s="21">
        <f>EXP(-LN(2)/2)*AB79+(1-EXP(-LN(2)/2))/(LN(2)/2)*V80*Y80*VLOOKUP('Données projet'!$B$9,Paramètres!$A$1:$I$89,3,0)*0.475*44/12</f>
        <v>8.457370107107004E-2</v>
      </c>
      <c r="AC80" s="22">
        <f t="shared" si="57"/>
        <v>198.63892978232298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141.51368882763865</v>
      </c>
      <c r="AO80" s="59">
        <f t="shared" si="90"/>
        <v>156.34514945935399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65.113105379775959</v>
      </c>
      <c r="AV80" s="21">
        <f>EXP(-LN(2)/25)*AV79+(1-EXP(-LN(2)/25))/(LN(2)/25)*Calculateur!AQ80*Calculateur!AS80*VLOOKUP('Données projet'!$B$10,Paramètres!$A$1:$I$89,3,0)*0.475*44/12</f>
        <v>37.205472413824587</v>
      </c>
      <c r="AW80" s="21">
        <f>EXP(-LN(2)/2)*AW79+(1-EXP(-LN(2)/2))/(LN(2)/2)*AQ80*AT80*VLOOKUP('Données projet'!$B$10,Paramètres!$A$1:$I$89,3,0)*0.475*44/12</f>
        <v>0.15195519727621432</v>
      </c>
      <c r="AX80" s="21">
        <f t="shared" si="60"/>
        <v>102.47053299087676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6.3550942286383367E-14</v>
      </c>
      <c r="P81" s="13">
        <f t="shared" si="87"/>
        <v>1.0064464192543978E-12</v>
      </c>
      <c r="Q81" s="20">
        <f t="shared" si="54"/>
        <v>1.8635787380168604E-12</v>
      </c>
      <c r="R81" s="59">
        <f t="shared" si="55"/>
        <v>293.33333333333519</v>
      </c>
      <c r="S81" s="59">
        <f ca="1">AVERAGE(OFFSET($R$3,0,0,'Données projet'!$E$9+1,1))-AVERAGE(OFFSET($H$3,0,0,'Données projet'!$E$9+1,1))</f>
        <v>250.1520902752946</v>
      </c>
      <c r="T81" s="59">
        <f t="shared" si="88"/>
        <v>258.01144895030291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165.39906035825314</v>
      </c>
      <c r="AA81" s="21">
        <f>EXP(-LN(2)/25)*AA80+(1-EXP(-LN(2)/25))/(LN(2)/25)*Calculateur!V81*Calculateur!X81*VLOOKUP('Données projet'!$B$9,Paramètres!$A$1:$I$89,3,0)*0.475*44/12</f>
        <v>29.030879213206372</v>
      </c>
      <c r="AB81" s="21">
        <f>EXP(-LN(2)/2)*AB80+(1-EXP(-LN(2)/2))/(LN(2)/2)*V81*Y81*VLOOKUP('Données projet'!$B$9,Paramètres!$A$1:$I$89,3,0)*0.475*44/12</f>
        <v>5.9802637537397604E-2</v>
      </c>
      <c r="AC81" s="22">
        <f t="shared" si="57"/>
        <v>194.48974220899689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141.51368882763865</v>
      </c>
      <c r="AO81" s="59">
        <f t="shared" si="90"/>
        <v>156.34514945935399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63.836277098351296</v>
      </c>
      <c r="AV81" s="21">
        <f>EXP(-LN(2)/25)*AV80+(1-EXP(-LN(2)/25))/(LN(2)/25)*Calculateur!AQ81*Calculateur!AS81*VLOOKUP('Données projet'!$B$10,Paramètres!$A$1:$I$89,3,0)*0.475*44/12</f>
        <v>36.188086814117796</v>
      </c>
      <c r="AW81" s="21">
        <f>EXP(-LN(2)/2)*AW80+(1-EXP(-LN(2)/2))/(LN(2)/2)*AQ81*AT81*VLOOKUP('Données projet'!$B$10,Paramètres!$A$1:$I$89,3,0)*0.475*44/12</f>
        <v>0.10744855043055075</v>
      </c>
      <c r="AX81" s="21">
        <f t="shared" si="60"/>
        <v>100.13181246289963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6.3550942286383367E-14</v>
      </c>
      <c r="P82" s="13">
        <f t="shared" si="87"/>
        <v>1.0064464192543978E-12</v>
      </c>
      <c r="Q82" s="20">
        <f t="shared" si="54"/>
        <v>1.8635787380168604E-12</v>
      </c>
      <c r="R82" s="59">
        <f t="shared" si="55"/>
        <v>293.33333333333519</v>
      </c>
      <c r="S82" s="59">
        <f ca="1">AVERAGE(OFFSET($R$3,0,0,'Données projet'!$E$9+1,1))-AVERAGE(OFFSET($H$3,0,0,'Données projet'!$E$9+1,1))</f>
        <v>250.1520902752946</v>
      </c>
      <c r="T82" s="59">
        <f t="shared" si="88"/>
        <v>258.01144895030291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162.15568566809318</v>
      </c>
      <c r="AA82" s="21">
        <f>EXP(-LN(2)/25)*AA81+(1-EXP(-LN(2)/25))/(LN(2)/25)*Calculateur!V82*Calculateur!X82*VLOOKUP('Données projet'!$B$9,Paramètres!$A$1:$I$89,3,0)*0.475*44/12</f>
        <v>28.237028294453658</v>
      </c>
      <c r="AB82" s="21">
        <f>EXP(-LN(2)/2)*AB81+(1-EXP(-LN(2)/2))/(LN(2)/2)*V82*Y82*VLOOKUP('Données projet'!$B$9,Paramètres!$A$1:$I$89,3,0)*0.475*44/12</f>
        <v>4.2286850535535027E-2</v>
      </c>
      <c r="AC82" s="22">
        <f t="shared" si="57"/>
        <v>190.43500081308238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141.51368882763865</v>
      </c>
      <c r="AO82" s="59">
        <f t="shared" si="90"/>
        <v>156.34514945935399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62.584486640737019</v>
      </c>
      <c r="AV82" s="21">
        <f>EXP(-LN(2)/25)*AV81+(1-EXP(-LN(2)/25))/(LN(2)/25)*Calculateur!AQ82*Calculateur!AS82*VLOOKUP('Données projet'!$B$10,Paramètres!$A$1:$I$89,3,0)*0.475*44/12</f>
        <v>35.198521677136966</v>
      </c>
      <c r="AW82" s="21">
        <f>EXP(-LN(2)/2)*AW81+(1-EXP(-LN(2)/2))/(LN(2)/2)*AQ82*AT82*VLOOKUP('Données projet'!$B$10,Paramètres!$A$1:$I$89,3,0)*0.475*44/12</f>
        <v>7.5977598638107172E-2</v>
      </c>
      <c r="AX82" s="21">
        <f t="shared" si="60"/>
        <v>97.858985916512097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6.3550942286383367E-14</v>
      </c>
      <c r="P83" s="13">
        <f t="shared" si="87"/>
        <v>1.0064464192543978E-12</v>
      </c>
      <c r="Q83" s="20">
        <f t="shared" si="54"/>
        <v>1.8635787380168604E-12</v>
      </c>
      <c r="R83" s="59">
        <f t="shared" si="55"/>
        <v>293.33333333333519</v>
      </c>
      <c r="S83" s="59">
        <f ca="1">AVERAGE(OFFSET($R$3,0,0,'Données projet'!$E$9+1,1))-AVERAGE(OFFSET($H$3,0,0,'Données projet'!$E$9+1,1))</f>
        <v>250.1520902752946</v>
      </c>
      <c r="T83" s="59">
        <f t="shared" si="88"/>
        <v>258.01144895030291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158.97591157734405</v>
      </c>
      <c r="AA83" s="21">
        <f>EXP(-LN(2)/25)*AA82+(1-EXP(-LN(2)/25))/(LN(2)/25)*Calculateur!V83*Calculateur!X83*VLOOKUP('Données projet'!$B$9,Paramètres!$A$1:$I$89,3,0)*0.475*44/12</f>
        <v>27.464885270821043</v>
      </c>
      <c r="AB83" s="21">
        <f>EXP(-LN(2)/2)*AB82+(1-EXP(-LN(2)/2))/(LN(2)/2)*V83*Y83*VLOOKUP('Données projet'!$B$9,Paramètres!$A$1:$I$89,3,0)*0.475*44/12</f>
        <v>2.9901318768698809E-2</v>
      </c>
      <c r="AC83" s="22">
        <f t="shared" si="57"/>
        <v>186.4706981669338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141.51368882763865</v>
      </c>
      <c r="AO83" s="59">
        <f t="shared" si="90"/>
        <v>156.34514945935399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61.357243030479772</v>
      </c>
      <c r="AV83" s="21">
        <f>EXP(-LN(2)/25)*AV82+(1-EXP(-LN(2)/25))/(LN(2)/25)*Calculateur!AQ83*Calculateur!AS83*VLOOKUP('Données projet'!$B$10,Paramètres!$A$1:$I$89,3,0)*0.475*44/12</f>
        <v>34.236016250865852</v>
      </c>
      <c r="AW83" s="21">
        <f>EXP(-LN(2)/2)*AW82+(1-EXP(-LN(2)/2))/(LN(2)/2)*AQ83*AT83*VLOOKUP('Données projet'!$B$10,Paramètres!$A$1:$I$89,3,0)*0.475*44/12</f>
        <v>5.3724275215275383E-2</v>
      </c>
      <c r="AX83" s="21">
        <f t="shared" si="60"/>
        <v>95.646983556560897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6.3550942286383367E-14</v>
      </c>
      <c r="P84" s="13">
        <f t="shared" si="87"/>
        <v>1.0064464192543978E-12</v>
      </c>
      <c r="Q84" s="20">
        <f t="shared" si="54"/>
        <v>1.8635787380168604E-12</v>
      </c>
      <c r="R84" s="59">
        <f t="shared" si="55"/>
        <v>293.33333333333519</v>
      </c>
      <c r="S84" s="59">
        <f ca="1">AVERAGE(OFFSET($R$3,0,0,'Données projet'!$E$9+1,1))-AVERAGE(OFFSET($H$3,0,0,'Données projet'!$E$9+1,1))</f>
        <v>250.1520902752946</v>
      </c>
      <c r="T84" s="59">
        <f t="shared" si="88"/>
        <v>258.01144895030291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155.85849091704384</v>
      </c>
      <c r="AA84" s="21">
        <f>EXP(-LN(2)/25)*AA83+(1-EXP(-LN(2)/25))/(LN(2)/25)*Calculateur!V84*Calculateur!X84*VLOOKUP('Données projet'!$B$9,Paramètres!$A$1:$I$89,3,0)*0.475*44/12</f>
        <v>26.713856538774898</v>
      </c>
      <c r="AB84" s="21">
        <f>EXP(-LN(2)/2)*AB83+(1-EXP(-LN(2)/2))/(LN(2)/2)*V84*Y84*VLOOKUP('Données projet'!$B$9,Paramètres!$A$1:$I$89,3,0)*0.475*44/12</f>
        <v>2.1143425267767517E-2</v>
      </c>
      <c r="AC84" s="22">
        <f t="shared" si="57"/>
        <v>182.59349088108652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141.51368882763865</v>
      </c>
      <c r="AO84" s="59">
        <f t="shared" si="90"/>
        <v>156.34514945935399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60.15406491887498</v>
      </c>
      <c r="AV84" s="21">
        <f>EXP(-LN(2)/25)*AV83+(1-EXP(-LN(2)/25))/(LN(2)/25)*Calculateur!AQ84*Calculateur!AS84*VLOOKUP('Données projet'!$B$10,Paramètres!$A$1:$I$89,3,0)*0.475*44/12</f>
        <v>33.299830586092078</v>
      </c>
      <c r="AW84" s="21">
        <f>EXP(-LN(2)/2)*AW83+(1-EXP(-LN(2)/2))/(LN(2)/2)*AQ84*AT84*VLOOKUP('Données projet'!$B$10,Paramètres!$A$1:$I$89,3,0)*0.475*44/12</f>
        <v>3.7988799319053593E-2</v>
      </c>
      <c r="AX84" s="21">
        <f t="shared" si="60"/>
        <v>93.491884304286103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6.3550942286383367E-14</v>
      </c>
      <c r="P85" s="13">
        <f t="shared" si="87"/>
        <v>1.0064464192543978E-12</v>
      </c>
      <c r="Q85" s="20">
        <f t="shared" si="54"/>
        <v>1.8635787380168604E-12</v>
      </c>
      <c r="R85" s="59">
        <f t="shared" si="55"/>
        <v>293.33333333333519</v>
      </c>
      <c r="S85" s="59">
        <f ca="1">AVERAGE(OFFSET($R$3,0,0,'Données projet'!$E$9+1,1))-AVERAGE(OFFSET($H$3,0,0,'Données projet'!$E$9+1,1))</f>
        <v>250.1520902752946</v>
      </c>
      <c r="T85" s="59">
        <f t="shared" si="88"/>
        <v>258.01144895030291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152.80220097445326</v>
      </c>
      <c r="AA85" s="21">
        <f>EXP(-LN(2)/25)*AA84+(1-EXP(-LN(2)/25))/(LN(2)/25)*Calculateur!V85*Calculateur!X85*VLOOKUP('Données projet'!$B$9,Paramètres!$A$1:$I$89,3,0)*0.475*44/12</f>
        <v>25.983364726901439</v>
      </c>
      <c r="AB85" s="21">
        <f>EXP(-LN(2)/2)*AB84+(1-EXP(-LN(2)/2))/(LN(2)/2)*V85*Y85*VLOOKUP('Données projet'!$B$9,Paramètres!$A$1:$I$89,3,0)*0.475*44/12</f>
        <v>1.4950659384349406E-2</v>
      </c>
      <c r="AC85" s="22">
        <f t="shared" si="57"/>
        <v>178.80051636073904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141.51368882763865</v>
      </c>
      <c r="AO85" s="59">
        <f t="shared" si="90"/>
        <v>156.34514945935399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58.974480396172567</v>
      </c>
      <c r="AV85" s="21">
        <f>EXP(-LN(2)/25)*AV84+(1-EXP(-LN(2)/25))/(LN(2)/25)*Calculateur!AQ85*Calculateur!AS85*VLOOKUP('Données projet'!$B$10,Paramètres!$A$1:$I$89,3,0)*0.475*44/12</f>
        <v>32.38924496755341</v>
      </c>
      <c r="AW85" s="21">
        <f>EXP(-LN(2)/2)*AW84+(1-EXP(-LN(2)/2))/(LN(2)/2)*AQ85*AT85*VLOOKUP('Données projet'!$B$10,Paramètres!$A$1:$I$89,3,0)*0.475*44/12</f>
        <v>2.6862137607637695E-2</v>
      </c>
      <c r="AX85" s="21">
        <f t="shared" si="60"/>
        <v>91.390587501333613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6.3550942286383367E-14</v>
      </c>
      <c r="P86" s="13">
        <f t="shared" si="87"/>
        <v>1.0064464192543978E-12</v>
      </c>
      <c r="Q86" s="20">
        <f t="shared" si="54"/>
        <v>1.8635787380168604E-12</v>
      </c>
      <c r="R86" s="59">
        <f t="shared" si="55"/>
        <v>293.33333333333519</v>
      </c>
      <c r="S86" s="59">
        <f ca="1">AVERAGE(OFFSET($R$3,0,0,'Données projet'!$E$9+1,1))-AVERAGE(OFFSET($H$3,0,0,'Données projet'!$E$9+1,1))</f>
        <v>250.1520902752946</v>
      </c>
      <c r="T86" s="59">
        <f t="shared" si="88"/>
        <v>258.01144895030291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149.80584301348406</v>
      </c>
      <c r="AA86" s="21">
        <f>EXP(-LN(2)/25)*AA85+(1-EXP(-LN(2)/25))/(LN(2)/25)*Calculateur!V86*Calculateur!X86*VLOOKUP('Données projet'!$B$9,Paramètres!$A$1:$I$89,3,0)*0.475*44/12</f>
        <v>25.272848252038553</v>
      </c>
      <c r="AB86" s="21">
        <f>EXP(-LN(2)/2)*AB85+(1-EXP(-LN(2)/2))/(LN(2)/2)*V86*Y86*VLOOKUP('Données projet'!$B$9,Paramètres!$A$1:$I$89,3,0)*0.475*44/12</f>
        <v>1.057171263388376E-2</v>
      </c>
      <c r="AC86" s="22">
        <f t="shared" si="57"/>
        <v>175.08926297815651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141.51368882763865</v>
      </c>
      <c r="AO86" s="59">
        <f t="shared" si="90"/>
        <v>156.34514945935399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57.818026806484838</v>
      </c>
      <c r="AV86" s="21">
        <f>EXP(-LN(2)/25)*AV85+(1-EXP(-LN(2)/25))/(LN(2)/25)*Calculateur!AQ86*Calculateur!AS86*VLOOKUP('Données projet'!$B$10,Paramètres!$A$1:$I$89,3,0)*0.475*44/12</f>
        <v>31.503559360639294</v>
      </c>
      <c r="AW86" s="21">
        <f>EXP(-LN(2)/2)*AW85+(1-EXP(-LN(2)/2))/(LN(2)/2)*AQ86*AT86*VLOOKUP('Données projet'!$B$10,Paramètres!$A$1:$I$89,3,0)*0.475*44/12</f>
        <v>1.8994399659526796E-2</v>
      </c>
      <c r="AX86" s="21">
        <f t="shared" si="60"/>
        <v>89.340580566783672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6.3550942286383367E-14</v>
      </c>
      <c r="P87" s="13">
        <f t="shared" si="87"/>
        <v>1.0064464192543978E-12</v>
      </c>
      <c r="Q87" s="20">
        <f t="shared" si="54"/>
        <v>1.8635787380168604E-12</v>
      </c>
      <c r="R87" s="59">
        <f t="shared" si="55"/>
        <v>293.33333333333519</v>
      </c>
      <c r="S87" s="59">
        <f ca="1">AVERAGE(OFFSET($R$3,0,0,'Données projet'!$E$9+1,1))-AVERAGE(OFFSET($H$3,0,0,'Données projet'!$E$9+1,1))</f>
        <v>250.1520902752946</v>
      </c>
      <c r="T87" s="59">
        <f t="shared" si="88"/>
        <v>258.01144895030291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146.86824180453158</v>
      </c>
      <c r="AA87" s="21">
        <f>EXP(-LN(2)/25)*AA86+(1-EXP(-LN(2)/25))/(LN(2)/25)*Calculateur!V87*Calculateur!X87*VLOOKUP('Données projet'!$B$9,Paramètres!$A$1:$I$89,3,0)*0.475*44/12</f>
        <v>24.581760887545233</v>
      </c>
      <c r="AB87" s="21">
        <f>EXP(-LN(2)/2)*AB86+(1-EXP(-LN(2)/2))/(LN(2)/2)*V87*Y87*VLOOKUP('Données projet'!$B$9,Paramètres!$A$1:$I$89,3,0)*0.475*44/12</f>
        <v>7.4753296921747049E-3</v>
      </c>
      <c r="AC87" s="22">
        <f t="shared" si="57"/>
        <v>171.45747802176899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141.51368882763865</v>
      </c>
      <c r="AO87" s="59">
        <f t="shared" si="90"/>
        <v>156.34514945935399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56.68425056632384</v>
      </c>
      <c r="AV87" s="21">
        <f>EXP(-LN(2)/25)*AV86+(1-EXP(-LN(2)/25))/(LN(2)/25)*Calculateur!AQ87*Calculateur!AS87*VLOOKUP('Données projet'!$B$10,Paramètres!$A$1:$I$89,3,0)*0.475*44/12</f>
        <v>30.642092873222428</v>
      </c>
      <c r="AW87" s="21">
        <f>EXP(-LN(2)/2)*AW86+(1-EXP(-LN(2)/2))/(LN(2)/2)*AQ87*AT87*VLOOKUP('Données projet'!$B$10,Paramètres!$A$1:$I$89,3,0)*0.475*44/12</f>
        <v>1.3431068803818847E-2</v>
      </c>
      <c r="AX87" s="21">
        <f t="shared" si="60"/>
        <v>87.339774508350089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6.3550942286383367E-14</v>
      </c>
      <c r="P88" s="13">
        <f t="shared" si="87"/>
        <v>1.0064464192543978E-12</v>
      </c>
      <c r="Q88" s="20">
        <f t="shared" si="54"/>
        <v>1.8635787380168604E-12</v>
      </c>
      <c r="R88" s="59">
        <f t="shared" si="55"/>
        <v>293.33333333333519</v>
      </c>
      <c r="S88" s="59">
        <f ca="1">AVERAGE(OFFSET($R$3,0,0,'Données projet'!$E$9+1,1))-AVERAGE(OFFSET($H$3,0,0,'Données projet'!$E$9+1,1))</f>
        <v>250.1520902752946</v>
      </c>
      <c r="T88" s="59">
        <f t="shared" si="88"/>
        <v>258.01144895030291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143.98824516352684</v>
      </c>
      <c r="AA88" s="21">
        <f>EXP(-LN(2)/25)*AA87+(1-EXP(-LN(2)/25))/(LN(2)/25)*Calculateur!V88*Calculateur!X88*VLOOKUP('Données projet'!$B$9,Paramètres!$A$1:$I$89,3,0)*0.475*44/12</f>
        <v>23.909571343376687</v>
      </c>
      <c r="AB88" s="21">
        <f>EXP(-LN(2)/2)*AB87+(1-EXP(-LN(2)/2))/(LN(2)/2)*V88*Y88*VLOOKUP('Données projet'!$B$9,Paramètres!$A$1:$I$89,3,0)*0.475*44/12</f>
        <v>5.285856316941881E-3</v>
      </c>
      <c r="AC88" s="22">
        <f t="shared" si="57"/>
        <v>167.90310236322046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141.51368882763865</v>
      </c>
      <c r="AO88" s="59">
        <f t="shared" si="90"/>
        <v>156.34514945935399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55.572706986697177</v>
      </c>
      <c r="AV88" s="21">
        <f>EXP(-LN(2)/25)*AV87+(1-EXP(-LN(2)/25))/(LN(2)/25)*Calculateur!AQ88*Calculateur!AS88*VLOOKUP('Données projet'!$B$10,Paramètres!$A$1:$I$89,3,0)*0.475*44/12</f>
        <v>29.80418323220653</v>
      </c>
      <c r="AW88" s="21">
        <f>EXP(-LN(2)/2)*AW87+(1-EXP(-LN(2)/2))/(LN(2)/2)*AQ88*AT88*VLOOKUP('Données projet'!$B$10,Paramètres!$A$1:$I$89,3,0)*0.475*44/12</f>
        <v>9.4971998297633982E-3</v>
      </c>
      <c r="AX88" s="21">
        <f t="shared" si="60"/>
        <v>85.386387418733477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6.3550942286383367E-14</v>
      </c>
      <c r="P89" s="13">
        <f t="shared" si="87"/>
        <v>1.0064464192543978E-12</v>
      </c>
      <c r="Q89" s="20">
        <f t="shared" si="54"/>
        <v>1.8635787380168604E-12</v>
      </c>
      <c r="R89" s="59">
        <f t="shared" si="55"/>
        <v>293.33333333333519</v>
      </c>
      <c r="S89" s="59">
        <f ca="1">AVERAGE(OFFSET($R$3,0,0,'Données projet'!$E$9+1,1))-AVERAGE(OFFSET($H$3,0,0,'Données projet'!$E$9+1,1))</f>
        <v>250.1520902752946</v>
      </c>
      <c r="T89" s="59">
        <f t="shared" si="88"/>
        <v>258.01144895030291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141.16472350002772</v>
      </c>
      <c r="AA89" s="21">
        <f>EXP(-LN(2)/25)*AA88+(1-EXP(-LN(2)/25))/(LN(2)/25)*Calculateur!V89*Calculateur!X89*VLOOKUP('Données projet'!$B$9,Paramètres!$A$1:$I$89,3,0)*0.475*44/12</f>
        <v>23.255762857642342</v>
      </c>
      <c r="AB89" s="21">
        <f>EXP(-LN(2)/2)*AB88+(1-EXP(-LN(2)/2))/(LN(2)/2)*V89*Y89*VLOOKUP('Données projet'!$B$9,Paramètres!$A$1:$I$89,3,0)*0.475*44/12</f>
        <v>3.7376648460873529E-3</v>
      </c>
      <c r="AC89" s="22">
        <f t="shared" si="57"/>
        <v>164.42422402251614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141.51368882763865</v>
      </c>
      <c r="AO89" s="59">
        <f t="shared" si="90"/>
        <v>156.34514945935399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54.482960098692352</v>
      </c>
      <c r="AV89" s="21">
        <f>EXP(-LN(2)/25)*AV88+(1-EXP(-LN(2)/25))/(LN(2)/25)*Calculateur!AQ89*Calculateur!AS89*VLOOKUP('Données projet'!$B$10,Paramètres!$A$1:$I$89,3,0)*0.475*44/12</f>
        <v>28.989186274387965</v>
      </c>
      <c r="AW89" s="21">
        <f>EXP(-LN(2)/2)*AW88+(1-EXP(-LN(2)/2))/(LN(2)/2)*AQ89*AT89*VLOOKUP('Données projet'!$B$10,Paramètres!$A$1:$I$89,3,0)*0.475*44/12</f>
        <v>6.7155344019094237E-3</v>
      </c>
      <c r="AX89" s="21">
        <f t="shared" si="60"/>
        <v>83.478861907482226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6.3550942286383367E-14</v>
      </c>
      <c r="P90" s="13">
        <f t="shared" si="87"/>
        <v>1.0064464192543978E-12</v>
      </c>
      <c r="Q90" s="20">
        <f t="shared" si="54"/>
        <v>1.8635787380168604E-12</v>
      </c>
      <c r="R90" s="59">
        <f t="shared" si="55"/>
        <v>293.33333333333519</v>
      </c>
      <c r="S90" s="59">
        <f ca="1">AVERAGE(OFFSET($R$3,0,0,'Données projet'!$E$9+1,1))-AVERAGE(OFFSET($H$3,0,0,'Données projet'!$E$9+1,1))</f>
        <v>250.1520902752946</v>
      </c>
      <c r="T90" s="59">
        <f t="shared" si="88"/>
        <v>258.01144895030291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138.39656937417163</v>
      </c>
      <c r="AA90" s="21">
        <f>EXP(-LN(2)/25)*AA89+(1-EXP(-LN(2)/25))/(LN(2)/25)*Calculateur!V90*Calculateur!X90*VLOOKUP('Données projet'!$B$9,Paramètres!$A$1:$I$89,3,0)*0.475*44/12</f>
        <v>22.619832799332695</v>
      </c>
      <c r="AB90" s="21">
        <f>EXP(-LN(2)/2)*AB89+(1-EXP(-LN(2)/2))/(LN(2)/2)*V90*Y90*VLOOKUP('Données projet'!$B$9,Paramètres!$A$1:$I$89,3,0)*0.475*44/12</f>
        <v>2.6429281584709409E-3</v>
      </c>
      <c r="AC90" s="22">
        <f t="shared" si="57"/>
        <v>161.01904510166281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141.51368882763865</v>
      </c>
      <c r="AO90" s="59">
        <f t="shared" si="90"/>
        <v>156.34514945935399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53.414582482481336</v>
      </c>
      <c r="AV90" s="21">
        <f>EXP(-LN(2)/25)*AV89+(1-EXP(-LN(2)/25))/(LN(2)/25)*Calculateur!AQ90*Calculateur!AS90*VLOOKUP('Données projet'!$B$10,Paramètres!$A$1:$I$89,3,0)*0.475*44/12</f>
        <v>28.196475451239774</v>
      </c>
      <c r="AW90" s="21">
        <f>EXP(-LN(2)/2)*AW89+(1-EXP(-LN(2)/2))/(LN(2)/2)*AQ90*AT90*VLOOKUP('Données projet'!$B$10,Paramètres!$A$1:$I$89,3,0)*0.475*44/12</f>
        <v>4.7485999148816991E-3</v>
      </c>
      <c r="AX90" s="21">
        <f t="shared" si="60"/>
        <v>81.61580653363599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6.3550942286383367E-14</v>
      </c>
      <c r="P91" s="13">
        <f t="shared" si="87"/>
        <v>1.0064464192543978E-12</v>
      </c>
      <c r="Q91" s="20">
        <f t="shared" si="54"/>
        <v>1.8635787380168604E-12</v>
      </c>
      <c r="R91" s="59">
        <f t="shared" si="55"/>
        <v>293.33333333333519</v>
      </c>
      <c r="S91" s="59">
        <f ca="1">AVERAGE(OFFSET($R$3,0,0,'Données projet'!$E$9+1,1))-AVERAGE(OFFSET($H$3,0,0,'Données projet'!$E$9+1,1))</f>
        <v>250.1520902752946</v>
      </c>
      <c r="T91" s="59">
        <f t="shared" si="88"/>
        <v>258.01144895030291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135.68269706231629</v>
      </c>
      <c r="AA91" s="21">
        <f>EXP(-LN(2)/25)*AA90+(1-EXP(-LN(2)/25))/(LN(2)/25)*Calculateur!V91*Calculateur!X91*VLOOKUP('Données projet'!$B$9,Paramètres!$A$1:$I$89,3,0)*0.475*44/12</f>
        <v>22.001292281909635</v>
      </c>
      <c r="AB91" s="21">
        <f>EXP(-LN(2)/2)*AB90+(1-EXP(-LN(2)/2))/(LN(2)/2)*V91*Y91*VLOOKUP('Données projet'!$B$9,Paramètres!$A$1:$I$89,3,0)*0.475*44/12</f>
        <v>1.8688324230436767E-3</v>
      </c>
      <c r="AC91" s="22">
        <f t="shared" si="57"/>
        <v>157.68585817664896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141.51368882763865</v>
      </c>
      <c r="AO91" s="59">
        <f t="shared" si="90"/>
        <v>156.34514945935399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52.367155099678214</v>
      </c>
      <c r="AV91" s="21">
        <f>EXP(-LN(2)/25)*AV90+(1-EXP(-LN(2)/25))/(LN(2)/25)*Calculateur!AQ91*Calculateur!AS91*VLOOKUP('Données projet'!$B$10,Paramètres!$A$1:$I$89,3,0)*0.475*44/12</f>
        <v>27.425441347237424</v>
      </c>
      <c r="AW91" s="21">
        <f>EXP(-LN(2)/2)*AW90+(1-EXP(-LN(2)/2))/(LN(2)/2)*AQ91*AT91*VLOOKUP('Données projet'!$B$10,Paramètres!$A$1:$I$89,3,0)*0.475*44/12</f>
        <v>3.3577672009547119E-3</v>
      </c>
      <c r="AX91" s="21">
        <f t="shared" si="60"/>
        <v>79.795954214116591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6.3550942286383367E-14</v>
      </c>
      <c r="P92" s="13">
        <f t="shared" si="87"/>
        <v>1.0064464192543978E-12</v>
      </c>
      <c r="Q92" s="20">
        <f t="shared" si="54"/>
        <v>1.8635787380168604E-12</v>
      </c>
      <c r="R92" s="59">
        <f t="shared" si="55"/>
        <v>293.33333333333519</v>
      </c>
      <c r="S92" s="59">
        <f ca="1">AVERAGE(OFFSET($R$3,0,0,'Données projet'!$E$9+1,1))-AVERAGE(OFFSET($H$3,0,0,'Données projet'!$E$9+1,1))</f>
        <v>250.1520902752946</v>
      </c>
      <c r="T92" s="59">
        <f t="shared" si="88"/>
        <v>258.01144895030291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133.02204213119776</v>
      </c>
      <c r="AA92" s="21">
        <f>EXP(-LN(2)/25)*AA91+(1-EXP(-LN(2)/25))/(LN(2)/25)*Calculateur!V92*Calculateur!X92*VLOOKUP('Données projet'!$B$9,Paramètres!$A$1:$I$89,3,0)*0.475*44/12</f>
        <v>21.399665787463139</v>
      </c>
      <c r="AB92" s="21">
        <f>EXP(-LN(2)/2)*AB91+(1-EXP(-LN(2)/2))/(LN(2)/2)*V92*Y92*VLOOKUP('Données projet'!$B$9,Paramètres!$A$1:$I$89,3,0)*0.475*44/12</f>
        <v>1.3214640792354707E-3</v>
      </c>
      <c r="AC92" s="22">
        <f t="shared" si="57"/>
        <v>154.42302938274014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141.51368882763865</v>
      </c>
      <c r="AO92" s="59">
        <f t="shared" si="90"/>
        <v>156.34514945935399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51.340267128984244</v>
      </c>
      <c r="AV92" s="21">
        <f>EXP(-LN(2)/25)*AV91+(1-EXP(-LN(2)/25))/(LN(2)/25)*Calculateur!AQ92*Calculateur!AS92*VLOOKUP('Données projet'!$B$10,Paramètres!$A$1:$I$89,3,0)*0.475*44/12</f>
        <v>26.675491211355936</v>
      </c>
      <c r="AW92" s="21">
        <f>EXP(-LN(2)/2)*AW91+(1-EXP(-LN(2)/2))/(LN(2)/2)*AQ92*AT92*VLOOKUP('Données projet'!$B$10,Paramètres!$A$1:$I$89,3,0)*0.475*44/12</f>
        <v>2.3742999574408495E-3</v>
      </c>
      <c r="AX92" s="21">
        <f t="shared" si="60"/>
        <v>78.018132640297623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6.3550942286383367E-14</v>
      </c>
      <c r="P93" s="13">
        <f t="shared" si="87"/>
        <v>1.0064464192543978E-12</v>
      </c>
      <c r="Q93" s="20">
        <f t="shared" si="54"/>
        <v>1.8635787380168604E-12</v>
      </c>
      <c r="R93" s="59">
        <f t="shared" si="55"/>
        <v>293.33333333333519</v>
      </c>
      <c r="S93" s="59">
        <f ca="1">AVERAGE(OFFSET($R$3,0,0,'Données projet'!$E$9+1,1))-AVERAGE(OFFSET($H$3,0,0,'Données projet'!$E$9+1,1))</f>
        <v>250.1520902752946</v>
      </c>
      <c r="T93" s="59">
        <f t="shared" si="88"/>
        <v>258.01144895030291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130.4135610204392</v>
      </c>
      <c r="AA93" s="21">
        <f>EXP(-LN(2)/25)*AA92+(1-EXP(-LN(2)/25))/(LN(2)/25)*Calculateur!V93*Calculateur!X93*VLOOKUP('Données projet'!$B$9,Paramètres!$A$1:$I$89,3,0)*0.475*44/12</f>
        <v>20.814490801145446</v>
      </c>
      <c r="AB93" s="21">
        <f>EXP(-LN(2)/2)*AB92+(1-EXP(-LN(2)/2))/(LN(2)/2)*V93*Y93*VLOOKUP('Données projet'!$B$9,Paramètres!$A$1:$I$89,3,0)*0.475*44/12</f>
        <v>9.3441621152183854E-4</v>
      </c>
      <c r="AC93" s="22">
        <f t="shared" si="57"/>
        <v>151.22898623779616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141.51368882763865</v>
      </c>
      <c r="AO93" s="59">
        <f t="shared" si="90"/>
        <v>156.34514945935399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50.333515805055768</v>
      </c>
      <c r="AV93" s="21">
        <f>EXP(-LN(2)/25)*AV92+(1-EXP(-LN(2)/25))/(LN(2)/25)*Calculateur!AQ93*Calculateur!AS93*VLOOKUP('Données projet'!$B$10,Paramètres!$A$1:$I$89,3,0)*0.475*44/12</f>
        <v>25.946048501378293</v>
      </c>
      <c r="AW93" s="21">
        <f>EXP(-LN(2)/2)*AW92+(1-EXP(-LN(2)/2))/(LN(2)/2)*AQ93*AT93*VLOOKUP('Données projet'!$B$10,Paramètres!$A$1:$I$89,3,0)*0.475*44/12</f>
        <v>1.6788836004773559E-3</v>
      </c>
      <c r="AX93" s="21">
        <f t="shared" si="60"/>
        <v>76.28124319003453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6.3550942286383367E-14</v>
      </c>
      <c r="P94" s="13">
        <f t="shared" si="87"/>
        <v>1.0064464192543978E-12</v>
      </c>
      <c r="Q94" s="20">
        <f t="shared" si="54"/>
        <v>1.8635787380168604E-12</v>
      </c>
      <c r="R94" s="59">
        <f t="shared" si="55"/>
        <v>293.33333333333519</v>
      </c>
      <c r="S94" s="59">
        <f ca="1">AVERAGE(OFFSET($R$3,0,0,'Données projet'!$E$9+1,1))-AVERAGE(OFFSET($H$3,0,0,'Données projet'!$E$9+1,1))</f>
        <v>250.1520902752946</v>
      </c>
      <c r="T94" s="59">
        <f t="shared" si="88"/>
        <v>258.01144895030291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127.85623063324626</v>
      </c>
      <c r="AA94" s="21">
        <f>EXP(-LN(2)/25)*AA93+(1-EXP(-LN(2)/25))/(LN(2)/25)*Calculateur!V94*Calculateur!X94*VLOOKUP('Données projet'!$B$9,Paramètres!$A$1:$I$89,3,0)*0.475*44/12</f>
        <v>20.245317455601626</v>
      </c>
      <c r="AB94" s="21">
        <f>EXP(-LN(2)/2)*AB93+(1-EXP(-LN(2)/2))/(LN(2)/2)*V94*Y94*VLOOKUP('Données projet'!$B$9,Paramètres!$A$1:$I$89,3,0)*0.475*44/12</f>
        <v>6.6073203961773545E-4</v>
      </c>
      <c r="AC94" s="22">
        <f t="shared" si="57"/>
        <v>148.10220882088751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141.51368882763865</v>
      </c>
      <c r="AO94" s="59">
        <f t="shared" si="90"/>
        <v>156.34514945935399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49.346506260531854</v>
      </c>
      <c r="AV94" s="21">
        <f>EXP(-LN(2)/25)*AV93+(1-EXP(-LN(2)/25))/(LN(2)/25)*Calculateur!AQ94*Calculateur!AS94*VLOOKUP('Données projet'!$B$10,Paramètres!$A$1:$I$89,3,0)*0.475*44/12</f>
        <v>25.236552440664713</v>
      </c>
      <c r="AW94" s="21">
        <f>EXP(-LN(2)/2)*AW93+(1-EXP(-LN(2)/2))/(LN(2)/2)*AQ94*AT94*VLOOKUP('Données projet'!$B$10,Paramètres!$A$1:$I$89,3,0)*0.475*44/12</f>
        <v>1.1871499787204248E-3</v>
      </c>
      <c r="AX94" s="21">
        <f t="shared" si="60"/>
        <v>74.584245851175282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6.3550942286383367E-14</v>
      </c>
      <c r="P95" s="13">
        <f t="shared" si="87"/>
        <v>1.0064464192543978E-12</v>
      </c>
      <c r="Q95" s="20">
        <f t="shared" si="54"/>
        <v>1.8635787380168604E-12</v>
      </c>
      <c r="R95" s="59">
        <f t="shared" si="55"/>
        <v>293.33333333333519</v>
      </c>
      <c r="S95" s="59">
        <f ca="1">AVERAGE(OFFSET($R$3,0,0,'Données projet'!$E$9+1,1))-AVERAGE(OFFSET($H$3,0,0,'Données projet'!$E$9+1,1))</f>
        <v>250.1520902752946</v>
      </c>
      <c r="T95" s="59">
        <f t="shared" si="88"/>
        <v>258.01144895030291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125.34904793512864</v>
      </c>
      <c r="AA95" s="21">
        <f>EXP(-LN(2)/25)*AA94+(1-EXP(-LN(2)/25))/(LN(2)/25)*Calculateur!V95*Calculateur!X95*VLOOKUP('Données projet'!$B$9,Paramètres!$A$1:$I$89,3,0)*0.475*44/12</f>
        <v>19.691708185123225</v>
      </c>
      <c r="AB95" s="21">
        <f>EXP(-LN(2)/2)*AB94+(1-EXP(-LN(2)/2))/(LN(2)/2)*V95*Y95*VLOOKUP('Données projet'!$B$9,Paramètres!$A$1:$I$89,3,0)*0.475*44/12</f>
        <v>4.6720810576091933E-4</v>
      </c>
      <c r="AC95" s="22">
        <f t="shared" si="57"/>
        <v>145.04122332835763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141.51368882763865</v>
      </c>
      <c r="AO95" s="59">
        <f t="shared" si="90"/>
        <v>156.34514945935399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48.378851371159676</v>
      </c>
      <c r="AV95" s="21">
        <f>EXP(-LN(2)/25)*AV94+(1-EXP(-LN(2)/25))/(LN(2)/25)*Calculateur!AQ95*Calculateur!AS95*VLOOKUP('Données projet'!$B$10,Paramètres!$A$1:$I$89,3,0)*0.475*44/12</f>
        <v>24.546457587042124</v>
      </c>
      <c r="AW95" s="21">
        <f>EXP(-LN(2)/2)*AW94+(1-EXP(-LN(2)/2))/(LN(2)/2)*AQ95*AT95*VLOOKUP('Données projet'!$B$10,Paramètres!$A$1:$I$89,3,0)*0.475*44/12</f>
        <v>8.3944180023867796E-4</v>
      </c>
      <c r="AX95" s="21">
        <f t="shared" si="60"/>
        <v>72.926148400002035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6.3550942286383367E-14</v>
      </c>
      <c r="P96" s="13">
        <f t="shared" si="87"/>
        <v>1.0064464192543978E-12</v>
      </c>
      <c r="Q96" s="20">
        <f t="shared" si="54"/>
        <v>1.8635787380168604E-12</v>
      </c>
      <c r="R96" s="59">
        <f t="shared" si="55"/>
        <v>293.33333333333519</v>
      </c>
      <c r="S96" s="59">
        <f ca="1">AVERAGE(OFFSET($R$3,0,0,'Données projet'!$E$9+1,1))-AVERAGE(OFFSET($H$3,0,0,'Données projet'!$E$9+1,1))</f>
        <v>250.1520902752946</v>
      </c>
      <c r="T96" s="59">
        <f t="shared" si="88"/>
        <v>258.01144895030291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122.89102956049067</v>
      </c>
      <c r="AA96" s="21">
        <f>EXP(-LN(2)/25)*AA95+(1-EXP(-LN(2)/25))/(LN(2)/25)*Calculateur!V96*Calculateur!X96*VLOOKUP('Données projet'!$B$9,Paramètres!$A$1:$I$89,3,0)*0.475*44/12</f>
        <v>19.153237389259104</v>
      </c>
      <c r="AB96" s="21">
        <f>EXP(-LN(2)/2)*AB95+(1-EXP(-LN(2)/2))/(LN(2)/2)*V96*Y96*VLOOKUP('Données projet'!$B$9,Paramètres!$A$1:$I$89,3,0)*0.475*44/12</f>
        <v>3.3036601980886778E-4</v>
      </c>
      <c r="AC96" s="22">
        <f t="shared" si="57"/>
        <v>142.04459731576958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141.51368882763865</v>
      </c>
      <c r="AO96" s="59">
        <f t="shared" si="90"/>
        <v>156.34514945935399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47.430171603956879</v>
      </c>
      <c r="AV96" s="21">
        <f>EXP(-LN(2)/25)*AV95+(1-EXP(-LN(2)/25))/(LN(2)/25)*Calculateur!AQ96*Calculateur!AS96*VLOOKUP('Données projet'!$B$10,Paramètres!$A$1:$I$89,3,0)*0.475*44/12</f>
        <v>23.875233413482356</v>
      </c>
      <c r="AW96" s="21">
        <f>EXP(-LN(2)/2)*AW95+(1-EXP(-LN(2)/2))/(LN(2)/2)*AQ96*AT96*VLOOKUP('Données projet'!$B$10,Paramètres!$A$1:$I$89,3,0)*0.475*44/12</f>
        <v>5.9357498936021239E-4</v>
      </c>
      <c r="AX96" s="21">
        <f t="shared" si="60"/>
        <v>71.305998592428594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6.3550942286383367E-14</v>
      </c>
      <c r="P97" s="13">
        <f t="shared" si="87"/>
        <v>1.0064464192543978E-12</v>
      </c>
      <c r="Q97" s="20">
        <f t="shared" si="54"/>
        <v>1.8635787380168604E-12</v>
      </c>
      <c r="R97" s="59">
        <f t="shared" si="55"/>
        <v>293.33333333333519</v>
      </c>
      <c r="S97" s="59">
        <f ca="1">AVERAGE(OFFSET($R$3,0,0,'Données projet'!$E$9+1,1))-AVERAGE(OFFSET($H$3,0,0,'Données projet'!$E$9+1,1))</f>
        <v>250.1520902752946</v>
      </c>
      <c r="T97" s="59">
        <f t="shared" si="88"/>
        <v>258.01144895030291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120.48121142693617</v>
      </c>
      <c r="AA97" s="21">
        <f>EXP(-LN(2)/25)*AA96+(1-EXP(-LN(2)/25))/(LN(2)/25)*Calculateur!V97*Calculateur!X97*VLOOKUP('Données projet'!$B$9,Paramètres!$A$1:$I$89,3,0)*0.475*44/12</f>
        <v>18.629491105624833</v>
      </c>
      <c r="AB97" s="21">
        <f>EXP(-LN(2)/2)*AB96+(1-EXP(-LN(2)/2))/(LN(2)/2)*V97*Y97*VLOOKUP('Données projet'!$B$9,Paramètres!$A$1:$I$89,3,0)*0.475*44/12</f>
        <v>2.3360405288045972E-4</v>
      </c>
      <c r="AC97" s="22">
        <f t="shared" si="57"/>
        <v>139.11093613661387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141.51368882763865</v>
      </c>
      <c r="AO97" s="59">
        <f t="shared" si="90"/>
        <v>156.34514945935399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46.500094868351404</v>
      </c>
      <c r="AV97" s="21">
        <f>EXP(-LN(2)/25)*AV96+(1-EXP(-LN(2)/25))/(LN(2)/25)*Calculateur!AQ97*Calculateur!AS97*VLOOKUP('Données projet'!$B$10,Paramètres!$A$1:$I$89,3,0)*0.475*44/12</f>
        <v>23.222363900246723</v>
      </c>
      <c r="AW97" s="21">
        <f>EXP(-LN(2)/2)*AW96+(1-EXP(-LN(2)/2))/(LN(2)/2)*AQ97*AT97*VLOOKUP('Données projet'!$B$10,Paramètres!$A$1:$I$89,3,0)*0.475*44/12</f>
        <v>4.1972090011933898E-4</v>
      </c>
      <c r="AX97" s="21">
        <f t="shared" si="60"/>
        <v>69.722878489498257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6.3550942286383367E-14</v>
      </c>
      <c r="P98" s="13">
        <f t="shared" si="87"/>
        <v>1.0064464192543978E-12</v>
      </c>
      <c r="Q98" s="20">
        <f t="shared" si="54"/>
        <v>1.8635787380168604E-12</v>
      </c>
      <c r="R98" s="59">
        <f t="shared" si="55"/>
        <v>293.33333333333519</v>
      </c>
      <c r="S98" s="59">
        <f ca="1">AVERAGE(OFFSET($R$3,0,0,'Données projet'!$E$9+1,1))-AVERAGE(OFFSET($H$3,0,0,'Données projet'!$E$9+1,1))</f>
        <v>250.1520902752946</v>
      </c>
      <c r="T98" s="59">
        <f t="shared" si="88"/>
        <v>258.01144895030291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118.11864835713675</v>
      </c>
      <c r="AA98" s="21">
        <f>EXP(-LN(2)/25)*AA97+(1-EXP(-LN(2)/25))/(LN(2)/25)*Calculateur!V98*Calculateur!X98*VLOOKUP('Données projet'!$B$9,Paramètres!$A$1:$I$89,3,0)*0.475*44/12</f>
        <v>18.120066691659162</v>
      </c>
      <c r="AB98" s="21">
        <f>EXP(-LN(2)/2)*AB97+(1-EXP(-LN(2)/2))/(LN(2)/2)*V98*Y98*VLOOKUP('Données projet'!$B$9,Paramètres!$A$1:$I$89,3,0)*0.475*44/12</f>
        <v>1.6518300990443392E-4</v>
      </c>
      <c r="AC98" s="22">
        <f t="shared" si="57"/>
        <v>136.23888023180581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141.51368882763865</v>
      </c>
      <c r="AO98" s="59">
        <f t="shared" si="90"/>
        <v>156.34514945935399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45.588256370240366</v>
      </c>
      <c r="AV98" s="21">
        <f>EXP(-LN(2)/25)*AV97+(1-EXP(-LN(2)/25))/(LN(2)/25)*Calculateur!AQ98*Calculateur!AS98*VLOOKUP('Données projet'!$B$10,Paramètres!$A$1:$I$89,3,0)*0.475*44/12</f>
        <v>22.587347138183436</v>
      </c>
      <c r="AW98" s="21">
        <f>EXP(-LN(2)/2)*AW97+(1-EXP(-LN(2)/2))/(LN(2)/2)*AQ98*AT98*VLOOKUP('Données projet'!$B$10,Paramètres!$A$1:$I$89,3,0)*0.475*44/12</f>
        <v>2.9678749468010619E-4</v>
      </c>
      <c r="AX98" s="21">
        <f t="shared" si="60"/>
        <v>68.175900295918481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6.3550942286383367E-14</v>
      </c>
      <c r="P99" s="13">
        <f t="shared" si="87"/>
        <v>1.0064464192543978E-12</v>
      </c>
      <c r="Q99" s="20">
        <f t="shared" ref="Q99:Q130" si="107">(O99+P99)*0.475*44/12</f>
        <v>1.8635787380168604E-12</v>
      </c>
      <c r="R99" s="59">
        <f t="shared" si="55"/>
        <v>293.33333333333519</v>
      </c>
      <c r="S99" s="59">
        <f ca="1">AVERAGE(OFFSET($R$3,0,0,'Données projet'!$E$9+1,1))-AVERAGE(OFFSET($H$3,0,0,'Données projet'!$E$9+1,1))</f>
        <v>250.1520902752946</v>
      </c>
      <c r="T99" s="59">
        <f t="shared" si="88"/>
        <v>258.01144895030291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115.80241370811491</v>
      </c>
      <c r="AA99" s="21">
        <f>EXP(-LN(2)/25)*AA98+(1-EXP(-LN(2)/25))/(LN(2)/25)*Calculateur!V99*Calculateur!X99*VLOOKUP('Données projet'!$B$9,Paramètres!$A$1:$I$89,3,0)*0.475*44/12</f>
        <v>17.62457251508285</v>
      </c>
      <c r="AB99" s="21">
        <f>EXP(-LN(2)/2)*AB98+(1-EXP(-LN(2)/2))/(LN(2)/2)*V99*Y99*VLOOKUP('Données projet'!$B$9,Paramètres!$A$1:$I$89,3,0)*0.475*44/12</f>
        <v>1.1680202644022987E-4</v>
      </c>
      <c r="AC99" s="22">
        <f t="shared" si="57"/>
        <v>133.4271030252242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141.51368882763865</v>
      </c>
      <c r="AO99" s="59">
        <f t="shared" si="90"/>
        <v>156.34514945935399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44.694298468910716</v>
      </c>
      <c r="AV99" s="21">
        <f>EXP(-LN(2)/25)*AV98+(1-EXP(-LN(2)/25))/(LN(2)/25)*Calculateur!AQ99*Calculateur!AS99*VLOOKUP('Données projet'!$B$10,Paramètres!$A$1:$I$89,3,0)*0.475*44/12</f>
        <v>21.969694942872849</v>
      </c>
      <c r="AW99" s="21">
        <f>EXP(-LN(2)/2)*AW98+(1-EXP(-LN(2)/2))/(LN(2)/2)*AQ99*AT99*VLOOKUP('Données projet'!$B$10,Paramètres!$A$1:$I$89,3,0)*0.475*44/12</f>
        <v>2.0986045005966949E-4</v>
      </c>
      <c r="AX99" s="21">
        <f t="shared" si="60"/>
        <v>66.664203272233621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6.3550942286383367E-14</v>
      </c>
      <c r="P100" s="13">
        <f t="shared" si="87"/>
        <v>1.0064464192543978E-12</v>
      </c>
      <c r="Q100" s="20">
        <f t="shared" si="107"/>
        <v>1.8635787380168604E-12</v>
      </c>
      <c r="R100" s="59">
        <f t="shared" si="55"/>
        <v>293.33333333333519</v>
      </c>
      <c r="S100" s="59">
        <f ca="1">AVERAGE(OFFSET($R$3,0,0,'Données projet'!$E$9+1,1))-AVERAGE(OFFSET($H$3,0,0,'Données projet'!$E$9+1,1))</f>
        <v>250.1520902752946</v>
      </c>
      <c r="T100" s="59">
        <f t="shared" si="88"/>
        <v>258.01144895030291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113.53159900779676</v>
      </c>
      <c r="AA100" s="21">
        <f>EXP(-LN(2)/25)*AA99+(1-EXP(-LN(2)/25))/(LN(2)/25)*Calculateur!V100*Calculateur!X100*VLOOKUP('Données projet'!$B$9,Paramètres!$A$1:$I$89,3,0)*0.475*44/12</f>
        <v>17.142627652821922</v>
      </c>
      <c r="AB100" s="21">
        <f>EXP(-LN(2)/2)*AB99+(1-EXP(-LN(2)/2))/(LN(2)/2)*V100*Y100*VLOOKUP('Données projet'!$B$9,Paramètres!$A$1:$I$89,3,0)*0.475*44/12</f>
        <v>8.2591504952216971E-5</v>
      </c>
      <c r="AC100" s="22">
        <f t="shared" si="57"/>
        <v>130.67430925212363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141.51368882763865</v>
      </c>
      <c r="AO100" s="59">
        <f t="shared" si="90"/>
        <v>156.34514945935399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43.81787053676566</v>
      </c>
      <c r="AV100" s="21">
        <f>EXP(-LN(2)/25)*AV99+(1-EXP(-LN(2)/25))/(LN(2)/25)*Calculateur!AQ100*Calculateur!AS100*VLOOKUP('Données projet'!$B$10,Paramètres!$A$1:$I$89,3,0)*0.475*44/12</f>
        <v>21.368932479323945</v>
      </c>
      <c r="AW100" s="21">
        <f>EXP(-LN(2)/2)*AW99+(1-EXP(-LN(2)/2))/(LN(2)/2)*AQ100*AT100*VLOOKUP('Données projet'!$B$10,Paramètres!$A$1:$I$89,3,0)*0.475*44/12</f>
        <v>1.483937473400531E-4</v>
      </c>
      <c r="AX100" s="21">
        <f t="shared" si="60"/>
        <v>65.186951409836951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6.3550942286383367E-14</v>
      </c>
      <c r="P101" s="13">
        <f t="shared" si="87"/>
        <v>1.0064464192543978E-12</v>
      </c>
      <c r="Q101" s="20">
        <f t="shared" si="107"/>
        <v>1.8635787380168604E-12</v>
      </c>
      <c r="R101" s="59">
        <f t="shared" si="55"/>
        <v>293.33333333333519</v>
      </c>
      <c r="S101" s="59">
        <f ca="1">AVERAGE(OFFSET($R$3,0,0,'Données projet'!$E$9+1,1))-AVERAGE(OFFSET($H$3,0,0,'Données projet'!$E$9+1,1))</f>
        <v>250.1520902752946</v>
      </c>
      <c r="T101" s="59">
        <f t="shared" si="88"/>
        <v>258.01144895030291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111.30531359869164</v>
      </c>
      <c r="AA101" s="21">
        <f>EXP(-LN(2)/25)*AA100+(1-EXP(-LN(2)/25))/(LN(2)/25)*Calculateur!V101*Calculateur!X101*VLOOKUP('Données projet'!$B$9,Paramètres!$A$1:$I$89,3,0)*0.475*44/12</f>
        <v>16.673861598163899</v>
      </c>
      <c r="AB101" s="21">
        <f>EXP(-LN(2)/2)*AB100+(1-EXP(-LN(2)/2))/(LN(2)/2)*V101*Y101*VLOOKUP('Données projet'!$B$9,Paramètres!$A$1:$I$89,3,0)*0.475*44/12</f>
        <v>5.8401013220114943E-5</v>
      </c>
      <c r="AC101" s="22">
        <f t="shared" si="57"/>
        <v>127.97923359786876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141.51368882763865</v>
      </c>
      <c r="AO101" s="59">
        <f t="shared" si="90"/>
        <v>156.34514945935399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42.958628821801717</v>
      </c>
      <c r="AV101" s="21">
        <f>EXP(-LN(2)/25)*AV100+(1-EXP(-LN(2)/25))/(LN(2)/25)*Calculateur!AQ101*Calculateur!AS101*VLOOKUP('Données projet'!$B$10,Paramètres!$A$1:$I$89,3,0)*0.475*44/12</f>
        <v>20.784597896933512</v>
      </c>
      <c r="AW101" s="21">
        <f>EXP(-LN(2)/2)*AW100+(1-EXP(-LN(2)/2))/(LN(2)/2)*AQ101*AT101*VLOOKUP('Données projet'!$B$10,Paramètres!$A$1:$I$89,3,0)*0.475*44/12</f>
        <v>1.0493022502983475E-4</v>
      </c>
      <c r="AX101" s="21">
        <f t="shared" si="60"/>
        <v>63.743331648960257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6.3550942286383367E-14</v>
      </c>
      <c r="P102" s="13">
        <f t="shared" si="87"/>
        <v>1.0064464192543978E-12</v>
      </c>
      <c r="Q102" s="20">
        <f t="shared" si="107"/>
        <v>1.8635787380168604E-12</v>
      </c>
      <c r="R102" s="59">
        <f t="shared" si="55"/>
        <v>293.33333333333519</v>
      </c>
      <c r="S102" s="59">
        <f ca="1">AVERAGE(OFFSET($R$3,0,0,'Données projet'!$E$9+1,1))-AVERAGE(OFFSET($H$3,0,0,'Données projet'!$E$9+1,1))</f>
        <v>250.1520902752946</v>
      </c>
      <c r="T102" s="59">
        <f t="shared" si="88"/>
        <v>258.01144895030291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109.12268428855906</v>
      </c>
      <c r="AA102" s="21">
        <f>EXP(-LN(2)/25)*AA101+(1-EXP(-LN(2)/25))/(LN(2)/25)*Calculateur!V102*Calculateur!X102*VLOOKUP('Données projet'!$B$9,Paramètres!$A$1:$I$89,3,0)*0.475*44/12</f>
        <v>16.217913975921835</v>
      </c>
      <c r="AB102" s="21">
        <f>EXP(-LN(2)/2)*AB101+(1-EXP(-LN(2)/2))/(LN(2)/2)*V102*Y102*VLOOKUP('Données projet'!$B$9,Paramètres!$A$1:$I$89,3,0)*0.475*44/12</f>
        <v>4.1295752476108486E-5</v>
      </c>
      <c r="AC102" s="22">
        <f t="shared" si="57"/>
        <v>125.34063956023337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141.51368882763865</v>
      </c>
      <c r="AO102" s="59">
        <f t="shared" si="90"/>
        <v>156.34514945935399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42.116236312782519</v>
      </c>
      <c r="AV102" s="21">
        <f>EXP(-LN(2)/25)*AV101+(1-EXP(-LN(2)/25))/(LN(2)/25)*Calculateur!AQ102*Calculateur!AS102*VLOOKUP('Données projet'!$B$10,Paramètres!$A$1:$I$89,3,0)*0.475*44/12</f>
        <v>20.216241974427366</v>
      </c>
      <c r="AW102" s="21">
        <f>EXP(-LN(2)/2)*AW101+(1-EXP(-LN(2)/2))/(LN(2)/2)*AQ102*AT102*VLOOKUP('Données projet'!$B$10,Paramètres!$A$1:$I$89,3,0)*0.475*44/12</f>
        <v>7.4196873670026548E-5</v>
      </c>
      <c r="AX102" s="21">
        <f t="shared" si="60"/>
        <v>62.33255248408355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6.3550942286383367E-14</v>
      </c>
      <c r="P103" s="13">
        <f t="shared" si="87"/>
        <v>1.0064464192543978E-12</v>
      </c>
      <c r="Q103" s="20">
        <f t="shared" si="107"/>
        <v>1.8635787380168604E-12</v>
      </c>
      <c r="R103" s="59">
        <f t="shared" si="55"/>
        <v>293.33333333333519</v>
      </c>
      <c r="S103" s="59">
        <f ca="1">AVERAGE(OFFSET($R$3,0,0,'Données projet'!$E$9+1,1))-AVERAGE(OFFSET($H$3,0,0,'Données projet'!$E$9+1,1))</f>
        <v>250.1520902752946</v>
      </c>
      <c r="T103" s="59">
        <f t="shared" si="88"/>
        <v>258.01144895030291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106.98285500792575</v>
      </c>
      <c r="AA103" s="21">
        <f>EXP(-LN(2)/25)*AA102+(1-EXP(-LN(2)/25))/(LN(2)/25)*Calculateur!V103*Calculateur!X103*VLOOKUP('Données projet'!$B$9,Paramètres!$A$1:$I$89,3,0)*0.475*44/12</f>
        <v>15.774434265387223</v>
      </c>
      <c r="AB103" s="21">
        <f>EXP(-LN(2)/2)*AB102+(1-EXP(-LN(2)/2))/(LN(2)/2)*V103*Y103*VLOOKUP('Données projet'!$B$9,Paramètres!$A$1:$I$89,3,0)*0.475*44/12</f>
        <v>2.9200506610057471E-5</v>
      </c>
      <c r="AC103" s="22">
        <f t="shared" si="57"/>
        <v>122.75731847381959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141.51368882763865</v>
      </c>
      <c r="AO103" s="59">
        <f t="shared" si="90"/>
        <v>156.34514945935399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41.290362607056487</v>
      </c>
      <c r="AV103" s="21">
        <f>EXP(-LN(2)/25)*AV102+(1-EXP(-LN(2)/25))/(LN(2)/25)*Calculateur!AQ103*Calculateur!AS103*VLOOKUP('Données projet'!$B$10,Paramètres!$A$1:$I$89,3,0)*0.475*44/12</f>
        <v>19.663427774510687</v>
      </c>
      <c r="AW103" s="21">
        <f>EXP(-LN(2)/2)*AW102+(1-EXP(-LN(2)/2))/(LN(2)/2)*AQ103*AT103*VLOOKUP('Données projet'!$B$10,Paramètres!$A$1:$I$89,3,0)*0.475*44/12</f>
        <v>5.2465112514917373E-5</v>
      </c>
      <c r="AX103" s="21">
        <f t="shared" si="60"/>
        <v>60.953842846679692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6.3550942286383367E-14</v>
      </c>
      <c r="P104" s="13">
        <f t="shared" si="87"/>
        <v>1.0064464192543978E-12</v>
      </c>
      <c r="Q104" s="20">
        <f t="shared" si="107"/>
        <v>1.8635787380168604E-12</v>
      </c>
      <c r="R104" s="59">
        <f t="shared" si="55"/>
        <v>293.33333333333519</v>
      </c>
      <c r="S104" s="59">
        <f ca="1">AVERAGE(OFFSET($R$3,0,0,'Données projet'!$E$9+1,1))-AVERAGE(OFFSET($H$3,0,0,'Données projet'!$E$9+1,1))</f>
        <v>250.1520902752946</v>
      </c>
      <c r="T104" s="59">
        <f t="shared" si="88"/>
        <v>258.01144895030291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104.88498647431867</v>
      </c>
      <c r="AA104" s="21">
        <f>EXP(-LN(2)/25)*AA103+(1-EXP(-LN(2)/25))/(LN(2)/25)*Calculateur!V104*Calculateur!X104*VLOOKUP('Données projet'!$B$9,Paramètres!$A$1:$I$89,3,0)*0.475*44/12</f>
        <v>15.343081530858765</v>
      </c>
      <c r="AB104" s="21">
        <f>EXP(-LN(2)/2)*AB103+(1-EXP(-LN(2)/2))/(LN(2)/2)*V104*Y104*VLOOKUP('Données projet'!$B$9,Paramètres!$A$1:$I$89,3,0)*0.475*44/12</f>
        <v>2.0647876238054243E-5</v>
      </c>
      <c r="AC104" s="22">
        <f t="shared" si="57"/>
        <v>120.22808865305367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141.51368882763865</v>
      </c>
      <c r="AO104" s="59">
        <f t="shared" si="90"/>
        <v>156.34514945935399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40.480683780966523</v>
      </c>
      <c r="AV104" s="21">
        <f>EXP(-LN(2)/25)*AV103+(1-EXP(-LN(2)/25))/(LN(2)/25)*Calculateur!AQ104*Calculateur!AS104*VLOOKUP('Données projet'!$B$10,Paramètres!$A$1:$I$89,3,0)*0.475*44/12</f>
        <v>19.125730307961966</v>
      </c>
      <c r="AW104" s="21">
        <f>EXP(-LN(2)/2)*AW103+(1-EXP(-LN(2)/2))/(LN(2)/2)*AQ104*AT104*VLOOKUP('Données projet'!$B$10,Paramètres!$A$1:$I$89,3,0)*0.475*44/12</f>
        <v>3.7098436835013274E-5</v>
      </c>
      <c r="AX104" s="21">
        <f t="shared" si="60"/>
        <v>59.606451187365323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6.3550942286383367E-14</v>
      </c>
      <c r="P105" s="13">
        <f t="shared" si="87"/>
        <v>1.0064464192543978E-12</v>
      </c>
      <c r="Q105" s="20">
        <f t="shared" si="107"/>
        <v>1.8635787380168604E-12</v>
      </c>
      <c r="R105" s="59">
        <f t="shared" si="55"/>
        <v>293.33333333333519</v>
      </c>
      <c r="S105" s="59">
        <f ca="1">AVERAGE(OFFSET($R$3,0,0,'Données projet'!$E$9+1,1))-AVERAGE(OFFSET($H$3,0,0,'Données projet'!$E$9+1,1))</f>
        <v>250.1520902752946</v>
      </c>
      <c r="T105" s="59">
        <f t="shared" si="88"/>
        <v>258.01144895030291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102.82825586308216</v>
      </c>
      <c r="AA105" s="21">
        <f>EXP(-LN(2)/25)*AA104+(1-EXP(-LN(2)/25))/(LN(2)/25)*Calculateur!V105*Calculateur!X105*VLOOKUP('Données projet'!$B$9,Paramètres!$A$1:$I$89,3,0)*0.475*44/12</f>
        <v>14.923524159539841</v>
      </c>
      <c r="AB105" s="21">
        <f>EXP(-LN(2)/2)*AB104+(1-EXP(-LN(2)/2))/(LN(2)/2)*V105*Y105*VLOOKUP('Données projet'!$B$9,Paramètres!$A$1:$I$89,3,0)*0.475*44/12</f>
        <v>1.4600253305028736E-5</v>
      </c>
      <c r="AC105" s="22">
        <f t="shared" si="57"/>
        <v>117.75179462287531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141.51368882763865</v>
      </c>
      <c r="AO105" s="59">
        <f t="shared" si="90"/>
        <v>156.34514945935399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39.686882262800864</v>
      </c>
      <c r="AV105" s="21">
        <f>EXP(-LN(2)/25)*AV104+(1-EXP(-LN(2)/25))/(LN(2)/25)*Calculateur!AQ105*Calculateur!AS105*VLOOKUP('Données projet'!$B$10,Paramètres!$A$1:$I$89,3,0)*0.475*44/12</f>
        <v>18.602736206912301</v>
      </c>
      <c r="AW105" s="21">
        <f>EXP(-LN(2)/2)*AW104+(1-EXP(-LN(2)/2))/(LN(2)/2)*AQ105*AT105*VLOOKUP('Données projet'!$B$10,Paramètres!$A$1:$I$89,3,0)*0.475*44/12</f>
        <v>2.6232556257458686E-5</v>
      </c>
      <c r="AX105" s="21">
        <f t="shared" si="60"/>
        <v>58.28964470226942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6.3550942286383367E-14</v>
      </c>
      <c r="P106" s="13">
        <f t="shared" si="87"/>
        <v>1.0064464192543978E-12</v>
      </c>
      <c r="Q106" s="20">
        <f t="shared" si="107"/>
        <v>1.8635787380168604E-12</v>
      </c>
      <c r="R106" s="59">
        <f t="shared" si="55"/>
        <v>293.33333333333519</v>
      </c>
      <c r="S106" s="59">
        <f ca="1">AVERAGE(OFFSET($R$3,0,0,'Données projet'!$E$9+1,1))-AVERAGE(OFFSET($H$3,0,0,'Données projet'!$E$9+1,1))</f>
        <v>250.1520902752946</v>
      </c>
      <c r="T106" s="59">
        <f t="shared" si="88"/>
        <v>258.01144895030291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100.81185648465021</v>
      </c>
      <c r="AA106" s="21">
        <f>EXP(-LN(2)/25)*AA105+(1-EXP(-LN(2)/25))/(LN(2)/25)*Calculateur!V106*Calculateur!X106*VLOOKUP('Données projet'!$B$9,Paramètres!$A$1:$I$89,3,0)*0.475*44/12</f>
        <v>14.515439606603197</v>
      </c>
      <c r="AB106" s="21">
        <f>EXP(-LN(2)/2)*AB105+(1-EXP(-LN(2)/2))/(LN(2)/2)*V106*Y106*VLOOKUP('Données projet'!$B$9,Paramètres!$A$1:$I$89,3,0)*0.475*44/12</f>
        <v>1.0323938119027121E-5</v>
      </c>
      <c r="AC106" s="22">
        <f t="shared" si="57"/>
        <v>115.32730641519152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141.51368882763865</v>
      </c>
      <c r="AO106" s="59">
        <f t="shared" si="90"/>
        <v>156.34514945935399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38.908646708235317</v>
      </c>
      <c r="AV106" s="21">
        <f>EXP(-LN(2)/25)*AV105+(1-EXP(-LN(2)/25))/(LN(2)/25)*Calculateur!AQ106*Calculateur!AS106*VLOOKUP('Données projet'!$B$10,Paramètres!$A$1:$I$89,3,0)*0.475*44/12</f>
        <v>18.094043407058905</v>
      </c>
      <c r="AW106" s="21">
        <f>EXP(-LN(2)/2)*AW105+(1-EXP(-LN(2)/2))/(LN(2)/2)*AQ106*AT106*VLOOKUP('Données projet'!$B$10,Paramètres!$A$1:$I$89,3,0)*0.475*44/12</f>
        <v>1.8549218417506637E-5</v>
      </c>
      <c r="AX106" s="21">
        <f t="shared" si="60"/>
        <v>57.002708664512639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6.3550942286383367E-14</v>
      </c>
      <c r="P107" s="13">
        <f t="shared" si="87"/>
        <v>1.0064464192543978E-12</v>
      </c>
      <c r="Q107" s="20">
        <f t="shared" si="107"/>
        <v>1.8635787380168604E-12</v>
      </c>
      <c r="R107" s="59">
        <f t="shared" si="55"/>
        <v>293.33333333333519</v>
      </c>
      <c r="S107" s="59">
        <f ca="1">AVERAGE(OFFSET($R$3,0,0,'Données projet'!$E$9+1,1))-AVERAGE(OFFSET($H$3,0,0,'Données projet'!$E$9+1,1))</f>
        <v>250.1520902752946</v>
      </c>
      <c r="T107" s="59">
        <f t="shared" si="88"/>
        <v>258.01144895030291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98.834997468147122</v>
      </c>
      <c r="AA107" s="21">
        <f>EXP(-LN(2)/25)*AA106+(1-EXP(-LN(2)/25))/(LN(2)/25)*Calculateur!V107*Calculateur!X107*VLOOKUP('Données projet'!$B$9,Paramètres!$A$1:$I$89,3,0)*0.475*44/12</f>
        <v>14.118514147226838</v>
      </c>
      <c r="AB107" s="21">
        <f>EXP(-LN(2)/2)*AB106+(1-EXP(-LN(2)/2))/(LN(2)/2)*V107*Y107*VLOOKUP('Données projet'!$B$9,Paramètres!$A$1:$I$89,3,0)*0.475*44/12</f>
        <v>7.3001266525143679E-6</v>
      </c>
      <c r="AC107" s="22">
        <f t="shared" si="57"/>
        <v>112.95351891550061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141.51368882763865</v>
      </c>
      <c r="AO107" s="59">
        <f t="shared" si="90"/>
        <v>156.34514945935399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38.145671878217982</v>
      </c>
      <c r="AV107" s="21">
        <f>EXP(-LN(2)/25)*AV106+(1-EXP(-LN(2)/25))/(LN(2)/25)*Calculateur!AQ107*Calculateur!AS107*VLOOKUP('Données projet'!$B$10,Paramètres!$A$1:$I$89,3,0)*0.475*44/12</f>
        <v>17.59926083856849</v>
      </c>
      <c r="AW107" s="21">
        <f>EXP(-LN(2)/2)*AW106+(1-EXP(-LN(2)/2))/(LN(2)/2)*AQ107*AT107*VLOOKUP('Données projet'!$B$10,Paramètres!$A$1:$I$89,3,0)*0.475*44/12</f>
        <v>1.3116278128729343E-5</v>
      </c>
      <c r="AX107" s="21">
        <f t="shared" si="60"/>
        <v>55.744945833064598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6.3550942286383367E-14</v>
      </c>
      <c r="P108" s="13">
        <f t="shared" si="87"/>
        <v>1.0064464192543978E-12</v>
      </c>
      <c r="Q108" s="20">
        <f t="shared" si="107"/>
        <v>1.8635787380168604E-12</v>
      </c>
      <c r="R108" s="59">
        <f t="shared" si="55"/>
        <v>293.33333333333519</v>
      </c>
      <c r="S108" s="59">
        <f ca="1">AVERAGE(OFFSET($R$3,0,0,'Données projet'!$E$9+1,1))-AVERAGE(OFFSET($H$3,0,0,'Données projet'!$E$9+1,1))</f>
        <v>250.1520902752946</v>
      </c>
      <c r="T108" s="59">
        <f t="shared" si="88"/>
        <v>258.01144895030291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96.896903451192728</v>
      </c>
      <c r="AA108" s="21">
        <f>EXP(-LN(2)/25)*AA107+(1-EXP(-LN(2)/25))/(LN(2)/25)*Calculateur!V108*Calculateur!X108*VLOOKUP('Données projet'!$B$9,Paramètres!$A$1:$I$89,3,0)*0.475*44/12</f>
        <v>13.73244263541053</v>
      </c>
      <c r="AB108" s="21">
        <f>EXP(-LN(2)/2)*AB107+(1-EXP(-LN(2)/2))/(LN(2)/2)*V108*Y108*VLOOKUP('Données projet'!$B$9,Paramètres!$A$1:$I$89,3,0)*0.475*44/12</f>
        <v>5.1619690595135607E-6</v>
      </c>
      <c r="AC108" s="22">
        <f t="shared" si="57"/>
        <v>110.62935124857232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141.51368882763865</v>
      </c>
      <c r="AO108" s="59">
        <f t="shared" si="90"/>
        <v>156.34514945935399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37.397658519248594</v>
      </c>
      <c r="AV108" s="21">
        <f>EXP(-LN(2)/25)*AV107+(1-EXP(-LN(2)/25))/(LN(2)/25)*Calculateur!AQ108*Calculateur!AS108*VLOOKUP('Données projet'!$B$10,Paramètres!$A$1:$I$89,3,0)*0.475*44/12</f>
        <v>17.118008125432929</v>
      </c>
      <c r="AW108" s="21">
        <f>EXP(-LN(2)/2)*AW107+(1-EXP(-LN(2)/2))/(LN(2)/2)*AQ108*AT108*VLOOKUP('Données projet'!$B$10,Paramètres!$A$1:$I$89,3,0)*0.475*44/12</f>
        <v>9.2746092087533185E-6</v>
      </c>
      <c r="AX108" s="21">
        <f t="shared" si="60"/>
        <v>54.515675919290736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6.3550942286383367E-14</v>
      </c>
      <c r="P109" s="13">
        <f t="shared" si="87"/>
        <v>1.0064464192543978E-12</v>
      </c>
      <c r="Q109" s="20">
        <f t="shared" si="107"/>
        <v>1.8635787380168604E-12</v>
      </c>
      <c r="R109" s="59">
        <f t="shared" si="55"/>
        <v>293.33333333333519</v>
      </c>
      <c r="S109" s="59">
        <f ca="1">AVERAGE(OFFSET($R$3,0,0,'Données projet'!$E$9+1,1))-AVERAGE(OFFSET($H$3,0,0,'Données projet'!$E$9+1,1))</f>
        <v>250.1520902752946</v>
      </c>
      <c r="T109" s="59">
        <f t="shared" si="88"/>
        <v>258.01144895030291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94.996814275790172</v>
      </c>
      <c r="AA109" s="21">
        <f>EXP(-LN(2)/25)*AA108+(1-EXP(-LN(2)/25))/(LN(2)/25)*Calculateur!V109*Calculateur!X109*VLOOKUP('Données projet'!$B$9,Paramètres!$A$1:$I$89,3,0)*0.475*44/12</f>
        <v>13.356928269387456</v>
      </c>
      <c r="AB109" s="21">
        <f>EXP(-LN(2)/2)*AB108+(1-EXP(-LN(2)/2))/(LN(2)/2)*V109*Y109*VLOOKUP('Données projet'!$B$9,Paramètres!$A$1:$I$89,3,0)*0.475*44/12</f>
        <v>3.6500633262571839E-6</v>
      </c>
      <c r="AC109" s="22">
        <f t="shared" si="57"/>
        <v>108.35374619524094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141.51368882763865</v>
      </c>
      <c r="AO109" s="59">
        <f t="shared" si="90"/>
        <v>156.34514945935399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36.664313246005491</v>
      </c>
      <c r="AV109" s="21">
        <f>EXP(-LN(2)/25)*AV108+(1-EXP(-LN(2)/25))/(LN(2)/25)*Calculateur!AQ109*Calculateur!AS109*VLOOKUP('Données projet'!$B$10,Paramètres!$A$1:$I$89,3,0)*0.475*44/12</f>
        <v>16.649915293046043</v>
      </c>
      <c r="AW109" s="21">
        <f>EXP(-LN(2)/2)*AW108+(1-EXP(-LN(2)/2))/(LN(2)/2)*AQ109*AT109*VLOOKUP('Données projet'!$B$10,Paramètres!$A$1:$I$89,3,0)*0.475*44/12</f>
        <v>6.5581390643646716E-6</v>
      </c>
      <c r="AX109" s="21">
        <f t="shared" si="60"/>
        <v>53.314235097190597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6.3550942286383367E-14</v>
      </c>
      <c r="P110" s="13">
        <f t="shared" si="87"/>
        <v>1.0064464192543978E-12</v>
      </c>
      <c r="Q110" s="20">
        <f t="shared" si="107"/>
        <v>1.8635787380168604E-12</v>
      </c>
      <c r="R110" s="59">
        <f t="shared" si="55"/>
        <v>293.33333333333519</v>
      </c>
      <c r="S110" s="59">
        <f ca="1">AVERAGE(OFFSET($R$3,0,0,'Données projet'!$E$9+1,1))-AVERAGE(OFFSET($H$3,0,0,'Données projet'!$E$9+1,1))</f>
        <v>250.1520902752946</v>
      </c>
      <c r="T110" s="59">
        <f t="shared" si="88"/>
        <v>258.01144895030291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93.1339846901773</v>
      </c>
      <c r="AA110" s="21">
        <f>EXP(-LN(2)/25)*AA109+(1-EXP(-LN(2)/25))/(LN(2)/25)*Calculateur!V110*Calculateur!X110*VLOOKUP('Données projet'!$B$9,Paramètres!$A$1:$I$89,3,0)*0.475*44/12</f>
        <v>12.991682363450726</v>
      </c>
      <c r="AB110" s="21">
        <f>EXP(-LN(2)/2)*AB109+(1-EXP(-LN(2)/2))/(LN(2)/2)*V110*Y110*VLOOKUP('Données projet'!$B$9,Paramètres!$A$1:$I$89,3,0)*0.475*44/12</f>
        <v>2.5809845297567804E-6</v>
      </c>
      <c r="AC110" s="22">
        <f t="shared" si="57"/>
        <v>106.12566963461255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141.51368882763865</v>
      </c>
      <c r="AO110" s="59">
        <f t="shared" si="90"/>
        <v>156.34514945935399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35.945348426274236</v>
      </c>
      <c r="AV110" s="21">
        <f>EXP(-LN(2)/25)*AV109+(1-EXP(-LN(2)/25))/(LN(2)/25)*Calculateur!AQ110*Calculateur!AS110*VLOOKUP('Données projet'!$B$10,Paramètres!$A$1:$I$89,3,0)*0.475*44/12</f>
        <v>16.194622483776708</v>
      </c>
      <c r="AW110" s="21">
        <f>EXP(-LN(2)/2)*AW109+(1-EXP(-LN(2)/2))/(LN(2)/2)*AQ110*AT110*VLOOKUP('Données projet'!$B$10,Paramètres!$A$1:$I$89,3,0)*0.475*44/12</f>
        <v>4.6373046043766593E-6</v>
      </c>
      <c r="AX110" s="21">
        <f t="shared" si="60"/>
        <v>52.139975547355554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6.3550942286383367E-14</v>
      </c>
      <c r="P111" s="13">
        <f t="shared" si="87"/>
        <v>1.0064464192543978E-12</v>
      </c>
      <c r="Q111" s="20">
        <f t="shared" si="107"/>
        <v>1.8635787380168604E-12</v>
      </c>
      <c r="R111" s="59">
        <f t="shared" si="55"/>
        <v>293.33333333333519</v>
      </c>
      <c r="S111" s="59">
        <f ca="1">AVERAGE(OFFSET($R$3,0,0,'Données projet'!$E$9+1,1))-AVERAGE(OFFSET($H$3,0,0,'Données projet'!$E$9+1,1))</f>
        <v>250.1520902752946</v>
      </c>
      <c r="T111" s="59">
        <f t="shared" si="88"/>
        <v>258.01144895030291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91.307684056524451</v>
      </c>
      <c r="AA111" s="21">
        <f>EXP(-LN(2)/25)*AA110+(1-EXP(-LN(2)/25))/(LN(2)/25)*Calculateur!V111*Calculateur!X111*VLOOKUP('Données projet'!$B$9,Paramètres!$A$1:$I$89,3,0)*0.475*44/12</f>
        <v>12.636424126019284</v>
      </c>
      <c r="AB111" s="21">
        <f>EXP(-LN(2)/2)*AB110+(1-EXP(-LN(2)/2))/(LN(2)/2)*V111*Y111*VLOOKUP('Données projet'!$B$9,Paramètres!$A$1:$I$89,3,0)*0.475*44/12</f>
        <v>1.825031663128592E-6</v>
      </c>
      <c r="AC111" s="22">
        <f t="shared" si="57"/>
        <v>103.94411000757539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141.51368882763865</v>
      </c>
      <c r="AO111" s="59">
        <f t="shared" si="90"/>
        <v>156.34514945935399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35.240482068132671</v>
      </c>
      <c r="AV111" s="21">
        <f>EXP(-LN(2)/25)*AV110+(1-EXP(-LN(2)/25))/(LN(2)/25)*Calculateur!AQ111*Calculateur!AS111*VLOOKUP('Données projet'!$B$10,Paramètres!$A$1:$I$89,3,0)*0.475*44/12</f>
        <v>15.75177968031965</v>
      </c>
      <c r="AW111" s="21">
        <f>EXP(-LN(2)/2)*AW110+(1-EXP(-LN(2)/2))/(LN(2)/2)*AQ111*AT111*VLOOKUP('Données projet'!$B$10,Paramètres!$A$1:$I$89,3,0)*0.475*44/12</f>
        <v>3.2790695321823358E-6</v>
      </c>
      <c r="AX111" s="21">
        <f t="shared" si="60"/>
        <v>50.992265027521853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6.3550942286383367E-14</v>
      </c>
      <c r="P112" s="13">
        <f t="shared" si="87"/>
        <v>1.0064464192543978E-12</v>
      </c>
      <c r="Q112" s="20">
        <f t="shared" si="107"/>
        <v>1.8635787380168604E-12</v>
      </c>
      <c r="R112" s="59">
        <f t="shared" si="55"/>
        <v>293.33333333333519</v>
      </c>
      <c r="S112" s="59">
        <f ca="1">AVERAGE(OFFSET($R$3,0,0,'Données projet'!$E$9+1,1))-AVERAGE(OFFSET($H$3,0,0,'Données projet'!$E$9+1,1))</f>
        <v>250.1520902752946</v>
      </c>
      <c r="T112" s="59">
        <f t="shared" si="88"/>
        <v>258.01144895030291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89.517196064364128</v>
      </c>
      <c r="AA112" s="21">
        <f>EXP(-LN(2)/25)*AA111+(1-EXP(-LN(2)/25))/(LN(2)/25)*Calculateur!V112*Calculateur!X112*VLOOKUP('Données projet'!$B$9,Paramètres!$A$1:$I$89,3,0)*0.475*44/12</f>
        <v>12.290880443772622</v>
      </c>
      <c r="AB112" s="21">
        <f>EXP(-LN(2)/2)*AB111+(1-EXP(-LN(2)/2))/(LN(2)/2)*V112*Y112*VLOOKUP('Données projet'!$B$9,Paramètres!$A$1:$I$89,3,0)*0.475*44/12</f>
        <v>1.2904922648783902E-6</v>
      </c>
      <c r="AC112" s="22">
        <f t="shared" si="57"/>
        <v>101.80807779862901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141.51368882763865</v>
      </c>
      <c r="AO112" s="59">
        <f t="shared" si="90"/>
        <v>156.34514945935399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34.54943770934824</v>
      </c>
      <c r="AV112" s="21">
        <f>EXP(-LN(2)/25)*AV111+(1-EXP(-LN(2)/25))/(LN(2)/25)*Calculateur!AQ112*Calculateur!AS112*VLOOKUP('Données projet'!$B$10,Paramètres!$A$1:$I$89,3,0)*0.475*44/12</f>
        <v>15.321046436611217</v>
      </c>
      <c r="AW112" s="21">
        <f>EXP(-LN(2)/2)*AW111+(1-EXP(-LN(2)/2))/(LN(2)/2)*AQ112*AT112*VLOOKUP('Données projet'!$B$10,Paramètres!$A$1:$I$89,3,0)*0.475*44/12</f>
        <v>2.3186523021883296E-6</v>
      </c>
      <c r="AX112" s="21">
        <f t="shared" si="60"/>
        <v>49.870486464611758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6.3550942286383367E-14</v>
      </c>
      <c r="P113" s="13">
        <f t="shared" si="87"/>
        <v>1.0064464192543978E-12</v>
      </c>
      <c r="Q113" s="20">
        <f t="shared" si="107"/>
        <v>1.8635787380168604E-12</v>
      </c>
      <c r="R113" s="59">
        <f t="shared" si="55"/>
        <v>293.33333333333519</v>
      </c>
      <c r="S113" s="59">
        <f ca="1">AVERAGE(OFFSET($R$3,0,0,'Données projet'!$E$9+1,1))-AVERAGE(OFFSET($H$3,0,0,'Données projet'!$E$9+1,1))</f>
        <v>250.1520902752946</v>
      </c>
      <c r="T113" s="59">
        <f t="shared" si="88"/>
        <v>258.01144895030291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87.761818449640231</v>
      </c>
      <c r="AA113" s="21">
        <f>EXP(-LN(2)/25)*AA112+(1-EXP(-LN(2)/25))/(LN(2)/25)*Calculateur!V113*Calculateur!X113*VLOOKUP('Données projet'!$B$9,Paramètres!$A$1:$I$89,3,0)*0.475*44/12</f>
        <v>11.954785671688349</v>
      </c>
      <c r="AB113" s="21">
        <f>EXP(-LN(2)/2)*AB112+(1-EXP(-LN(2)/2))/(LN(2)/2)*V113*Y113*VLOOKUP('Données projet'!$B$9,Paramètres!$A$1:$I$89,3,0)*0.475*44/12</f>
        <v>9.1251583156429598E-7</v>
      </c>
      <c r="AC113" s="22">
        <f t="shared" si="57"/>
        <v>99.716605033844402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141.51368882763865</v>
      </c>
      <c r="AO113" s="59">
        <f t="shared" si="90"/>
        <v>156.34514945935399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33.87194430894413</v>
      </c>
      <c r="AV113" s="21">
        <f>EXP(-LN(2)/25)*AV112+(1-EXP(-LN(2)/25))/(LN(2)/25)*Calculateur!AQ113*Calculateur!AS113*VLOOKUP('Données projet'!$B$10,Paramètres!$A$1:$I$89,3,0)*0.475*44/12</f>
        <v>14.902091616103268</v>
      </c>
      <c r="AW113" s="21">
        <f>EXP(-LN(2)/2)*AW112+(1-EXP(-LN(2)/2))/(LN(2)/2)*AQ113*AT113*VLOOKUP('Données projet'!$B$10,Paramètres!$A$1:$I$89,3,0)*0.475*44/12</f>
        <v>1.6395347660911679E-6</v>
      </c>
      <c r="AX113" s="21">
        <f t="shared" si="60"/>
        <v>48.774037564582166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6.3550942286383367E-14</v>
      </c>
      <c r="P114" s="13">
        <f t="shared" si="87"/>
        <v>1.0064464192543978E-12</v>
      </c>
      <c r="Q114" s="20">
        <f t="shared" si="107"/>
        <v>1.8635787380168604E-12</v>
      </c>
      <c r="R114" s="59">
        <f t="shared" si="55"/>
        <v>293.33333333333519</v>
      </c>
      <c r="S114" s="59">
        <f ca="1">AVERAGE(OFFSET($R$3,0,0,'Données projet'!$E$9+1,1))-AVERAGE(OFFSET($H$3,0,0,'Données projet'!$E$9+1,1))</f>
        <v>250.1520902752946</v>
      </c>
      <c r="T114" s="59">
        <f t="shared" si="88"/>
        <v>258.01144895030291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86.040862719266443</v>
      </c>
      <c r="AA114" s="21">
        <f>EXP(-LN(2)/25)*AA113+(1-EXP(-LN(2)/25))/(LN(2)/25)*Calculateur!V114*Calculateur!X114*VLOOKUP('Données projet'!$B$9,Paramètres!$A$1:$I$89,3,0)*0.475*44/12</f>
        <v>11.627881428821176</v>
      </c>
      <c r="AB114" s="21">
        <f>EXP(-LN(2)/2)*AB113+(1-EXP(-LN(2)/2))/(LN(2)/2)*V114*Y114*VLOOKUP('Données projet'!$B$9,Paramètres!$A$1:$I$89,3,0)*0.475*44/12</f>
        <v>6.4524613243919509E-7</v>
      </c>
      <c r="AC114" s="22">
        <f t="shared" si="57"/>
        <v>97.668744793333758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141.51368882763865</v>
      </c>
      <c r="AO114" s="59">
        <f t="shared" si="90"/>
        <v>156.34514945935399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33.207736140891775</v>
      </c>
      <c r="AV114" s="21">
        <f>EXP(-LN(2)/25)*AV113+(1-EXP(-LN(2)/25))/(LN(2)/25)*Calculateur!AQ114*Calculateur!AS114*VLOOKUP('Données projet'!$B$10,Paramètres!$A$1:$I$89,3,0)*0.475*44/12</f>
        <v>14.494593137193986</v>
      </c>
      <c r="AW114" s="21">
        <f>EXP(-LN(2)/2)*AW113+(1-EXP(-LN(2)/2))/(LN(2)/2)*AQ114*AT114*VLOOKUP('Données projet'!$B$10,Paramètres!$A$1:$I$89,3,0)*0.475*44/12</f>
        <v>1.1593261510941648E-6</v>
      </c>
      <c r="AX114" s="21">
        <f t="shared" si="60"/>
        <v>47.702330437411916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6.3550942286383367E-14</v>
      </c>
      <c r="P115" s="13">
        <f t="shared" si="87"/>
        <v>1.0064464192543978E-12</v>
      </c>
      <c r="Q115" s="20">
        <f t="shared" si="107"/>
        <v>1.8635787380168604E-12</v>
      </c>
      <c r="R115" s="59">
        <f t="shared" si="55"/>
        <v>293.33333333333519</v>
      </c>
      <c r="S115" s="59">
        <f ca="1">AVERAGE(OFFSET($R$3,0,0,'Données projet'!$E$9+1,1))-AVERAGE(OFFSET($H$3,0,0,'Données projet'!$E$9+1,1))</f>
        <v>250.1520902752946</v>
      </c>
      <c r="T115" s="59">
        <f t="shared" si="88"/>
        <v>258.01144895030291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84.353653881085947</v>
      </c>
      <c r="AA115" s="21">
        <f>EXP(-LN(2)/25)*AA114+(1-EXP(-LN(2)/25))/(LN(2)/25)*Calculateur!V115*Calculateur!X115*VLOOKUP('Données projet'!$B$9,Paramètres!$A$1:$I$89,3,0)*0.475*44/12</f>
        <v>11.309916399666353</v>
      </c>
      <c r="AB115" s="21">
        <f>EXP(-LN(2)/2)*AB114+(1-EXP(-LN(2)/2))/(LN(2)/2)*V115*Y115*VLOOKUP('Données projet'!$B$9,Paramètres!$A$1:$I$89,3,0)*0.475*44/12</f>
        <v>4.5625791578214799E-7</v>
      </c>
      <c r="AC115" s="22">
        <f t="shared" si="57"/>
        <v>95.663570737010218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141.51368882763865</v>
      </c>
      <c r="AO115" s="59">
        <f t="shared" si="90"/>
        <v>156.34514945935399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32.556552689887944</v>
      </c>
      <c r="AV115" s="21">
        <f>EXP(-LN(2)/25)*AV114+(1-EXP(-LN(2)/25))/(LN(2)/25)*Calculateur!AQ115*Calculateur!AS115*VLOOKUP('Données projet'!$B$10,Paramètres!$A$1:$I$89,3,0)*0.475*44/12</f>
        <v>14.098237725619891</v>
      </c>
      <c r="AW115" s="21">
        <f>EXP(-LN(2)/2)*AW114+(1-EXP(-LN(2)/2))/(LN(2)/2)*AQ115*AT115*VLOOKUP('Données projet'!$B$10,Paramètres!$A$1:$I$89,3,0)*0.475*44/12</f>
        <v>8.1976738304558395E-7</v>
      </c>
      <c r="AX115" s="21">
        <f t="shared" si="60"/>
        <v>46.654791235275219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6.3550942286383367E-14</v>
      </c>
      <c r="P116" s="13">
        <f t="shared" si="87"/>
        <v>1.0064464192543978E-12</v>
      </c>
      <c r="Q116" s="20">
        <f t="shared" si="107"/>
        <v>1.8635787380168604E-12</v>
      </c>
      <c r="R116" s="59">
        <f t="shared" si="55"/>
        <v>293.33333333333519</v>
      </c>
      <c r="S116" s="59">
        <f ca="1">AVERAGE(OFFSET($R$3,0,0,'Données projet'!$E$9+1,1))-AVERAGE(OFFSET($H$3,0,0,'Données projet'!$E$9+1,1))</f>
        <v>250.1520902752946</v>
      </c>
      <c r="T116" s="59">
        <f t="shared" si="88"/>
        <v>258.01144895030291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82.699530179126384</v>
      </c>
      <c r="AA116" s="21">
        <f>EXP(-LN(2)/25)*AA115+(1-EXP(-LN(2)/25))/(LN(2)/25)*Calculateur!V116*Calculateur!X116*VLOOKUP('Données projet'!$B$9,Paramètres!$A$1:$I$89,3,0)*0.475*44/12</f>
        <v>11.000646140954823</v>
      </c>
      <c r="AB116" s="21">
        <f>EXP(-LN(2)/2)*AB115+(1-EXP(-LN(2)/2))/(LN(2)/2)*V116*Y116*VLOOKUP('Données projet'!$B$9,Paramètres!$A$1:$I$89,3,0)*0.475*44/12</f>
        <v>3.2262306621959754E-7</v>
      </c>
      <c r="AC116" s="22">
        <f t="shared" si="57"/>
        <v>93.700176642704278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141.51368882763865</v>
      </c>
      <c r="AO116" s="59">
        <f t="shared" si="90"/>
        <v>156.34514945935399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31.918138549175612</v>
      </c>
      <c r="AV116" s="21">
        <f>EXP(-LN(2)/25)*AV115+(1-EXP(-LN(2)/25))/(LN(2)/25)*Calculateur!AQ116*Calculateur!AS116*VLOOKUP('Données projet'!$B$10,Paramètres!$A$1:$I$89,3,0)*0.475*44/12</f>
        <v>13.712720673618714</v>
      </c>
      <c r="AW116" s="21">
        <f>EXP(-LN(2)/2)*AW115+(1-EXP(-LN(2)/2))/(LN(2)/2)*AQ116*AT116*VLOOKUP('Données projet'!$B$10,Paramètres!$A$1:$I$89,3,0)*0.475*44/12</f>
        <v>5.7966307554708241E-7</v>
      </c>
      <c r="AX116" s="21">
        <f t="shared" si="60"/>
        <v>45.630859802457401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6.3550942286383367E-14</v>
      </c>
      <c r="P117" s="13">
        <f t="shared" si="87"/>
        <v>1.0064464192543978E-12</v>
      </c>
      <c r="Q117" s="20">
        <f t="shared" si="107"/>
        <v>1.8635787380168604E-12</v>
      </c>
      <c r="R117" s="59">
        <f t="shared" si="55"/>
        <v>293.33333333333519</v>
      </c>
      <c r="S117" s="59">
        <f ca="1">AVERAGE(OFFSET($R$3,0,0,'Données projet'!$E$9+1,1))-AVERAGE(OFFSET($H$3,0,0,'Données projet'!$E$9+1,1))</f>
        <v>250.1520902752946</v>
      </c>
      <c r="T117" s="59">
        <f t="shared" si="88"/>
        <v>258.01144895030291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81.077842834046422</v>
      </c>
      <c r="AA117" s="21">
        <f>EXP(-LN(2)/25)*AA116+(1-EXP(-LN(2)/25))/(LN(2)/25)*Calculateur!V117*Calculateur!X117*VLOOKUP('Données projet'!$B$9,Paramètres!$A$1:$I$89,3,0)*0.475*44/12</f>
        <v>10.699832893731575</v>
      </c>
      <c r="AB117" s="21">
        <f>EXP(-LN(2)/2)*AB116+(1-EXP(-LN(2)/2))/(LN(2)/2)*V117*Y117*VLOOKUP('Données projet'!$B$9,Paramètres!$A$1:$I$89,3,0)*0.475*44/12</f>
        <v>2.28128957891074E-7</v>
      </c>
      <c r="AC117" s="22">
        <f t="shared" si="57"/>
        <v>91.777675955906943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141.51368882763865</v>
      </c>
      <c r="AO117" s="59">
        <f t="shared" si="90"/>
        <v>156.34514945935399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31.292243320368474</v>
      </c>
      <c r="AV117" s="21">
        <f>EXP(-LN(2)/25)*AV116+(1-EXP(-LN(2)/25))/(LN(2)/25)*Calculateur!AQ117*Calculateur!AS117*VLOOKUP('Données projet'!$B$10,Paramètres!$A$1:$I$89,3,0)*0.475*44/12</f>
        <v>13.33774560567797</v>
      </c>
      <c r="AW117" s="21">
        <f>EXP(-LN(2)/2)*AW116+(1-EXP(-LN(2)/2))/(LN(2)/2)*AQ117*AT117*VLOOKUP('Données projet'!$B$10,Paramètres!$A$1:$I$89,3,0)*0.475*44/12</f>
        <v>4.0988369152279197E-7</v>
      </c>
      <c r="AX117" s="21">
        <f t="shared" si="60"/>
        <v>44.629989335930134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6.3550942286383367E-14</v>
      </c>
      <c r="P118" s="13">
        <f t="shared" si="87"/>
        <v>1.0064464192543978E-12</v>
      </c>
      <c r="Q118" s="20">
        <f t="shared" si="107"/>
        <v>1.8635787380168604E-12</v>
      </c>
      <c r="R118" s="59">
        <f t="shared" si="55"/>
        <v>293.33333333333519</v>
      </c>
      <c r="S118" s="59">
        <f ca="1">AVERAGE(OFFSET($R$3,0,0,'Données projet'!$E$9+1,1))-AVERAGE(OFFSET($H$3,0,0,'Données projet'!$E$9+1,1))</f>
        <v>250.1520902752946</v>
      </c>
      <c r="T118" s="59">
        <f t="shared" si="88"/>
        <v>258.01144895030291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79.487955788671854</v>
      </c>
      <c r="AA118" s="21">
        <f>EXP(-LN(2)/25)*AA117+(1-EXP(-LN(2)/25))/(LN(2)/25)*Calculateur!V118*Calculateur!X118*VLOOKUP('Données projet'!$B$9,Paramètres!$A$1:$I$89,3,0)*0.475*44/12</f>
        <v>10.407245400572728</v>
      </c>
      <c r="AB118" s="21">
        <f>EXP(-LN(2)/2)*AB117+(1-EXP(-LN(2)/2))/(LN(2)/2)*V118*Y118*VLOOKUP('Données projet'!$B$9,Paramètres!$A$1:$I$89,3,0)*0.475*44/12</f>
        <v>1.6131153310979877E-7</v>
      </c>
      <c r="AC118" s="22">
        <f t="shared" si="57"/>
        <v>89.895201350556121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141.51368882763865</v>
      </c>
      <c r="AO118" s="59">
        <f t="shared" si="90"/>
        <v>156.34514945935399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30.67862151523985</v>
      </c>
      <c r="AV118" s="21">
        <f>EXP(-LN(2)/25)*AV117+(1-EXP(-LN(2)/25))/(LN(2)/25)*Calculateur!AQ118*Calculateur!AS118*VLOOKUP('Données projet'!$B$10,Paramètres!$A$1:$I$89,3,0)*0.475*44/12</f>
        <v>12.973024250689148</v>
      </c>
      <c r="AW118" s="21">
        <f>EXP(-LN(2)/2)*AW117+(1-EXP(-LN(2)/2))/(LN(2)/2)*AQ118*AT118*VLOOKUP('Données projet'!$B$10,Paramètres!$A$1:$I$89,3,0)*0.475*44/12</f>
        <v>2.898315377735412E-7</v>
      </c>
      <c r="AX118" s="21">
        <f t="shared" si="60"/>
        <v>43.651646055760537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6.3550942286383367E-14</v>
      </c>
      <c r="P119" s="13">
        <f t="shared" si="87"/>
        <v>1.0064464192543978E-12</v>
      </c>
      <c r="Q119" s="20">
        <f t="shared" si="107"/>
        <v>1.8635787380168604E-12</v>
      </c>
      <c r="R119" s="59">
        <f t="shared" si="55"/>
        <v>293.33333333333519</v>
      </c>
      <c r="S119" s="59">
        <f ca="1">AVERAGE(OFFSET($R$3,0,0,'Données projet'!$E$9+1,1))-AVERAGE(OFFSET($H$3,0,0,'Données projet'!$E$9+1,1))</f>
        <v>250.1520902752946</v>
      </c>
      <c r="T119" s="59">
        <f t="shared" si="88"/>
        <v>258.01144895030291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77.929245458521748</v>
      </c>
      <c r="AA119" s="21">
        <f>EXP(-LN(2)/25)*AA118+(1-EXP(-LN(2)/25))/(LN(2)/25)*Calculateur!V119*Calculateur!X119*VLOOKUP('Données projet'!$B$9,Paramètres!$A$1:$I$89,3,0)*0.475*44/12</f>
        <v>10.122658727800818</v>
      </c>
      <c r="AB119" s="21">
        <f>EXP(-LN(2)/2)*AB118+(1-EXP(-LN(2)/2))/(LN(2)/2)*V119*Y119*VLOOKUP('Données projet'!$B$9,Paramètres!$A$1:$I$89,3,0)*0.475*44/12</f>
        <v>1.14064478945537E-7</v>
      </c>
      <c r="AC119" s="22">
        <f t="shared" si="57"/>
        <v>88.051904300387037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141.51368882763865</v>
      </c>
      <c r="AO119" s="59">
        <f t="shared" si="90"/>
        <v>156.34514945935399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30.077032459437454</v>
      </c>
      <c r="AV119" s="21">
        <f>EXP(-LN(2)/25)*AV118+(1-EXP(-LN(2)/25))/(LN(2)/25)*Calculateur!AQ119*Calculateur!AS119*VLOOKUP('Données projet'!$B$10,Paramètres!$A$1:$I$89,3,0)*0.475*44/12</f>
        <v>12.618276220332358</v>
      </c>
      <c r="AW119" s="21">
        <f>EXP(-LN(2)/2)*AW118+(1-EXP(-LN(2)/2))/(LN(2)/2)*AQ119*AT119*VLOOKUP('Données projet'!$B$10,Paramètres!$A$1:$I$89,3,0)*0.475*44/12</f>
        <v>2.0494184576139599E-7</v>
      </c>
      <c r="AX119" s="21">
        <f t="shared" si="60"/>
        <v>42.695308884711658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6.3550942286383367E-14</v>
      </c>
      <c r="P120" s="13">
        <f t="shared" si="87"/>
        <v>1.0064464192543978E-12</v>
      </c>
      <c r="Q120" s="20">
        <f t="shared" si="107"/>
        <v>1.8635787380168604E-12</v>
      </c>
      <c r="R120" s="59">
        <f t="shared" si="55"/>
        <v>293.33333333333519</v>
      </c>
      <c r="S120" s="59">
        <f ca="1">AVERAGE(OFFSET($R$3,0,0,'Données projet'!$E$9+1,1))-AVERAGE(OFFSET($H$3,0,0,'Données projet'!$E$9+1,1))</f>
        <v>250.1520902752946</v>
      </c>
      <c r="T120" s="59">
        <f t="shared" si="88"/>
        <v>258.01144895030291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76.401100487226458</v>
      </c>
      <c r="AA120" s="21">
        <f>EXP(-LN(2)/25)*AA119+(1-EXP(-LN(2)/25))/(LN(2)/25)*Calculateur!V120*Calculateur!X120*VLOOKUP('Données projet'!$B$9,Paramètres!$A$1:$I$89,3,0)*0.475*44/12</f>
        <v>9.845854092561618</v>
      </c>
      <c r="AB120" s="21">
        <f>EXP(-LN(2)/2)*AB119+(1-EXP(-LN(2)/2))/(LN(2)/2)*V120*Y120*VLOOKUP('Données projet'!$B$9,Paramètres!$A$1:$I$89,3,0)*0.475*44/12</f>
        <v>8.0655766554899386E-8</v>
      </c>
      <c r="AC120" s="22">
        <f t="shared" si="57"/>
        <v>86.246954660443848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141.51368882763865</v>
      </c>
      <c r="AO120" s="59">
        <f t="shared" si="90"/>
        <v>156.34514945935399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29.487240198086251</v>
      </c>
      <c r="AV120" s="21">
        <f>EXP(-LN(2)/25)*AV119+(1-EXP(-LN(2)/25))/(LN(2)/25)*Calculateur!AQ120*Calculateur!AS120*VLOOKUP('Données projet'!$B$10,Paramètres!$A$1:$I$89,3,0)*0.475*44/12</f>
        <v>12.273228793521064</v>
      </c>
      <c r="AW120" s="21">
        <f>EXP(-LN(2)/2)*AW119+(1-EXP(-LN(2)/2))/(LN(2)/2)*AQ120*AT120*VLOOKUP('Données projet'!$B$10,Paramètres!$A$1:$I$89,3,0)*0.475*44/12</f>
        <v>1.449157688867706E-7</v>
      </c>
      <c r="AX120" s="21">
        <f t="shared" si="60"/>
        <v>41.760469136523078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6.3550942286383367E-14</v>
      </c>
      <c r="P121" s="13">
        <f t="shared" si="87"/>
        <v>1.0064464192543978E-12</v>
      </c>
      <c r="Q121" s="20">
        <f t="shared" si="107"/>
        <v>1.8635787380168604E-12</v>
      </c>
      <c r="R121" s="59">
        <f t="shared" si="55"/>
        <v>293.33333333333519</v>
      </c>
      <c r="S121" s="59">
        <f ca="1">AVERAGE(OFFSET($R$3,0,0,'Données projet'!$E$9+1,1))-AVERAGE(OFFSET($H$3,0,0,'Données projet'!$E$9+1,1))</f>
        <v>250.1520902752946</v>
      </c>
      <c r="T121" s="59">
        <f t="shared" si="88"/>
        <v>258.01144895030291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74.902921506741876</v>
      </c>
      <c r="AA121" s="21">
        <f>EXP(-LN(2)/25)*AA120+(1-EXP(-LN(2)/25))/(LN(2)/25)*Calculateur!V121*Calculateur!X121*VLOOKUP('Données projet'!$B$9,Paramètres!$A$1:$I$89,3,0)*0.475*44/12</f>
        <v>9.5766186946295573</v>
      </c>
      <c r="AB121" s="21">
        <f>EXP(-LN(2)/2)*AB120+(1-EXP(-LN(2)/2))/(LN(2)/2)*V121*Y121*VLOOKUP('Données projet'!$B$9,Paramètres!$A$1:$I$89,3,0)*0.475*44/12</f>
        <v>5.7032239472768499E-8</v>
      </c>
      <c r="AC121" s="22">
        <f t="shared" si="57"/>
        <v>84.479540258403674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141.51368882763865</v>
      </c>
      <c r="AO121" s="59">
        <f t="shared" si="90"/>
        <v>156.34514945935399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28.909013403242387</v>
      </c>
      <c r="AV121" s="21">
        <f>EXP(-LN(2)/25)*AV120+(1-EXP(-LN(2)/25))/(LN(2)/25)*Calculateur!AQ121*Calculateur!AS121*VLOOKUP('Données projet'!$B$10,Paramètres!$A$1:$I$89,3,0)*0.475*44/12</f>
        <v>11.937616706741178</v>
      </c>
      <c r="AW121" s="21">
        <f>EXP(-LN(2)/2)*AW120+(1-EXP(-LN(2)/2))/(LN(2)/2)*AQ121*AT121*VLOOKUP('Données projet'!$B$10,Paramètres!$A$1:$I$89,3,0)*0.475*44/12</f>
        <v>1.0247092288069799E-7</v>
      </c>
      <c r="AX121" s="21">
        <f t="shared" si="60"/>
        <v>40.846630212454485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6.3550942286383367E-14</v>
      </c>
      <c r="P122" s="13">
        <f t="shared" si="87"/>
        <v>1.0064464192543978E-12</v>
      </c>
      <c r="Q122" s="20">
        <f t="shared" si="107"/>
        <v>1.8635787380168604E-12</v>
      </c>
      <c r="R122" s="59">
        <f t="shared" si="55"/>
        <v>293.33333333333519</v>
      </c>
      <c r="S122" s="59">
        <f ca="1">AVERAGE(OFFSET($R$3,0,0,'Données projet'!$E$9+1,1))-AVERAGE(OFFSET($H$3,0,0,'Données projet'!$E$9+1,1))</f>
        <v>250.1520902752946</v>
      </c>
      <c r="T122" s="59">
        <f t="shared" si="88"/>
        <v>258.01144895030291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73.434120902265647</v>
      </c>
      <c r="AA122" s="21">
        <f>EXP(-LN(2)/25)*AA121+(1-EXP(-LN(2)/25))/(LN(2)/25)*Calculateur!V122*Calculateur!X122*VLOOKUP('Données projet'!$B$9,Paramètres!$A$1:$I$89,3,0)*0.475*44/12</f>
        <v>9.3147455528124219</v>
      </c>
      <c r="AB122" s="21">
        <f>EXP(-LN(2)/2)*AB121+(1-EXP(-LN(2)/2))/(LN(2)/2)*V122*Y122*VLOOKUP('Données projet'!$B$9,Paramètres!$A$1:$I$89,3,0)*0.475*44/12</f>
        <v>4.0327883277449693E-8</v>
      </c>
      <c r="AC122" s="22">
        <f t="shared" si="57"/>
        <v>82.748866495405963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141.51368882763865</v>
      </c>
      <c r="AO122" s="59">
        <f t="shared" si="90"/>
        <v>156.34514945935399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28.342125283161888</v>
      </c>
      <c r="AV122" s="21">
        <f>EXP(-LN(2)/25)*AV121+(1-EXP(-LN(2)/25))/(LN(2)/25)*Calculateur!AQ122*Calculateur!AS122*VLOOKUP('Données projet'!$B$10,Paramètres!$A$1:$I$89,3,0)*0.475*44/12</f>
        <v>11.611181950123362</v>
      </c>
      <c r="AW122" s="21">
        <f>EXP(-LN(2)/2)*AW121+(1-EXP(-LN(2)/2))/(LN(2)/2)*AQ122*AT122*VLOOKUP('Données projet'!$B$10,Paramètres!$A$1:$I$89,3,0)*0.475*44/12</f>
        <v>7.2457884443385301E-8</v>
      </c>
      <c r="AX122" s="21">
        <f t="shared" si="60"/>
        <v>39.953307305743138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6.3550942286383367E-14</v>
      </c>
      <c r="P123" s="13">
        <f t="shared" si="87"/>
        <v>1.0064464192543978E-12</v>
      </c>
      <c r="Q123" s="20">
        <f t="shared" si="107"/>
        <v>1.8635787380168604E-12</v>
      </c>
      <c r="R123" s="59">
        <f t="shared" si="55"/>
        <v>293.33333333333519</v>
      </c>
      <c r="S123" s="59">
        <f ca="1">AVERAGE(OFFSET($R$3,0,0,'Données projet'!$E$9+1,1))-AVERAGE(OFFSET($H$3,0,0,'Données projet'!$E$9+1,1))</f>
        <v>250.1520902752946</v>
      </c>
      <c r="T123" s="59">
        <f t="shared" si="88"/>
        <v>258.01144895030291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71.994122581763278</v>
      </c>
      <c r="AA123" s="21">
        <f>EXP(-LN(2)/25)*AA122+(1-EXP(-LN(2)/25))/(LN(2)/25)*Calculateur!V123*Calculateur!X123*VLOOKUP('Données projet'!$B$9,Paramètres!$A$1:$I$89,3,0)*0.475*44/12</f>
        <v>9.0600333458295861</v>
      </c>
      <c r="AB123" s="21">
        <f>EXP(-LN(2)/2)*AB122+(1-EXP(-LN(2)/2))/(LN(2)/2)*V123*Y123*VLOOKUP('Données projet'!$B$9,Paramètres!$A$1:$I$89,3,0)*0.475*44/12</f>
        <v>2.8516119736384249E-8</v>
      </c>
      <c r="AC123" s="22">
        <f t="shared" si="57"/>
        <v>81.054155956108985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141.51368882763865</v>
      </c>
      <c r="AO123" s="59">
        <f t="shared" si="90"/>
        <v>156.34514945935399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27.786353493348557</v>
      </c>
      <c r="AV123" s="21">
        <f>EXP(-LN(2)/25)*AV122+(1-EXP(-LN(2)/25))/(LN(2)/25)*Calculateur!AQ123*Calculateur!AS123*VLOOKUP('Données projet'!$B$10,Paramètres!$A$1:$I$89,3,0)*0.475*44/12</f>
        <v>11.293673569091718</v>
      </c>
      <c r="AW123" s="21">
        <f>EXP(-LN(2)/2)*AW122+(1-EXP(-LN(2)/2))/(LN(2)/2)*AQ123*AT123*VLOOKUP('Données projet'!$B$10,Paramètres!$A$1:$I$89,3,0)*0.475*44/12</f>
        <v>5.1235461440348997E-8</v>
      </c>
      <c r="AX123" s="21">
        <f t="shared" si="60"/>
        <v>39.080027113675733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6.3550942286383367E-14</v>
      </c>
      <c r="P124" s="13">
        <f t="shared" si="87"/>
        <v>1.0064464192543978E-12</v>
      </c>
      <c r="Q124" s="20">
        <f t="shared" si="107"/>
        <v>1.8635787380168604E-12</v>
      </c>
      <c r="R124" s="59">
        <f t="shared" si="55"/>
        <v>293.33333333333519</v>
      </c>
      <c r="S124" s="59">
        <f ca="1">AVERAGE(OFFSET($R$3,0,0,'Données projet'!$E$9+1,1))-AVERAGE(OFFSET($H$3,0,0,'Données projet'!$E$9+1,1))</f>
        <v>250.1520902752946</v>
      </c>
      <c r="T124" s="59">
        <f t="shared" si="88"/>
        <v>258.01144895030291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70.582361750013717</v>
      </c>
      <c r="AA124" s="21">
        <f>EXP(-LN(2)/25)*AA123+(1-EXP(-LN(2)/25))/(LN(2)/25)*Calculateur!V124*Calculateur!X124*VLOOKUP('Données projet'!$B$9,Paramètres!$A$1:$I$89,3,0)*0.475*44/12</f>
        <v>8.8122862575414302</v>
      </c>
      <c r="AB124" s="21">
        <f>EXP(-LN(2)/2)*AB123+(1-EXP(-LN(2)/2))/(LN(2)/2)*V124*Y124*VLOOKUP('Données projet'!$B$9,Paramètres!$A$1:$I$89,3,0)*0.475*44/12</f>
        <v>2.0163941638724847E-8</v>
      </c>
      <c r="AC124" s="22">
        <f t="shared" si="57"/>
        <v>79.394648027719086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141.51368882763865</v>
      </c>
      <c r="AO124" s="59">
        <f t="shared" si="90"/>
        <v>156.34514945935399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27.241480049346148</v>
      </c>
      <c r="AV124" s="21">
        <f>EXP(-LN(2)/25)*AV123+(1-EXP(-LN(2)/25))/(LN(2)/25)*Calculateur!AQ124*Calculateur!AS124*VLOOKUP('Données projet'!$B$10,Paramètres!$A$1:$I$89,3,0)*0.475*44/12</f>
        <v>10.984847471436424</v>
      </c>
      <c r="AW124" s="21">
        <f>EXP(-LN(2)/2)*AW123+(1-EXP(-LN(2)/2))/(LN(2)/2)*AQ124*AT124*VLOOKUP('Données projet'!$B$10,Paramètres!$A$1:$I$89,3,0)*0.475*44/12</f>
        <v>3.6228942221692651E-8</v>
      </c>
      <c r="AX124" s="21">
        <f t="shared" si="60"/>
        <v>38.226327557011516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6.3550942286383367E-14</v>
      </c>
      <c r="P125" s="13">
        <f t="shared" si="87"/>
        <v>1.0064464192543978E-12</v>
      </c>
      <c r="Q125" s="20">
        <f t="shared" si="107"/>
        <v>1.8635787380168604E-12</v>
      </c>
      <c r="R125" s="59">
        <f t="shared" si="55"/>
        <v>293.33333333333519</v>
      </c>
      <c r="S125" s="59">
        <f ca="1">AVERAGE(OFFSET($R$3,0,0,'Données projet'!$E$9+1,1))-AVERAGE(OFFSET($H$3,0,0,'Données projet'!$E$9+1,1))</f>
        <v>250.1520902752946</v>
      </c>
      <c r="T125" s="59">
        <f t="shared" si="88"/>
        <v>258.01144895030291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69.198284687085689</v>
      </c>
      <c r="AA125" s="21">
        <f>EXP(-LN(2)/25)*AA124+(1-EXP(-LN(2)/25))/(LN(2)/25)*Calculateur!V125*Calculateur!X125*VLOOKUP('Données projet'!$B$9,Paramètres!$A$1:$I$89,3,0)*0.475*44/12</f>
        <v>8.5713138264109663</v>
      </c>
      <c r="AB125" s="21">
        <f>EXP(-LN(2)/2)*AB124+(1-EXP(-LN(2)/2))/(LN(2)/2)*V125*Y125*VLOOKUP('Données projet'!$B$9,Paramètres!$A$1:$I$89,3,0)*0.475*44/12</f>
        <v>1.4258059868192125E-8</v>
      </c>
      <c r="AC125" s="22">
        <f t="shared" si="57"/>
        <v>77.769598527754724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141.51368882763865</v>
      </c>
      <c r="AO125" s="59">
        <f t="shared" si="90"/>
        <v>156.34514945935399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26.70729124124064</v>
      </c>
      <c r="AV125" s="21">
        <f>EXP(-LN(2)/25)*AV124+(1-EXP(-LN(2)/25))/(LN(2)/25)*Calculateur!AQ125*Calculateur!AS125*VLOOKUP('Données projet'!$B$10,Paramètres!$A$1:$I$89,3,0)*0.475*44/12</f>
        <v>10.684466239661973</v>
      </c>
      <c r="AW125" s="21">
        <f>EXP(-LN(2)/2)*AW124+(1-EXP(-LN(2)/2))/(LN(2)/2)*AQ125*AT125*VLOOKUP('Données projet'!$B$10,Paramètres!$A$1:$I$89,3,0)*0.475*44/12</f>
        <v>2.5617730720174498E-8</v>
      </c>
      <c r="AX125" s="21">
        <f t="shared" si="60"/>
        <v>37.391757506520342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6.3550942286383367E-14</v>
      </c>
      <c r="P126" s="13">
        <f t="shared" si="87"/>
        <v>1.0064464192543978E-12</v>
      </c>
      <c r="Q126" s="20">
        <f t="shared" si="107"/>
        <v>1.8635787380168604E-12</v>
      </c>
      <c r="R126" s="59">
        <f t="shared" si="55"/>
        <v>293.33333333333519</v>
      </c>
      <c r="S126" s="59">
        <f ca="1">AVERAGE(OFFSET($R$3,0,0,'Données projet'!$E$9+1,1))-AVERAGE(OFFSET($H$3,0,0,'Données projet'!$E$9+1,1))</f>
        <v>250.1520902752946</v>
      </c>
      <c r="T126" s="59">
        <f t="shared" si="88"/>
        <v>258.01144895030291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67.841348531158019</v>
      </c>
      <c r="AA126" s="21">
        <f>EXP(-LN(2)/25)*AA125+(1-EXP(-LN(2)/25))/(LN(2)/25)*Calculateur!V126*Calculateur!X126*VLOOKUP('Données projet'!$B$9,Paramètres!$A$1:$I$89,3,0)*0.475*44/12</f>
        <v>8.336930799081955</v>
      </c>
      <c r="AB126" s="21">
        <f>EXP(-LN(2)/2)*AB125+(1-EXP(-LN(2)/2))/(LN(2)/2)*V126*Y126*VLOOKUP('Données projet'!$B$9,Paramètres!$A$1:$I$89,3,0)*0.475*44/12</f>
        <v>1.0081970819362423E-8</v>
      </c>
      <c r="AC126" s="22">
        <f t="shared" si="57"/>
        <v>76.17827934032195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141.51368882763865</v>
      </c>
      <c r="AO126" s="59">
        <f t="shared" si="90"/>
        <v>156.34514945935399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26.183577549839079</v>
      </c>
      <c r="AV126" s="21">
        <f>EXP(-LN(2)/25)*AV125+(1-EXP(-LN(2)/25))/(LN(2)/25)*Calculateur!AQ126*Calculateur!AS126*VLOOKUP('Données projet'!$B$10,Paramètres!$A$1:$I$89,3,0)*0.475*44/12</f>
        <v>10.392298948466756</v>
      </c>
      <c r="AW126" s="21">
        <f>EXP(-LN(2)/2)*AW125+(1-EXP(-LN(2)/2))/(LN(2)/2)*AQ126*AT126*VLOOKUP('Données projet'!$B$10,Paramètres!$A$1:$I$89,3,0)*0.475*44/12</f>
        <v>1.8114471110846325E-8</v>
      </c>
      <c r="AX126" s="21">
        <f t="shared" si="60"/>
        <v>36.575876516420301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6.3550942286383367E-14</v>
      </c>
      <c r="P127" s="13">
        <f t="shared" si="87"/>
        <v>1.0064464192543978E-12</v>
      </c>
      <c r="Q127" s="20">
        <f t="shared" si="107"/>
        <v>1.8635787380168604E-12</v>
      </c>
      <c r="R127" s="59">
        <f t="shared" si="55"/>
        <v>293.33333333333519</v>
      </c>
      <c r="S127" s="59">
        <f ca="1">AVERAGE(OFFSET($R$3,0,0,'Données projet'!$E$9+1,1))-AVERAGE(OFFSET($H$3,0,0,'Données projet'!$E$9+1,1))</f>
        <v>250.1520902752946</v>
      </c>
      <c r="T127" s="59">
        <f t="shared" si="88"/>
        <v>258.01144895030291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66.511021065598769</v>
      </c>
      <c r="AA127" s="21">
        <f>EXP(-LN(2)/25)*AA126+(1-EXP(-LN(2)/25))/(LN(2)/25)*Calculateur!V127*Calculateur!X127*VLOOKUP('Données projet'!$B$9,Paramètres!$A$1:$I$89,3,0)*0.475*44/12</f>
        <v>8.1089569879609229</v>
      </c>
      <c r="AB127" s="21">
        <f>EXP(-LN(2)/2)*AB126+(1-EXP(-LN(2)/2))/(LN(2)/2)*V127*Y127*VLOOKUP('Données projet'!$B$9,Paramètres!$A$1:$I$89,3,0)*0.475*44/12</f>
        <v>7.1290299340960624E-9</v>
      </c>
      <c r="AC127" s="22">
        <f t="shared" si="57"/>
        <v>74.619978060688723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141.51368882763865</v>
      </c>
      <c r="AO127" s="59">
        <f t="shared" si="90"/>
        <v>156.34514945935399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25.670133564492094</v>
      </c>
      <c r="AV127" s="21">
        <f>EXP(-LN(2)/25)*AV126+(1-EXP(-LN(2)/25))/(LN(2)/25)*Calculateur!AQ127*Calculateur!AS127*VLOOKUP('Données projet'!$B$10,Paramètres!$A$1:$I$89,3,0)*0.475*44/12</f>
        <v>10.108120987213683</v>
      </c>
      <c r="AW127" s="21">
        <f>EXP(-LN(2)/2)*AW126+(1-EXP(-LN(2)/2))/(LN(2)/2)*AQ127*AT127*VLOOKUP('Données projet'!$B$10,Paramètres!$A$1:$I$89,3,0)*0.475*44/12</f>
        <v>1.2808865360087249E-8</v>
      </c>
      <c r="AX127" s="21">
        <f t="shared" si="60"/>
        <v>35.778254564514647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6.3550942286383367E-14</v>
      </c>
      <c r="P128" s="13">
        <f t="shared" si="87"/>
        <v>1.0064464192543978E-12</v>
      </c>
      <c r="Q128" s="20">
        <f t="shared" si="107"/>
        <v>1.8635787380168604E-12</v>
      </c>
      <c r="R128" s="59">
        <f t="shared" si="55"/>
        <v>293.33333333333519</v>
      </c>
      <c r="S128" s="59">
        <f ca="1">AVERAGE(OFFSET($R$3,0,0,'Données projet'!$E$9+1,1))-AVERAGE(OFFSET($H$3,0,0,'Données projet'!$E$9+1,1))</f>
        <v>250.1520902752946</v>
      </c>
      <c r="T128" s="59">
        <f t="shared" si="88"/>
        <v>258.01144895030291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65.206780510219502</v>
      </c>
      <c r="AA128" s="21">
        <f>EXP(-LN(2)/25)*AA127+(1-EXP(-LN(2)/25))/(LN(2)/25)*Calculateur!V128*Calculateur!X128*VLOOKUP('Données projet'!$B$9,Paramètres!$A$1:$I$89,3,0)*0.475*44/12</f>
        <v>7.8872171326936167</v>
      </c>
      <c r="AB128" s="21">
        <f>EXP(-LN(2)/2)*AB127+(1-EXP(-LN(2)/2))/(LN(2)/2)*V128*Y128*VLOOKUP('Données projet'!$B$9,Paramètres!$A$1:$I$89,3,0)*0.475*44/12</f>
        <v>5.0409854096812116E-9</v>
      </c>
      <c r="AC128" s="22">
        <f t="shared" si="57"/>
        <v>73.093997647954112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141.51368882763865</v>
      </c>
      <c r="AO128" s="59">
        <f t="shared" si="90"/>
        <v>156.34514945935399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25.166757902527856</v>
      </c>
      <c r="AV128" s="21">
        <f>EXP(-LN(2)/25)*AV127+(1-EXP(-LN(2)/25))/(LN(2)/25)*Calculateur!AQ128*Calculateur!AS128*VLOOKUP('Données projet'!$B$10,Paramètres!$A$1:$I$89,3,0)*0.475*44/12</f>
        <v>9.8317138872553436</v>
      </c>
      <c r="AW128" s="21">
        <f>EXP(-LN(2)/2)*AW127+(1-EXP(-LN(2)/2))/(LN(2)/2)*AQ128*AT128*VLOOKUP('Données projet'!$B$10,Paramètres!$A$1:$I$89,3,0)*0.475*44/12</f>
        <v>9.0572355554231626E-9</v>
      </c>
      <c r="AX128" s="21">
        <f t="shared" si="60"/>
        <v>34.998471798840434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6.3550942286383367E-14</v>
      </c>
      <c r="P129" s="13">
        <f t="shared" si="87"/>
        <v>1.0064464192543978E-12</v>
      </c>
      <c r="Q129" s="20">
        <f t="shared" si="107"/>
        <v>1.8635787380168604E-12</v>
      </c>
      <c r="R129" s="59">
        <f t="shared" si="55"/>
        <v>293.33333333333519</v>
      </c>
      <c r="S129" s="59">
        <f ca="1">AVERAGE(OFFSET($R$3,0,0,'Données projet'!$E$9+1,1))-AVERAGE(OFFSET($H$3,0,0,'Données projet'!$E$9+1,1))</f>
        <v>250.1520902752946</v>
      </c>
      <c r="T129" s="59">
        <f t="shared" si="88"/>
        <v>258.01144895030291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63.928115316623028</v>
      </c>
      <c r="AA129" s="21">
        <f>EXP(-LN(2)/25)*AA128+(1-EXP(-LN(2)/25))/(LN(2)/25)*Calculateur!V129*Calculateur!X129*VLOOKUP('Données projet'!$B$9,Paramètres!$A$1:$I$89,3,0)*0.475*44/12</f>
        <v>7.6715407654293868</v>
      </c>
      <c r="AB129" s="21">
        <f>EXP(-LN(2)/2)*AB128+(1-EXP(-LN(2)/2))/(LN(2)/2)*V129*Y129*VLOOKUP('Données projet'!$B$9,Paramètres!$A$1:$I$89,3,0)*0.475*44/12</f>
        <v>3.5645149670480312E-9</v>
      </c>
      <c r="AC129" s="22">
        <f t="shared" si="57"/>
        <v>71.599656085616928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141.51368882763865</v>
      </c>
      <c r="AO129" s="59">
        <f t="shared" si="90"/>
        <v>156.34514945935399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24.673253130265898</v>
      </c>
      <c r="AV129" s="21">
        <f>EXP(-LN(2)/25)*AV128+(1-EXP(-LN(2)/25))/(LN(2)/25)*Calculateur!AQ129*Calculateur!AS129*VLOOKUP('Données projet'!$B$10,Paramètres!$A$1:$I$89,3,0)*0.475*44/12</f>
        <v>9.562865153980983</v>
      </c>
      <c r="AW129" s="21">
        <f>EXP(-LN(2)/2)*AW128+(1-EXP(-LN(2)/2))/(LN(2)/2)*AQ129*AT129*VLOOKUP('Données projet'!$B$10,Paramètres!$A$1:$I$89,3,0)*0.475*44/12</f>
        <v>6.4044326800436246E-9</v>
      </c>
      <c r="AX129" s="21">
        <f t="shared" si="60"/>
        <v>34.236118290651319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6.3550942286383367E-14</v>
      </c>
      <c r="P130" s="13">
        <f t="shared" si="87"/>
        <v>1.0064464192543978E-12</v>
      </c>
      <c r="Q130" s="20">
        <f t="shared" si="107"/>
        <v>1.8635787380168604E-12</v>
      </c>
      <c r="R130" s="59">
        <f t="shared" si="55"/>
        <v>293.33333333333519</v>
      </c>
      <c r="S130" s="59">
        <f ca="1">AVERAGE(OFFSET($R$3,0,0,'Données projet'!$E$9+1,1))-AVERAGE(OFFSET($H$3,0,0,'Données projet'!$E$9+1,1))</f>
        <v>250.1520902752946</v>
      </c>
      <c r="T130" s="59">
        <f t="shared" si="88"/>
        <v>258.01144895030291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62.674523967564227</v>
      </c>
      <c r="AA130" s="21">
        <f>EXP(-LN(2)/25)*AA129+(1-EXP(-LN(2)/25))/(LN(2)/25)*Calculateur!V130*Calculateur!X130*VLOOKUP('Données projet'!$B$9,Paramètres!$A$1:$I$89,3,0)*0.475*44/12</f>
        <v>7.4617620797699251</v>
      </c>
      <c r="AB130" s="21">
        <f>EXP(-LN(2)/2)*AB129+(1-EXP(-LN(2)/2))/(LN(2)/2)*V130*Y130*VLOOKUP('Données projet'!$B$9,Paramètres!$A$1:$I$89,3,0)*0.475*44/12</f>
        <v>2.5204927048406058E-9</v>
      </c>
      <c r="AC130" s="22">
        <f t="shared" si="57"/>
        <v>70.136286049854647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141.51368882763865</v>
      </c>
      <c r="AO130" s="59">
        <f t="shared" si="90"/>
        <v>156.34514945935399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24.18942568557981</v>
      </c>
      <c r="AV130" s="21">
        <f>EXP(-LN(2)/25)*AV129+(1-EXP(-LN(2)/25))/(LN(2)/25)*Calculateur!AQ130*Calculateur!AS130*VLOOKUP('Données projet'!$B$10,Paramètres!$A$1:$I$89,3,0)*0.475*44/12</f>
        <v>9.3013681034561504</v>
      </c>
      <c r="AW130" s="21">
        <f>EXP(-LN(2)/2)*AW129+(1-EXP(-LN(2)/2))/(LN(2)/2)*AQ130*AT130*VLOOKUP('Données projet'!$B$10,Paramètres!$A$1:$I$89,3,0)*0.475*44/12</f>
        <v>4.5286177777115813E-9</v>
      </c>
      <c r="AX130" s="21">
        <f t="shared" si="60"/>
        <v>33.490793793564578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6.3550942286383367E-14</v>
      </c>
      <c r="P131" s="13">
        <f t="shared" si="87"/>
        <v>1.0064464192543978E-12</v>
      </c>
      <c r="Q131" s="20">
        <f t="shared" ref="Q131:Q153" si="108">(O131+P131)*0.475*44/12</f>
        <v>1.8635787380168604E-12</v>
      </c>
      <c r="R131" s="59">
        <f t="shared" ref="R131:R194" si="109">Q131+(I131+J131)*44/12</f>
        <v>293.33333333333519</v>
      </c>
      <c r="S131" s="59">
        <f ca="1">AVERAGE(OFFSET($R$3,0,0,'Données projet'!$E$9+1,1))-AVERAGE(OFFSET($H$3,0,0,'Données projet'!$E$9+1,1))</f>
        <v>250.1520902752946</v>
      </c>
      <c r="T131" s="59">
        <f t="shared" si="88"/>
        <v>258.01144895030291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61.44551478024524</v>
      </c>
      <c r="AA131" s="21">
        <f>EXP(-LN(2)/25)*AA130+(1-EXP(-LN(2)/25))/(LN(2)/25)*Calculateur!V131*Calculateur!X131*VLOOKUP('Données projet'!$B$9,Paramètres!$A$1:$I$89,3,0)*0.475*44/12</f>
        <v>7.2577198033016028</v>
      </c>
      <c r="AB131" s="21">
        <f>EXP(-LN(2)/2)*AB130+(1-EXP(-LN(2)/2))/(LN(2)/2)*V131*Y131*VLOOKUP('Données projet'!$B$9,Paramètres!$A$1:$I$89,3,0)*0.475*44/12</f>
        <v>1.7822574835240156E-9</v>
      </c>
      <c r="AC131" s="22">
        <f t="shared" si="57"/>
        <v>68.703234585329099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141.51368882763865</v>
      </c>
      <c r="AO131" s="59">
        <f t="shared" si="90"/>
        <v>156.34514945935399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23.715085801978411</v>
      </c>
      <c r="AV131" s="21">
        <f>EXP(-LN(2)/25)*AV130+(1-EXP(-LN(2)/25))/(LN(2)/25)*Calculateur!AQ131*Calculateur!AS131*VLOOKUP('Données projet'!$B$10,Paramètres!$A$1:$I$89,3,0)*0.475*44/12</f>
        <v>9.0470217035294525</v>
      </c>
      <c r="AW131" s="21">
        <f>EXP(-LN(2)/2)*AW130+(1-EXP(-LN(2)/2))/(LN(2)/2)*AQ131*AT131*VLOOKUP('Données projet'!$B$10,Paramètres!$A$1:$I$89,3,0)*0.475*44/12</f>
        <v>3.2022163400218123E-9</v>
      </c>
      <c r="AX131" s="21">
        <f t="shared" si="60"/>
        <v>32.762107508710081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6.3550942286383367E-14</v>
      </c>
      <c r="P132" s="13">
        <f t="shared" si="87"/>
        <v>1.0064464192543978E-12</v>
      </c>
      <c r="Q132" s="20">
        <f t="shared" si="108"/>
        <v>1.8635787380168604E-12</v>
      </c>
      <c r="R132" s="59">
        <f t="shared" si="109"/>
        <v>293.33333333333519</v>
      </c>
      <c r="S132" s="59">
        <f ca="1">AVERAGE(OFFSET($R$3,0,0,'Données projet'!$E$9+1,1))-AVERAGE(OFFSET($H$3,0,0,'Données projet'!$E$9+1,1))</f>
        <v>250.1520902752946</v>
      </c>
      <c r="T132" s="59">
        <f t="shared" si="88"/>
        <v>258.01144895030291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60.240605713467993</v>
      </c>
      <c r="AA132" s="21">
        <f>EXP(-LN(2)/25)*AA131+(1-EXP(-LN(2)/25))/(LN(2)/25)*Calculateur!V132*Calculateur!X132*VLOOKUP('Données projet'!$B$9,Paramètres!$A$1:$I$89,3,0)*0.475*44/12</f>
        <v>7.0592570736134235</v>
      </c>
      <c r="AB132" s="21">
        <f>EXP(-LN(2)/2)*AB131+(1-EXP(-LN(2)/2))/(LN(2)/2)*V132*Y132*VLOOKUP('Données projet'!$B$9,Paramètres!$A$1:$I$89,3,0)*0.475*44/12</f>
        <v>1.2602463524203029E-9</v>
      </c>
      <c r="AC132" s="22">
        <f t="shared" ref="AC132:AC153" si="111">SUM(Z132:AB132)</f>
        <v>67.29986278834167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141.51368882763865</v>
      </c>
      <c r="AO132" s="59">
        <f t="shared" si="90"/>
        <v>156.34514945935399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23.250047434175677</v>
      </c>
      <c r="AV132" s="21">
        <f>EXP(-LN(2)/25)*AV131+(1-EXP(-LN(2)/25))/(LN(2)/25)*Calculateur!AQ132*Calculateur!AS132*VLOOKUP('Données projet'!$B$10,Paramètres!$A$1:$I$89,3,0)*0.475*44/12</f>
        <v>8.7996304192842452</v>
      </c>
      <c r="AW132" s="21">
        <f>EXP(-LN(2)/2)*AW131+(1-EXP(-LN(2)/2))/(LN(2)/2)*AQ132*AT132*VLOOKUP('Données projet'!$B$10,Paramètres!$A$1:$I$89,3,0)*0.475*44/12</f>
        <v>2.2643088888557907E-9</v>
      </c>
      <c r="AX132" s="21">
        <f t="shared" ref="AX132:AX153" si="114">SUM(AU132:AW132)</f>
        <v>32.049677855724234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6.3550942286383367E-14</v>
      </c>
      <c r="P133" s="13">
        <f t="shared" ref="P133:P196" si="141">EXP(-1.0587+0.8836*LN(O133)+0.284)</f>
        <v>1.0064464192543978E-12</v>
      </c>
      <c r="Q133" s="20">
        <f t="shared" si="108"/>
        <v>1.8635787380168604E-12</v>
      </c>
      <c r="R133" s="59">
        <f t="shared" si="109"/>
        <v>293.33333333333519</v>
      </c>
      <c r="S133" s="59">
        <f ca="1">AVERAGE(OFFSET($R$3,0,0,'Données projet'!$E$9+1,1))-AVERAGE(OFFSET($H$3,0,0,'Données projet'!$E$9+1,1))</f>
        <v>250.1520902752946</v>
      </c>
      <c r="T133" s="59">
        <f t="shared" ref="T133:T196" si="142">$T$3</f>
        <v>258.01144895030291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59.059324178568289</v>
      </c>
      <c r="AA133" s="21">
        <f>EXP(-LN(2)/25)*AA132+(1-EXP(-LN(2)/25))/(LN(2)/25)*Calculateur!V133*Calculateur!X133*VLOOKUP('Données projet'!$B$9,Paramètres!$A$1:$I$89,3,0)*0.475*44/12</f>
        <v>6.8662213177052687</v>
      </c>
      <c r="AB133" s="21">
        <f>EXP(-LN(2)/2)*AB132+(1-EXP(-LN(2)/2))/(LN(2)/2)*V133*Y133*VLOOKUP('Données projet'!$B$9,Paramètres!$A$1:$I$89,3,0)*0.475*44/12</f>
        <v>8.911287417620078E-10</v>
      </c>
      <c r="AC133" s="22">
        <f t="shared" si="111"/>
        <v>65.925545497164691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141.51368882763865</v>
      </c>
      <c r="AO133" s="59">
        <f t="shared" ref="AO133:AO196" si="144">$AO$3</f>
        <v>156.34514945935399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22.794128185120158</v>
      </c>
      <c r="AV133" s="21">
        <f>EXP(-LN(2)/25)*AV132+(1-EXP(-LN(2)/25))/(LN(2)/25)*Calculateur!AQ133*Calculateur!AS133*VLOOKUP('Données projet'!$B$10,Paramètres!$A$1:$I$89,3,0)*0.475*44/12</f>
        <v>8.5590040627164647</v>
      </c>
      <c r="AW133" s="21">
        <f>EXP(-LN(2)/2)*AW132+(1-EXP(-LN(2)/2))/(LN(2)/2)*AQ133*AT133*VLOOKUP('Données projet'!$B$10,Paramètres!$A$1:$I$89,3,0)*0.475*44/12</f>
        <v>1.6011081700109062E-9</v>
      </c>
      <c r="AX133" s="21">
        <f t="shared" si="114"/>
        <v>31.353132249437731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6.3550942286383367E-14</v>
      </c>
      <c r="P134" s="13">
        <f t="shared" si="141"/>
        <v>1.0064464192543978E-12</v>
      </c>
      <c r="Q134" s="20">
        <f t="shared" si="108"/>
        <v>1.8635787380168604E-12</v>
      </c>
      <c r="R134" s="59">
        <f t="shared" si="109"/>
        <v>293.33333333333519</v>
      </c>
      <c r="S134" s="59">
        <f ca="1">AVERAGE(OFFSET($R$3,0,0,'Données projet'!$E$9+1,1))-AVERAGE(OFFSET($H$3,0,0,'Données projet'!$E$9+1,1))</f>
        <v>250.1520902752946</v>
      </c>
      <c r="T134" s="59">
        <f t="shared" si="142"/>
        <v>258.01144895030291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57.901206854057378</v>
      </c>
      <c r="AA134" s="21">
        <f>EXP(-LN(2)/25)*AA133+(1-EXP(-LN(2)/25))/(LN(2)/25)*Calculateur!V134*Calculateur!X134*VLOOKUP('Données projet'!$B$9,Paramètres!$A$1:$I$89,3,0)*0.475*44/12</f>
        <v>6.6784641346937317</v>
      </c>
      <c r="AB134" s="21">
        <f>EXP(-LN(2)/2)*AB133+(1-EXP(-LN(2)/2))/(LN(2)/2)*V134*Y134*VLOOKUP('Données projet'!$B$9,Paramètres!$A$1:$I$89,3,0)*0.475*44/12</f>
        <v>6.3012317621015145E-10</v>
      </c>
      <c r="AC134" s="22">
        <f t="shared" si="111"/>
        <v>64.579670989381228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141.51368882763865</v>
      </c>
      <c r="AO134" s="59">
        <f t="shared" si="144"/>
        <v>156.34514945935399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22.347149234455333</v>
      </c>
      <c r="AV134" s="21">
        <f>EXP(-LN(2)/25)*AV133+(1-EXP(-LN(2)/25))/(LN(2)/25)*Calculateur!AQ134*Calculateur!AS134*VLOOKUP('Données projet'!$B$10,Paramètres!$A$1:$I$89,3,0)*0.475*44/12</f>
        <v>8.3249576465230213</v>
      </c>
      <c r="AW134" s="21">
        <f>EXP(-LN(2)/2)*AW133+(1-EXP(-LN(2)/2))/(LN(2)/2)*AQ134*AT134*VLOOKUP('Données projet'!$B$10,Paramètres!$A$1:$I$89,3,0)*0.475*44/12</f>
        <v>1.1321544444278953E-9</v>
      </c>
      <c r="AX134" s="21">
        <f t="shared" si="114"/>
        <v>30.672106882110509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6.3550942286383367E-14</v>
      </c>
      <c r="P135" s="13">
        <f t="shared" si="141"/>
        <v>1.0064464192543978E-12</v>
      </c>
      <c r="Q135" s="20">
        <f t="shared" si="108"/>
        <v>1.8635787380168604E-12</v>
      </c>
      <c r="R135" s="59">
        <f t="shared" si="109"/>
        <v>293.33333333333519</v>
      </c>
      <c r="S135" s="59">
        <f ca="1">AVERAGE(OFFSET($R$3,0,0,'Données projet'!$E$9+1,1))-AVERAGE(OFFSET($H$3,0,0,'Données projet'!$E$9+1,1))</f>
        <v>250.1520902752946</v>
      </c>
      <c r="T135" s="59">
        <f t="shared" si="142"/>
        <v>258.01144895030291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56.7657995038983</v>
      </c>
      <c r="AA135" s="21">
        <f>EXP(-LN(2)/25)*AA134+(1-EXP(-LN(2)/25))/(LN(2)/25)*Calculateur!V135*Calculateur!X135*VLOOKUP('Données projet'!$B$9,Paramètres!$A$1:$I$89,3,0)*0.475*44/12</f>
        <v>6.4958411817253667</v>
      </c>
      <c r="AB135" s="21">
        <f>EXP(-LN(2)/2)*AB134+(1-EXP(-LN(2)/2))/(LN(2)/2)*V135*Y135*VLOOKUP('Données projet'!$B$9,Paramètres!$A$1:$I$89,3,0)*0.475*44/12</f>
        <v>4.455643708810039E-10</v>
      </c>
      <c r="AC135" s="22">
        <f t="shared" si="111"/>
        <v>63.261640686069235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141.51368882763865</v>
      </c>
      <c r="AO135" s="59">
        <f t="shared" si="144"/>
        <v>156.34514945935399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21.908935268382805</v>
      </c>
      <c r="AV135" s="21">
        <f>EXP(-LN(2)/25)*AV134+(1-EXP(-LN(2)/25))/(LN(2)/25)*Calculateur!AQ135*Calculateur!AS135*VLOOKUP('Données projet'!$B$10,Paramètres!$A$1:$I$89,3,0)*0.475*44/12</f>
        <v>8.0973112418883542</v>
      </c>
      <c r="AW135" s="21">
        <f>EXP(-LN(2)/2)*AW134+(1-EXP(-LN(2)/2))/(LN(2)/2)*AQ135*AT135*VLOOKUP('Données projet'!$B$10,Paramètres!$A$1:$I$89,3,0)*0.475*44/12</f>
        <v>8.0055408500545308E-10</v>
      </c>
      <c r="AX135" s="21">
        <f t="shared" si="114"/>
        <v>30.006246511071716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6.3550942286383367E-14</v>
      </c>
      <c r="P136" s="13">
        <f t="shared" si="141"/>
        <v>1.0064464192543978E-12</v>
      </c>
      <c r="Q136" s="20">
        <f t="shared" si="108"/>
        <v>1.8635787380168604E-12</v>
      </c>
      <c r="R136" s="59">
        <f t="shared" si="109"/>
        <v>293.33333333333519</v>
      </c>
      <c r="S136" s="59">
        <f ca="1">AVERAGE(OFFSET($R$3,0,0,'Données projet'!$E$9+1,1))-AVERAGE(OFFSET($H$3,0,0,'Données projet'!$E$9+1,1))</f>
        <v>250.1520902752946</v>
      </c>
      <c r="T136" s="59">
        <f t="shared" si="142"/>
        <v>258.01144895030291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55.652656799345742</v>
      </c>
      <c r="AA136" s="21">
        <f>EXP(-LN(2)/25)*AA135+(1-EXP(-LN(2)/25))/(LN(2)/25)*Calculateur!V136*Calculateur!X136*VLOOKUP('Données projet'!$B$9,Paramètres!$A$1:$I$89,3,0)*0.475*44/12</f>
        <v>6.3182120630096454</v>
      </c>
      <c r="AB136" s="21">
        <f>EXP(-LN(2)/2)*AB135+(1-EXP(-LN(2)/2))/(LN(2)/2)*V136*Y136*VLOOKUP('Données projet'!$B$9,Paramètres!$A$1:$I$89,3,0)*0.475*44/12</f>
        <v>3.1506158810507573E-10</v>
      </c>
      <c r="AC136" s="22">
        <f t="shared" si="111"/>
        <v>61.97086886267045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141.51368882763865</v>
      </c>
      <c r="AO136" s="59">
        <f t="shared" si="144"/>
        <v>156.34514945935399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21.479314410900834</v>
      </c>
      <c r="AV136" s="21">
        <f>EXP(-LN(2)/25)*AV135+(1-EXP(-LN(2)/25))/(LN(2)/25)*Calculateur!AQ136*Calculateur!AS136*VLOOKUP('Données projet'!$B$10,Paramètres!$A$1:$I$89,3,0)*0.475*44/12</f>
        <v>7.8758898401598252</v>
      </c>
      <c r="AW136" s="21">
        <f>EXP(-LN(2)/2)*AW135+(1-EXP(-LN(2)/2))/(LN(2)/2)*AQ136*AT136*VLOOKUP('Données projet'!$B$10,Paramètres!$A$1:$I$89,3,0)*0.475*44/12</f>
        <v>5.6607722221394766E-10</v>
      </c>
      <c r="AX136" s="21">
        <f t="shared" si="114"/>
        <v>29.355204251626738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6.3550942286383367E-14</v>
      </c>
      <c r="P137" s="13">
        <f t="shared" si="141"/>
        <v>1.0064464192543978E-12</v>
      </c>
      <c r="Q137" s="20">
        <f t="shared" si="108"/>
        <v>1.8635787380168604E-12</v>
      </c>
      <c r="R137" s="59">
        <f t="shared" si="109"/>
        <v>293.33333333333519</v>
      </c>
      <c r="S137" s="59">
        <f ca="1">AVERAGE(OFFSET($R$3,0,0,'Données projet'!$E$9+1,1))-AVERAGE(OFFSET($H$3,0,0,'Données projet'!$E$9+1,1))</f>
        <v>250.1520902752946</v>
      </c>
      <c r="T137" s="59">
        <f t="shared" si="142"/>
        <v>258.01144895030291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54.56134214427945</v>
      </c>
      <c r="AA137" s="21">
        <f>EXP(-LN(2)/25)*AA136+(1-EXP(-LN(2)/25))/(LN(2)/25)*Calculateur!V137*Calculateur!X137*VLOOKUP('Données projet'!$B$9,Paramètres!$A$1:$I$89,3,0)*0.475*44/12</f>
        <v>6.1454402218863144</v>
      </c>
      <c r="AB137" s="21">
        <f>EXP(-LN(2)/2)*AB136+(1-EXP(-LN(2)/2))/(LN(2)/2)*V137*Y137*VLOOKUP('Données projet'!$B$9,Paramètres!$A$1:$I$89,3,0)*0.475*44/12</f>
        <v>2.2278218544050195E-10</v>
      </c>
      <c r="AC137" s="22">
        <f t="shared" si="111"/>
        <v>60.706782366388552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141.51368882763865</v>
      </c>
      <c r="AO137" s="59">
        <f t="shared" si="144"/>
        <v>156.34514945935399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21.058118156391235</v>
      </c>
      <c r="AV137" s="21">
        <f>EXP(-LN(2)/25)*AV136+(1-EXP(-LN(2)/25))/(LN(2)/25)*Calculateur!AQ137*Calculateur!AS137*VLOOKUP('Données projet'!$B$10,Paramètres!$A$1:$I$89,3,0)*0.475*44/12</f>
        <v>7.6605232183056087</v>
      </c>
      <c r="AW137" s="21">
        <f>EXP(-LN(2)/2)*AW136+(1-EXP(-LN(2)/2))/(LN(2)/2)*AQ137*AT137*VLOOKUP('Données projet'!$B$10,Paramètres!$A$1:$I$89,3,0)*0.475*44/12</f>
        <v>4.0027704250272654E-10</v>
      </c>
      <c r="AX137" s="21">
        <f t="shared" si="114"/>
        <v>28.718641375097121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6.3550942286383367E-14</v>
      </c>
      <c r="P138" s="13">
        <f t="shared" si="141"/>
        <v>1.0064464192543978E-12</v>
      </c>
      <c r="Q138" s="20">
        <f t="shared" si="108"/>
        <v>1.8635787380168604E-12</v>
      </c>
      <c r="R138" s="59">
        <f t="shared" si="109"/>
        <v>293.33333333333519</v>
      </c>
      <c r="S138" s="59">
        <f ca="1">AVERAGE(OFFSET($R$3,0,0,'Données projet'!$E$9+1,1))-AVERAGE(OFFSET($H$3,0,0,'Données projet'!$E$9+1,1))</f>
        <v>250.1520902752946</v>
      </c>
      <c r="T138" s="59">
        <f t="shared" si="142"/>
        <v>258.01144895030291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53.491427503962797</v>
      </c>
      <c r="AA138" s="21">
        <f>EXP(-LN(2)/25)*AA137+(1-EXP(-LN(2)/25))/(LN(2)/25)*Calculateur!V138*Calculateur!X138*VLOOKUP('Données projet'!$B$9,Paramètres!$A$1:$I$89,3,0)*0.475*44/12</f>
        <v>5.9773928358441779</v>
      </c>
      <c r="AB138" s="21">
        <f>EXP(-LN(2)/2)*AB137+(1-EXP(-LN(2)/2))/(LN(2)/2)*V138*Y138*VLOOKUP('Données projet'!$B$9,Paramètres!$A$1:$I$89,3,0)*0.475*44/12</f>
        <v>1.5753079405253786E-10</v>
      </c>
      <c r="AC138" s="22">
        <f t="shared" si="111"/>
        <v>59.468820339964502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141.51368882763865</v>
      </c>
      <c r="AO138" s="59">
        <f t="shared" si="144"/>
        <v>156.34514945935399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20.645181303528219</v>
      </c>
      <c r="AV138" s="21">
        <f>EXP(-LN(2)/25)*AV137+(1-EXP(-LN(2)/25))/(LN(2)/25)*Calculateur!AQ138*Calculateur!AS138*VLOOKUP('Données projet'!$B$10,Paramètres!$A$1:$I$89,3,0)*0.475*44/12</f>
        <v>7.4510458080516342</v>
      </c>
      <c r="AW138" s="21">
        <f>EXP(-LN(2)/2)*AW137+(1-EXP(-LN(2)/2))/(LN(2)/2)*AQ138*AT138*VLOOKUP('Données projet'!$B$10,Paramètres!$A$1:$I$89,3,0)*0.475*44/12</f>
        <v>2.8303861110697383E-10</v>
      </c>
      <c r="AX138" s="21">
        <f t="shared" si="114"/>
        <v>28.096227111862891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6.3550942286383367E-14</v>
      </c>
      <c r="P139" s="13">
        <f t="shared" si="141"/>
        <v>1.0064464192543978E-12</v>
      </c>
      <c r="Q139" s="20">
        <f t="shared" si="108"/>
        <v>1.8635787380168604E-12</v>
      </c>
      <c r="R139" s="59">
        <f t="shared" si="109"/>
        <v>293.33333333333519</v>
      </c>
      <c r="S139" s="59">
        <f ca="1">AVERAGE(OFFSET($R$3,0,0,'Données projet'!$E$9+1,1))-AVERAGE(OFFSET($H$3,0,0,'Données projet'!$E$9+1,1))</f>
        <v>250.1520902752946</v>
      </c>
      <c r="T139" s="59">
        <f t="shared" si="142"/>
        <v>258.01144895030291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52.442493237159262</v>
      </c>
      <c r="AA139" s="21">
        <f>EXP(-LN(2)/25)*AA138+(1-EXP(-LN(2)/25))/(LN(2)/25)*Calculateur!V139*Calculateur!X139*VLOOKUP('Données projet'!$B$9,Paramètres!$A$1:$I$89,3,0)*0.475*44/12</f>
        <v>5.8139407144105908</v>
      </c>
      <c r="AB139" s="21">
        <f>EXP(-LN(2)/2)*AB138+(1-EXP(-LN(2)/2))/(LN(2)/2)*V139*Y139*VLOOKUP('Données projet'!$B$9,Paramètres!$A$1:$I$89,3,0)*0.475*44/12</f>
        <v>1.1139109272025097E-10</v>
      </c>
      <c r="AC139" s="22">
        <f t="shared" si="111"/>
        <v>58.256433951681245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141.51368882763865</v>
      </c>
      <c r="AO139" s="59">
        <f t="shared" si="144"/>
        <v>156.34514945935399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20.240341890483236</v>
      </c>
      <c r="AV139" s="21">
        <f>EXP(-LN(2)/25)*AV138+(1-EXP(-LN(2)/25))/(LN(2)/25)*Calculateur!AQ139*Calculateur!AS139*VLOOKUP('Données projet'!$B$10,Paramètres!$A$1:$I$89,3,0)*0.475*44/12</f>
        <v>7.247296568596993</v>
      </c>
      <c r="AW139" s="21">
        <f>EXP(-LN(2)/2)*AW138+(1-EXP(-LN(2)/2))/(LN(2)/2)*AQ139*AT139*VLOOKUP('Données projet'!$B$10,Paramètres!$A$1:$I$89,3,0)*0.475*44/12</f>
        <v>2.0013852125136327E-10</v>
      </c>
      <c r="AX139" s="21">
        <f t="shared" si="114"/>
        <v>27.487638459280369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6.3550942286383367E-14</v>
      </c>
      <c r="P140" s="13">
        <f t="shared" si="141"/>
        <v>1.0064464192543978E-12</v>
      </c>
      <c r="Q140" s="20">
        <f t="shared" si="108"/>
        <v>1.8635787380168604E-12</v>
      </c>
      <c r="R140" s="59">
        <f t="shared" si="109"/>
        <v>293.33333333333519</v>
      </c>
      <c r="S140" s="59">
        <f ca="1">AVERAGE(OFFSET($R$3,0,0,'Données projet'!$E$9+1,1))-AVERAGE(OFFSET($H$3,0,0,'Données projet'!$E$9+1,1))</f>
        <v>250.1520902752946</v>
      </c>
      <c r="T140" s="59">
        <f t="shared" si="142"/>
        <v>258.01144895030291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51.41412793154101</v>
      </c>
      <c r="AA140" s="21">
        <f>EXP(-LN(2)/25)*AA139+(1-EXP(-LN(2)/25))/(LN(2)/25)*Calculateur!V140*Calculateur!X140*VLOOKUP('Données projet'!$B$9,Paramètres!$A$1:$I$89,3,0)*0.475*44/12</f>
        <v>5.654958199833179</v>
      </c>
      <c r="AB140" s="21">
        <f>EXP(-LN(2)/2)*AB139+(1-EXP(-LN(2)/2))/(LN(2)/2)*V140*Y140*VLOOKUP('Données projet'!$B$9,Paramètres!$A$1:$I$89,3,0)*0.475*44/12</f>
        <v>7.8765397026268932E-11</v>
      </c>
      <c r="AC140" s="22">
        <f t="shared" si="111"/>
        <v>57.069086131452956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141.51368882763865</v>
      </c>
      <c r="AO140" s="59">
        <f t="shared" si="144"/>
        <v>156.34514945935399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19.843441131400407</v>
      </c>
      <c r="AV140" s="21">
        <f>EXP(-LN(2)/25)*AV139+(1-EXP(-LN(2)/25))/(LN(2)/25)*Calculateur!AQ140*Calculateur!AS140*VLOOKUP('Données projet'!$B$10,Paramètres!$A$1:$I$89,3,0)*0.475*44/12</f>
        <v>7.0491188628099453</v>
      </c>
      <c r="AW140" s="21">
        <f>EXP(-LN(2)/2)*AW139+(1-EXP(-LN(2)/2))/(LN(2)/2)*AQ140*AT140*VLOOKUP('Données projet'!$B$10,Paramètres!$A$1:$I$89,3,0)*0.475*44/12</f>
        <v>1.4151930555348692E-10</v>
      </c>
      <c r="AX140" s="21">
        <f t="shared" si="114"/>
        <v>26.892559994351871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6.3550942286383367E-14</v>
      </c>
      <c r="P141" s="13">
        <f t="shared" si="141"/>
        <v>1.0064464192543978E-12</v>
      </c>
      <c r="Q141" s="20">
        <f t="shared" si="108"/>
        <v>1.8635787380168604E-12</v>
      </c>
      <c r="R141" s="59">
        <f t="shared" si="109"/>
        <v>293.33333333333519</v>
      </c>
      <c r="S141" s="59">
        <f ca="1">AVERAGE(OFFSET($R$3,0,0,'Données projet'!$E$9+1,1))-AVERAGE(OFFSET($H$3,0,0,'Données projet'!$E$9+1,1))</f>
        <v>250.1520902752946</v>
      </c>
      <c r="T141" s="59">
        <f t="shared" si="142"/>
        <v>258.01144895030291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50.405928242325032</v>
      </c>
      <c r="AA141" s="21">
        <f>EXP(-LN(2)/25)*AA140+(1-EXP(-LN(2)/25))/(LN(2)/25)*Calculateur!V141*Calculateur!X141*VLOOKUP('Données projet'!$B$9,Paramètres!$A$1:$I$89,3,0)*0.475*44/12</f>
        <v>5.500323070477414</v>
      </c>
      <c r="AB141" s="21">
        <f>EXP(-LN(2)/2)*AB140+(1-EXP(-LN(2)/2))/(LN(2)/2)*V141*Y141*VLOOKUP('Données projet'!$B$9,Paramètres!$A$1:$I$89,3,0)*0.475*44/12</f>
        <v>5.5695546360125487E-11</v>
      </c>
      <c r="AC141" s="22">
        <f t="shared" si="111"/>
        <v>55.906251312858139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141.51368882763865</v>
      </c>
      <c r="AO141" s="59">
        <f t="shared" si="144"/>
        <v>156.34514945935399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19.454323354117633</v>
      </c>
      <c r="AV141" s="21">
        <f>EXP(-LN(2)/25)*AV140+(1-EXP(-LN(2)/25))/(LN(2)/25)*Calculateur!AQ141*Calculateur!AS141*VLOOKUP('Données projet'!$B$10,Paramètres!$A$1:$I$89,3,0)*0.475*44/12</f>
        <v>6.8563603368093569</v>
      </c>
      <c r="AW141" s="21">
        <f>EXP(-LN(2)/2)*AW140+(1-EXP(-LN(2)/2))/(LN(2)/2)*AQ141*AT141*VLOOKUP('Données projet'!$B$10,Paramètres!$A$1:$I$89,3,0)*0.475*44/12</f>
        <v>1.0006926062568163E-10</v>
      </c>
      <c r="AX141" s="21">
        <f t="shared" si="114"/>
        <v>26.310683691027059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6.3550942286383367E-14</v>
      </c>
      <c r="P142" s="13">
        <f t="shared" si="141"/>
        <v>1.0064464192543978E-12</v>
      </c>
      <c r="Q142" s="20">
        <f t="shared" si="108"/>
        <v>1.8635787380168604E-12</v>
      </c>
      <c r="R142" s="59">
        <f t="shared" si="109"/>
        <v>293.33333333333519</v>
      </c>
      <c r="S142" s="59">
        <f ca="1">AVERAGE(OFFSET($R$3,0,0,'Données projet'!$E$9+1,1))-AVERAGE(OFFSET($H$3,0,0,'Données projet'!$E$9+1,1))</f>
        <v>250.1520902752946</v>
      </c>
      <c r="T142" s="59">
        <f t="shared" si="142"/>
        <v>258.01144895030291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49.41749873407349</v>
      </c>
      <c r="AA142" s="21">
        <f>EXP(-LN(2)/25)*AA141+(1-EXP(-LN(2)/25))/(LN(2)/25)*Calculateur!V142*Calculateur!X142*VLOOKUP('Données projet'!$B$9,Paramètres!$A$1:$I$89,3,0)*0.475*44/12</f>
        <v>5.34991644686579</v>
      </c>
      <c r="AB142" s="21">
        <f>EXP(-LN(2)/2)*AB141+(1-EXP(-LN(2)/2))/(LN(2)/2)*V142*Y142*VLOOKUP('Données projet'!$B$9,Paramètres!$A$1:$I$89,3,0)*0.475*44/12</f>
        <v>3.9382698513134466E-11</v>
      </c>
      <c r="AC142" s="22">
        <f t="shared" si="111"/>
        <v>54.767415180978666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141.51368882763865</v>
      </c>
      <c r="AO142" s="59">
        <f t="shared" si="144"/>
        <v>156.34514945935399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19.072835939108966</v>
      </c>
      <c r="AV142" s="21">
        <f>EXP(-LN(2)/25)*AV141+(1-EXP(-LN(2)/25))/(LN(2)/25)*Calculateur!AQ142*Calculateur!AS142*VLOOKUP('Données projet'!$B$10,Paramètres!$A$1:$I$89,3,0)*0.475*44/12</f>
        <v>6.668872802838985</v>
      </c>
      <c r="AW142" s="21">
        <f>EXP(-LN(2)/2)*AW141+(1-EXP(-LN(2)/2))/(LN(2)/2)*AQ142*AT142*VLOOKUP('Données projet'!$B$10,Paramètres!$A$1:$I$89,3,0)*0.475*44/12</f>
        <v>7.0759652776743458E-11</v>
      </c>
      <c r="AX142" s="21">
        <f t="shared" si="114"/>
        <v>25.741708742018712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6.3550942286383367E-14</v>
      </c>
      <c r="P143" s="13">
        <f t="shared" si="141"/>
        <v>1.0064464192543978E-12</v>
      </c>
      <c r="Q143" s="20">
        <f t="shared" si="108"/>
        <v>1.8635787380168604E-12</v>
      </c>
      <c r="R143" s="59">
        <f t="shared" si="109"/>
        <v>293.33333333333519</v>
      </c>
      <c r="S143" s="59">
        <f ca="1">AVERAGE(OFFSET($R$3,0,0,'Données projet'!$E$9+1,1))-AVERAGE(OFFSET($H$3,0,0,'Données projet'!$E$9+1,1))</f>
        <v>250.1520902752946</v>
      </c>
      <c r="T143" s="59">
        <f t="shared" si="142"/>
        <v>258.01144895030291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48.448451725596293</v>
      </c>
      <c r="AA143" s="21">
        <f>EXP(-LN(2)/25)*AA142+(1-EXP(-LN(2)/25))/(LN(2)/25)*Calculateur!V143*Calculateur!X143*VLOOKUP('Données projet'!$B$9,Paramètres!$A$1:$I$89,3,0)*0.475*44/12</f>
        <v>5.2036227002863669</v>
      </c>
      <c r="AB143" s="21">
        <f>EXP(-LN(2)/2)*AB142+(1-EXP(-LN(2)/2))/(LN(2)/2)*V143*Y143*VLOOKUP('Données projet'!$B$9,Paramètres!$A$1:$I$89,3,0)*0.475*44/12</f>
        <v>2.7847773180062744E-11</v>
      </c>
      <c r="AC143" s="22">
        <f t="shared" si="111"/>
        <v>53.652074425910506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141.51368882763865</v>
      </c>
      <c r="AO143" s="59">
        <f t="shared" si="144"/>
        <v>156.34514945935399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18.698829259624272</v>
      </c>
      <c r="AV143" s="21">
        <f>EXP(-LN(2)/25)*AV142+(1-EXP(-LN(2)/25))/(LN(2)/25)*Calculateur!AQ143*Calculateur!AS143*VLOOKUP('Données projet'!$B$10,Paramètres!$A$1:$I$89,3,0)*0.475*44/12</f>
        <v>6.4865121253445741</v>
      </c>
      <c r="AW143" s="21">
        <f>EXP(-LN(2)/2)*AW142+(1-EXP(-LN(2)/2))/(LN(2)/2)*AQ143*AT143*VLOOKUP('Données projet'!$B$10,Paramètres!$A$1:$I$89,3,0)*0.475*44/12</f>
        <v>5.0034630312840817E-11</v>
      </c>
      <c r="AX143" s="21">
        <f t="shared" si="114"/>
        <v>25.18534138501888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6.3550942286383367E-14</v>
      </c>
      <c r="P144" s="13">
        <f t="shared" si="141"/>
        <v>1.0064464192543978E-12</v>
      </c>
      <c r="Q144" s="20">
        <f t="shared" si="108"/>
        <v>1.8635787380168604E-12</v>
      </c>
      <c r="R144" s="59">
        <f t="shared" si="109"/>
        <v>293.33333333333519</v>
      </c>
      <c r="S144" s="59">
        <f ca="1">AVERAGE(OFFSET($R$3,0,0,'Données projet'!$E$9+1,1))-AVERAGE(OFFSET($H$3,0,0,'Données projet'!$E$9+1,1))</f>
        <v>250.1520902752946</v>
      </c>
      <c r="T144" s="59">
        <f t="shared" si="142"/>
        <v>258.01144895030291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47.498407137895022</v>
      </c>
      <c r="AA144" s="21">
        <f>EXP(-LN(2)/25)*AA143+(1-EXP(-LN(2)/25))/(LN(2)/25)*Calculateur!V144*Calculateur!X144*VLOOKUP('Données projet'!$B$9,Paramètres!$A$1:$I$89,3,0)*0.475*44/12</f>
        <v>5.0613293639004118</v>
      </c>
      <c r="AB144" s="21">
        <f>EXP(-LN(2)/2)*AB143+(1-EXP(-LN(2)/2))/(LN(2)/2)*V144*Y144*VLOOKUP('Données projet'!$B$9,Paramètres!$A$1:$I$89,3,0)*0.475*44/12</f>
        <v>1.9691349256567233E-11</v>
      </c>
      <c r="AC144" s="22">
        <f t="shared" si="111"/>
        <v>52.559736501815124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141.51368882763865</v>
      </c>
      <c r="AO144" s="59">
        <f t="shared" si="144"/>
        <v>156.34514945935399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18.332156623002721</v>
      </c>
      <c r="AV144" s="21">
        <f>EXP(-LN(2)/25)*AV143+(1-EXP(-LN(2)/25))/(LN(2)/25)*Calculateur!AQ144*Calculateur!AS144*VLOOKUP('Données projet'!$B$10,Paramètres!$A$1:$I$89,3,0)*0.475*44/12</f>
        <v>6.3091381101661792</v>
      </c>
      <c r="AW144" s="21">
        <f>EXP(-LN(2)/2)*AW143+(1-EXP(-LN(2)/2))/(LN(2)/2)*AQ144*AT144*VLOOKUP('Données projet'!$B$10,Paramètres!$A$1:$I$89,3,0)*0.475*44/12</f>
        <v>3.5379826388371729E-11</v>
      </c>
      <c r="AX144" s="21">
        <f t="shared" si="114"/>
        <v>24.64129473320428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6.3550942286383367E-14</v>
      </c>
      <c r="P145" s="13">
        <f t="shared" si="141"/>
        <v>1.0064464192543978E-12</v>
      </c>
      <c r="Q145" s="20">
        <f t="shared" si="108"/>
        <v>1.8635787380168604E-12</v>
      </c>
      <c r="R145" s="59">
        <f t="shared" si="109"/>
        <v>293.33333333333519</v>
      </c>
      <c r="S145" s="59">
        <f ca="1">AVERAGE(OFFSET($R$3,0,0,'Données projet'!$E$9+1,1))-AVERAGE(OFFSET($H$3,0,0,'Données projet'!$E$9+1,1))</f>
        <v>250.1520902752946</v>
      </c>
      <c r="T145" s="59">
        <f t="shared" si="142"/>
        <v>258.01144895030291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46.566992345088586</v>
      </c>
      <c r="AA145" s="21">
        <f>EXP(-LN(2)/25)*AA144+(1-EXP(-LN(2)/25))/(LN(2)/25)*Calculateur!V145*Calculateur!X145*VLOOKUP('Données projet'!$B$9,Paramètres!$A$1:$I$89,3,0)*0.475*44/12</f>
        <v>4.9229270462808117</v>
      </c>
      <c r="AB145" s="21">
        <f>EXP(-LN(2)/2)*AB144+(1-EXP(-LN(2)/2))/(LN(2)/2)*V145*Y145*VLOOKUP('Données projet'!$B$9,Paramètres!$A$1:$I$89,3,0)*0.475*44/12</f>
        <v>1.3923886590031372E-11</v>
      </c>
      <c r="AC145" s="22">
        <f t="shared" si="111"/>
        <v>51.489919391383324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141.51368882763865</v>
      </c>
      <c r="AO145" s="59">
        <f t="shared" si="144"/>
        <v>156.34514945935399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17.972674213137093</v>
      </c>
      <c r="AV145" s="21">
        <f>EXP(-LN(2)/25)*AV144+(1-EXP(-LN(2)/25))/(LN(2)/25)*Calculateur!AQ145*Calculateur!AS145*VLOOKUP('Données projet'!$B$10,Paramètres!$A$1:$I$89,3,0)*0.475*44/12</f>
        <v>6.1366143967605318</v>
      </c>
      <c r="AW145" s="21">
        <f>EXP(-LN(2)/2)*AW144+(1-EXP(-LN(2)/2))/(LN(2)/2)*AQ145*AT145*VLOOKUP('Données projet'!$B$10,Paramètres!$A$1:$I$89,3,0)*0.475*44/12</f>
        <v>2.5017315156420409E-11</v>
      </c>
      <c r="AX145" s="21">
        <f t="shared" si="114"/>
        <v>24.109288609922643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6.3550942286383367E-14</v>
      </c>
      <c r="P146" s="13">
        <f t="shared" si="141"/>
        <v>1.0064464192543978E-12</v>
      </c>
      <c r="Q146" s="20">
        <f t="shared" si="108"/>
        <v>1.8635787380168604E-12</v>
      </c>
      <c r="R146" s="59">
        <f t="shared" si="109"/>
        <v>293.33333333333519</v>
      </c>
      <c r="S146" s="59">
        <f ca="1">AVERAGE(OFFSET($R$3,0,0,'Données projet'!$E$9+1,1))-AVERAGE(OFFSET($H$3,0,0,'Données projet'!$E$9+1,1))</f>
        <v>250.1520902752946</v>
      </c>
      <c r="T146" s="59">
        <f t="shared" si="142"/>
        <v>258.01144895030291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45.653842028262162</v>
      </c>
      <c r="AA146" s="21">
        <f>EXP(-LN(2)/25)*AA145+(1-EXP(-LN(2)/25))/(LN(2)/25)*Calculateur!V146*Calculateur!X146*VLOOKUP('Données projet'!$B$9,Paramètres!$A$1:$I$89,3,0)*0.475*44/12</f>
        <v>4.7883093473147813</v>
      </c>
      <c r="AB146" s="21">
        <f>EXP(-LN(2)/2)*AB145+(1-EXP(-LN(2)/2))/(LN(2)/2)*V146*Y146*VLOOKUP('Données projet'!$B$9,Paramètres!$A$1:$I$89,3,0)*0.475*44/12</f>
        <v>9.8456746282836165E-12</v>
      </c>
      <c r="AC146" s="22">
        <f t="shared" si="111"/>
        <v>50.442151375586789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141.51368882763865</v>
      </c>
      <c r="AO146" s="59">
        <f t="shared" si="144"/>
        <v>156.34514945935399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17.620241034066314</v>
      </c>
      <c r="AV146" s="21">
        <f>EXP(-LN(2)/25)*AV145+(1-EXP(-LN(2)/25))/(LN(2)/25)*Calculateur!AQ146*Calculateur!AS146*VLOOKUP('Données projet'!$B$10,Paramètres!$A$1:$I$89,3,0)*0.475*44/12</f>
        <v>5.9688083533705889</v>
      </c>
      <c r="AW146" s="21">
        <f>EXP(-LN(2)/2)*AW145+(1-EXP(-LN(2)/2))/(LN(2)/2)*AQ146*AT146*VLOOKUP('Données projet'!$B$10,Paramètres!$A$1:$I$89,3,0)*0.475*44/12</f>
        <v>1.7689913194185865E-11</v>
      </c>
      <c r="AX146" s="21">
        <f t="shared" si="114"/>
        <v>23.58904938745459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6.3550942286383367E-14</v>
      </c>
      <c r="P147" s="13">
        <f t="shared" si="141"/>
        <v>1.0064464192543978E-12</v>
      </c>
      <c r="Q147" s="20">
        <f t="shared" si="108"/>
        <v>1.8635787380168604E-12</v>
      </c>
      <c r="R147" s="59">
        <f t="shared" si="109"/>
        <v>293.33333333333519</v>
      </c>
      <c r="S147" s="59">
        <f ca="1">AVERAGE(OFFSET($R$3,0,0,'Données projet'!$E$9+1,1))-AVERAGE(OFFSET($H$3,0,0,'Données projet'!$E$9+1,1))</f>
        <v>250.1520902752946</v>
      </c>
      <c r="T147" s="59">
        <f t="shared" si="142"/>
        <v>258.01144895030291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44.758598032182007</v>
      </c>
      <c r="AA147" s="21">
        <f>EXP(-LN(2)/25)*AA146+(1-EXP(-LN(2)/25))/(LN(2)/25)*Calculateur!V147*Calculateur!X147*VLOOKUP('Données projet'!$B$9,Paramètres!$A$1:$I$89,3,0)*0.475*44/12</f>
        <v>4.6573727764062136</v>
      </c>
      <c r="AB147" s="21">
        <f>EXP(-LN(2)/2)*AB146+(1-EXP(-LN(2)/2))/(LN(2)/2)*V147*Y147*VLOOKUP('Données projet'!$B$9,Paramètres!$A$1:$I$89,3,0)*0.475*44/12</f>
        <v>6.9619432950156859E-12</v>
      </c>
      <c r="AC147" s="22">
        <f t="shared" si="111"/>
        <v>49.415970808595183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141.51368882763865</v>
      </c>
      <c r="AO147" s="59">
        <f t="shared" si="144"/>
        <v>156.34514945935399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17.274718854674099</v>
      </c>
      <c r="AV147" s="21">
        <f>EXP(-LN(2)/25)*AV146+(1-EXP(-LN(2)/25))/(LN(2)/25)*Calculateur!AQ147*Calculateur!AS147*VLOOKUP('Données projet'!$B$10,Paramètres!$A$1:$I$89,3,0)*0.475*44/12</f>
        <v>5.8055909750616808</v>
      </c>
      <c r="AW147" s="21">
        <f>EXP(-LN(2)/2)*AW146+(1-EXP(-LN(2)/2))/(LN(2)/2)*AQ147*AT147*VLOOKUP('Données projet'!$B$10,Paramètres!$A$1:$I$89,3,0)*0.475*44/12</f>
        <v>1.2508657578210204E-11</v>
      </c>
      <c r="AX147" s="21">
        <f t="shared" si="114"/>
        <v>23.080309829748288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6.3550942286383367E-14</v>
      </c>
      <c r="P148" s="13">
        <f t="shared" si="141"/>
        <v>1.0064464192543978E-12</v>
      </c>
      <c r="Q148" s="20">
        <f t="shared" si="108"/>
        <v>1.8635787380168604E-12</v>
      </c>
      <c r="R148" s="59">
        <f t="shared" si="109"/>
        <v>293.33333333333519</v>
      </c>
      <c r="S148" s="59">
        <f ca="1">AVERAGE(OFFSET($R$3,0,0,'Données projet'!$E$9+1,1))-AVERAGE(OFFSET($H$3,0,0,'Données projet'!$E$9+1,1))</f>
        <v>250.1520902752946</v>
      </c>
      <c r="T148" s="59">
        <f t="shared" si="142"/>
        <v>258.01144895030291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43.880909224820059</v>
      </c>
      <c r="AA148" s="21">
        <f>EXP(-LN(2)/25)*AA147+(1-EXP(-LN(2)/25))/(LN(2)/25)*Calculateur!V148*Calculateur!X148*VLOOKUP('Données projet'!$B$9,Paramètres!$A$1:$I$89,3,0)*0.475*44/12</f>
        <v>4.5300166729147957</v>
      </c>
      <c r="AB148" s="21">
        <f>EXP(-LN(2)/2)*AB147+(1-EXP(-LN(2)/2))/(LN(2)/2)*V148*Y148*VLOOKUP('Données projet'!$B$9,Paramètres!$A$1:$I$89,3,0)*0.475*44/12</f>
        <v>4.9228373141418082E-12</v>
      </c>
      <c r="AC148" s="22">
        <f t="shared" si="111"/>
        <v>48.41092589773978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141.51368882763865</v>
      </c>
      <c r="AO148" s="59">
        <f t="shared" si="144"/>
        <v>156.34514945935399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16.935972154472044</v>
      </c>
      <c r="AV148" s="21">
        <f>EXP(-LN(2)/25)*AV147+(1-EXP(-LN(2)/25))/(LN(2)/25)*Calculateur!AQ148*Calculateur!AS148*VLOOKUP('Données projet'!$B$10,Paramètres!$A$1:$I$89,3,0)*0.475*44/12</f>
        <v>5.6468367845458589</v>
      </c>
      <c r="AW148" s="21">
        <f>EXP(-LN(2)/2)*AW147+(1-EXP(-LN(2)/2))/(LN(2)/2)*AQ148*AT148*VLOOKUP('Données projet'!$B$10,Paramètres!$A$1:$I$89,3,0)*0.475*44/12</f>
        <v>8.8449565970929323E-12</v>
      </c>
      <c r="AX148" s="21">
        <f t="shared" si="114"/>
        <v>22.582808939026748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6.3550942286383367E-14</v>
      </c>
      <c r="P149" s="13">
        <f t="shared" si="141"/>
        <v>1.0064464192543978E-12</v>
      </c>
      <c r="Q149" s="20">
        <f t="shared" si="108"/>
        <v>1.8635787380168604E-12</v>
      </c>
      <c r="R149" s="59">
        <f t="shared" si="109"/>
        <v>293.33333333333519</v>
      </c>
      <c r="S149" s="59">
        <f ca="1">AVERAGE(OFFSET($R$3,0,0,'Données projet'!$E$9+1,1))-AVERAGE(OFFSET($H$3,0,0,'Données projet'!$E$9+1,1))</f>
        <v>250.1520902752946</v>
      </c>
      <c r="T149" s="59">
        <f t="shared" si="142"/>
        <v>258.01144895030291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43.020431359633172</v>
      </c>
      <c r="AA149" s="21">
        <f>EXP(-LN(2)/25)*AA148+(1-EXP(-LN(2)/25))/(LN(2)/25)*Calculateur!V149*Calculateur!X149*VLOOKUP('Données projet'!$B$9,Paramètres!$A$1:$I$89,3,0)*0.475*44/12</f>
        <v>4.4061431287707169</v>
      </c>
      <c r="AB149" s="21">
        <f>EXP(-LN(2)/2)*AB148+(1-EXP(-LN(2)/2))/(LN(2)/2)*V149*Y149*VLOOKUP('Données projet'!$B$9,Paramètres!$A$1:$I$89,3,0)*0.475*44/12</f>
        <v>3.4809716475078429E-12</v>
      </c>
      <c r="AC149" s="22">
        <f t="shared" si="111"/>
        <v>47.426574488407368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141.51368882763865</v>
      </c>
      <c r="AO149" s="59">
        <f t="shared" si="144"/>
        <v>156.34514945935399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16.603868070445866</v>
      </c>
      <c r="AV149" s="21">
        <f>EXP(-LN(2)/25)*AV148+(1-EXP(-LN(2)/25))/(LN(2)/25)*Calculateur!AQ149*Calculateur!AS149*VLOOKUP('Données projet'!$B$10,Paramètres!$A$1:$I$89,3,0)*0.475*44/12</f>
        <v>5.4924237357182122</v>
      </c>
      <c r="AW149" s="21">
        <f>EXP(-LN(2)/2)*AW148+(1-EXP(-LN(2)/2))/(LN(2)/2)*AQ149*AT149*VLOOKUP('Données projet'!$B$10,Paramètres!$A$1:$I$89,3,0)*0.475*44/12</f>
        <v>6.2543287891051022E-12</v>
      </c>
      <c r="AX149" s="21">
        <f t="shared" si="114"/>
        <v>22.096291806170331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6.3550942286383367E-14</v>
      </c>
      <c r="P150" s="13">
        <f t="shared" si="141"/>
        <v>1.0064464192543978E-12</v>
      </c>
      <c r="Q150" s="20">
        <f t="shared" si="108"/>
        <v>1.8635787380168604E-12</v>
      </c>
      <c r="R150" s="59">
        <f t="shared" si="109"/>
        <v>293.33333333333519</v>
      </c>
      <c r="S150" s="59">
        <f ca="1">AVERAGE(OFFSET($R$3,0,0,'Données projet'!$E$9+1,1))-AVERAGE(OFFSET($H$3,0,0,'Données projet'!$E$9+1,1))</f>
        <v>250.1520902752946</v>
      </c>
      <c r="T150" s="59">
        <f t="shared" si="142"/>
        <v>258.01144895030291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42.176826940542924</v>
      </c>
      <c r="AA150" s="21">
        <f>EXP(-LN(2)/25)*AA149+(1-EXP(-LN(2)/25))/(LN(2)/25)*Calculateur!V150*Calculateur!X150*VLOOKUP('Données projet'!$B$9,Paramètres!$A$1:$I$89,3,0)*0.475*44/12</f>
        <v>4.2856569132054849</v>
      </c>
      <c r="AB150" s="21">
        <f>EXP(-LN(2)/2)*AB149+(1-EXP(-LN(2)/2))/(LN(2)/2)*V150*Y150*VLOOKUP('Données projet'!$B$9,Paramètres!$A$1:$I$89,3,0)*0.475*44/12</f>
        <v>2.4614186570709041E-12</v>
      </c>
      <c r="AC150" s="22">
        <f t="shared" si="111"/>
        <v>46.462483853750868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141.51368882763865</v>
      </c>
      <c r="AO150" s="59">
        <f t="shared" si="144"/>
        <v>156.34514945935399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16.278276344943951</v>
      </c>
      <c r="AV150" s="21">
        <f>EXP(-LN(2)/25)*AV149+(1-EXP(-LN(2)/25))/(LN(2)/25)*Calculateur!AQ150*Calculateur!AS150*VLOOKUP('Données projet'!$B$10,Paramètres!$A$1:$I$89,3,0)*0.475*44/12</f>
        <v>5.3422331198309863</v>
      </c>
      <c r="AW150" s="21">
        <f>EXP(-LN(2)/2)*AW149+(1-EXP(-LN(2)/2))/(LN(2)/2)*AQ150*AT150*VLOOKUP('Données projet'!$B$10,Paramètres!$A$1:$I$89,3,0)*0.475*44/12</f>
        <v>4.4224782985464661E-12</v>
      </c>
      <c r="AX150" s="21">
        <f t="shared" si="114"/>
        <v>21.62050946477936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6.3550942286383367E-14</v>
      </c>
      <c r="P151" s="13">
        <f t="shared" si="141"/>
        <v>1.0064464192543978E-12</v>
      </c>
      <c r="Q151" s="20">
        <f t="shared" si="108"/>
        <v>1.8635787380168604E-12</v>
      </c>
      <c r="R151" s="59">
        <f t="shared" si="109"/>
        <v>293.33333333333519</v>
      </c>
      <c r="S151" s="59">
        <f ca="1">AVERAGE(OFFSET($R$3,0,0,'Données projet'!$E$9+1,1))-AVERAGE(OFFSET($H$3,0,0,'Données projet'!$E$9+1,1))</f>
        <v>250.1520902752946</v>
      </c>
      <c r="T151" s="59">
        <f t="shared" si="142"/>
        <v>258.01144895030291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41.349765089563149</v>
      </c>
      <c r="AA151" s="21">
        <f>EXP(-LN(2)/25)*AA150+(1-EXP(-LN(2)/25))/(LN(2)/25)*Calculateur!V151*Calculateur!X151*VLOOKUP('Données projet'!$B$9,Paramètres!$A$1:$I$89,3,0)*0.475*44/12</f>
        <v>4.1684653995409793</v>
      </c>
      <c r="AB151" s="21">
        <f>EXP(-LN(2)/2)*AB150+(1-EXP(-LN(2)/2))/(LN(2)/2)*V151*Y151*VLOOKUP('Données projet'!$B$9,Paramètres!$A$1:$I$89,3,0)*0.475*44/12</f>
        <v>1.7404858237539215E-12</v>
      </c>
      <c r="AC151" s="22">
        <f t="shared" si="111"/>
        <v>45.518230489105868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141.51368882763865</v>
      </c>
      <c r="AO151" s="59">
        <f t="shared" si="144"/>
        <v>156.34514945935399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15.959069274587787</v>
      </c>
      <c r="AV151" s="21">
        <f>EXP(-LN(2)/25)*AV150+(1-EXP(-LN(2)/25))/(LN(2)/25)*Calculateur!AQ151*Calculateur!AS151*VLOOKUP('Données projet'!$B$10,Paramètres!$A$1:$I$89,3,0)*0.475*44/12</f>
        <v>5.196149474233378</v>
      </c>
      <c r="AW151" s="21">
        <f>EXP(-LN(2)/2)*AW150+(1-EXP(-LN(2)/2))/(LN(2)/2)*AQ151*AT151*VLOOKUP('Données projet'!$B$10,Paramètres!$A$1:$I$89,3,0)*0.475*44/12</f>
        <v>3.1271643945525511E-12</v>
      </c>
      <c r="AX151" s="21">
        <f t="shared" si="114"/>
        <v>21.155218748824289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6.3550942286383367E-14</v>
      </c>
      <c r="P152" s="13">
        <f t="shared" si="141"/>
        <v>1.0064464192543978E-12</v>
      </c>
      <c r="Q152" s="20">
        <f t="shared" si="108"/>
        <v>1.8635787380168604E-12</v>
      </c>
      <c r="R152" s="59">
        <f t="shared" si="109"/>
        <v>293.33333333333519</v>
      </c>
      <c r="S152" s="59">
        <f ca="1">AVERAGE(OFFSET($R$3,0,0,'Données projet'!$E$9+1,1))-AVERAGE(OFFSET($H$3,0,0,'Données projet'!$E$9+1,1))</f>
        <v>250.1520902752946</v>
      </c>
      <c r="T152" s="59">
        <f t="shared" si="142"/>
        <v>258.01144895030291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40.538921417023168</v>
      </c>
      <c r="AA152" s="21">
        <f>EXP(-LN(2)/25)*AA151+(1-EXP(-LN(2)/25))/(LN(2)/25)*Calculateur!V152*Calculateur!X152*VLOOKUP('Données projet'!$B$9,Paramètres!$A$1:$I$89,3,0)*0.475*44/12</f>
        <v>4.0544784939804632</v>
      </c>
      <c r="AB152" s="21">
        <f>EXP(-LN(2)/2)*AB151+(1-EXP(-LN(2)/2))/(LN(2)/2)*V152*Y152*VLOOKUP('Données projet'!$B$9,Paramètres!$A$1:$I$89,3,0)*0.475*44/12</f>
        <v>1.2307093285354521E-12</v>
      </c>
      <c r="AC152" s="22">
        <f t="shared" si="111"/>
        <v>44.593399911004859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141.51368882763865</v>
      </c>
      <c r="AO152" s="59">
        <f t="shared" si="144"/>
        <v>156.34514945935399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15.646121660184217</v>
      </c>
      <c r="AV152" s="21">
        <f>EXP(-LN(2)/25)*AV151+(1-EXP(-LN(2)/25))/(LN(2)/25)*Calculateur!AQ152*Calculateur!AS152*VLOOKUP('Données projet'!$B$10,Paramètres!$A$1:$I$89,3,0)*0.475*44/12</f>
        <v>5.0540604936068414</v>
      </c>
      <c r="AW152" s="21">
        <f>EXP(-LN(2)/2)*AW151+(1-EXP(-LN(2)/2))/(LN(2)/2)*AQ152*AT152*VLOOKUP('Données projet'!$B$10,Paramètres!$A$1:$I$89,3,0)*0.475*44/12</f>
        <v>2.2112391492732331E-12</v>
      </c>
      <c r="AX152" s="21">
        <f t="shared" si="114"/>
        <v>20.700182153793268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6.3550942286383367E-14</v>
      </c>
      <c r="P153" s="13">
        <f t="shared" si="141"/>
        <v>1.0064464192543978E-12</v>
      </c>
      <c r="Q153" s="20">
        <f t="shared" si="108"/>
        <v>1.8635787380168604E-12</v>
      </c>
      <c r="R153" s="59">
        <f t="shared" si="109"/>
        <v>293.33333333333519</v>
      </c>
      <c r="S153" s="59">
        <f ca="1">AVERAGE(OFFSET($R$3,0,0,'Données projet'!$E$9+1,1))-AVERAGE(OFFSET($H$3,0,0,'Données projet'!$E$9+1,1))</f>
        <v>250.1520902752946</v>
      </c>
      <c r="T153" s="59">
        <f t="shared" si="142"/>
        <v>258.01144895030291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39.743977894335892</v>
      </c>
      <c r="AA153" s="21">
        <f>EXP(-LN(2)/25)*AA152+(1-EXP(-LN(2)/25))/(LN(2)/25)*Calculateur!V153*Calculateur!X153*VLOOKUP('Données projet'!$B$9,Paramètres!$A$1:$I$89,3,0)*0.475*44/12</f>
        <v>3.9436085663468101</v>
      </c>
      <c r="AB153" s="21">
        <f>EXP(-LN(2)/2)*AB152+(1-EXP(-LN(2)/2))/(LN(2)/2)*V153*Y153*VLOOKUP('Données projet'!$B$9,Paramètres!$A$1:$I$89,3,0)*0.475*44/12</f>
        <v>8.7024291187696074E-13</v>
      </c>
      <c r="AC153" s="22">
        <f t="shared" si="111"/>
        <v>43.687586460683569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141.51368882763865</v>
      </c>
      <c r="AO153" s="59">
        <f t="shared" si="144"/>
        <v>156.34514945935399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15.339310757619906</v>
      </c>
      <c r="AV153" s="21">
        <f>EXP(-LN(2)/25)*AV152+(1-EXP(-LN(2)/25))/(LN(2)/25)*Calculateur!AQ153*Calculateur!AS153*VLOOKUP('Données projet'!$B$10,Paramètres!$A$1:$I$89,3,0)*0.475*44/12</f>
        <v>4.9158569436276718</v>
      </c>
      <c r="AW153" s="21">
        <f>EXP(-LN(2)/2)*AW152+(1-EXP(-LN(2)/2))/(LN(2)/2)*AQ153*AT153*VLOOKUP('Données projet'!$B$10,Paramètres!$A$1:$I$89,3,0)*0.475*44/12</f>
        <v>1.5635821972762755E-12</v>
      </c>
      <c r="AX153" s="21">
        <f t="shared" si="114"/>
        <v>20.255167701249142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6.3550942286383367E-14</v>
      </c>
      <c r="P154" s="13">
        <f t="shared" si="141"/>
        <v>1.0064464192543978E-12</v>
      </c>
      <c r="Q154" s="20">
        <f t="shared" ref="Q154:Q203" si="162">(O154+P154)*0.475*44/12</f>
        <v>1.8635787380168604E-12</v>
      </c>
      <c r="R154" s="59">
        <f t="shared" si="109"/>
        <v>293.33333333333519</v>
      </c>
      <c r="S154" s="59">
        <f ca="1">AVERAGE(OFFSET($R$3,0,0,'Données projet'!$E$9+1,1))-AVERAGE(OFFSET($H$3,0,0,'Données projet'!$E$9+1,1))</f>
        <v>250.1520902752946</v>
      </c>
      <c r="T154" s="59">
        <f t="shared" si="142"/>
        <v>258.01144895030291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38.964622729260839</v>
      </c>
      <c r="AA154" s="21">
        <f>EXP(-LN(2)/25)*AA153+(1-EXP(-LN(2)/25))/(LN(2)/25)*Calculateur!V154*Calculateur!X154*VLOOKUP('Données projet'!$B$9,Paramètres!$A$1:$I$89,3,0)*0.475*44/12</f>
        <v>3.8357703827146952</v>
      </c>
      <c r="AB154" s="21">
        <f>EXP(-LN(2)/2)*AB153+(1-EXP(-LN(2)/2))/(LN(2)/2)*V154*Y154*VLOOKUP('Données projet'!$B$9,Paramètres!$A$1:$I$89,3,0)*0.475*44/12</f>
        <v>6.1535466426772603E-13</v>
      </c>
      <c r="AC154" s="22">
        <f t="shared" ref="AC154:AC203" si="163">SUM(Z154:AB154)</f>
        <v>42.800393111976149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141.51368882763865</v>
      </c>
      <c r="AO154" s="59">
        <f t="shared" si="144"/>
        <v>156.34514945935399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15.038516229718708</v>
      </c>
      <c r="AV154" s="21">
        <f>EXP(-LN(2)/25)*AV153+(1-EXP(-LN(2)/25))/(LN(2)/25)*Calculateur!AQ154*Calculateur!AS154*VLOOKUP('Données projet'!$B$10,Paramètres!$A$1:$I$89,3,0)*0.475*44/12</f>
        <v>4.7814325769904915</v>
      </c>
      <c r="AW154" s="21">
        <f>EXP(-LN(2)/2)*AW153+(1-EXP(-LN(2)/2))/(LN(2)/2)*AQ154*AT154*VLOOKUP('Données projet'!$B$10,Paramètres!$A$1:$I$89,3,0)*0.475*44/12</f>
        <v>1.1056195746366165E-12</v>
      </c>
      <c r="AX154" s="21">
        <f t="shared" ref="AX154:AX203" si="166">SUM(AU154:AW154)</f>
        <v>19.819948806710304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6.3550942286383367E-14</v>
      </c>
      <c r="P155" s="13">
        <f t="shared" si="141"/>
        <v>1.0064464192543978E-12</v>
      </c>
      <c r="Q155" s="20">
        <f t="shared" si="162"/>
        <v>1.8635787380168604E-12</v>
      </c>
      <c r="R155" s="59">
        <f t="shared" si="109"/>
        <v>293.33333333333519</v>
      </c>
      <c r="S155" s="59">
        <f ca="1">AVERAGE(OFFSET($R$3,0,0,'Données projet'!$E$9+1,1))-AVERAGE(OFFSET($H$3,0,0,'Données projet'!$E$9+1,1))</f>
        <v>250.1520902752946</v>
      </c>
      <c r="T155" s="59">
        <f t="shared" si="142"/>
        <v>258.01144895030291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38.200550243613193</v>
      </c>
      <c r="AA155" s="21">
        <f>EXP(-LN(2)/25)*AA154+(1-EXP(-LN(2)/25))/(LN(2)/25)*Calculateur!V155*Calculateur!X155*VLOOKUP('Données projet'!$B$9,Paramètres!$A$1:$I$89,3,0)*0.475*44/12</f>
        <v>3.7308810398849643</v>
      </c>
      <c r="AB155" s="21">
        <f>EXP(-LN(2)/2)*AB154+(1-EXP(-LN(2)/2))/(LN(2)/2)*V155*Y155*VLOOKUP('Données projet'!$B$9,Paramètres!$A$1:$I$89,3,0)*0.475*44/12</f>
        <v>4.3512145593848037E-13</v>
      </c>
      <c r="AC155" s="22">
        <f t="shared" si="163"/>
        <v>41.93143128349859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141.51368882763865</v>
      </c>
      <c r="AO155" s="59">
        <f t="shared" si="144"/>
        <v>156.34514945935399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14.743620099043106</v>
      </c>
      <c r="AV155" s="21">
        <f>EXP(-LN(2)/25)*AV154+(1-EXP(-LN(2)/25))/(LN(2)/25)*Calculateur!AQ155*Calculateur!AS155*VLOOKUP('Données projet'!$B$10,Paramètres!$A$1:$I$89,3,0)*0.475*44/12</f>
        <v>4.6506840517280752</v>
      </c>
      <c r="AW155" s="21">
        <f>EXP(-LN(2)/2)*AW154+(1-EXP(-LN(2)/2))/(LN(2)/2)*AQ155*AT155*VLOOKUP('Données projet'!$B$10,Paramètres!$A$1:$I$89,3,0)*0.475*44/12</f>
        <v>7.8179109863813777E-13</v>
      </c>
      <c r="AX155" s="21">
        <f t="shared" si="166"/>
        <v>19.394304150771962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6.3550942286383367E-14</v>
      </c>
      <c r="P156" s="13">
        <f t="shared" si="141"/>
        <v>1.0064464192543978E-12</v>
      </c>
      <c r="Q156" s="20">
        <f t="shared" si="162"/>
        <v>1.8635787380168604E-12</v>
      </c>
      <c r="R156" s="59">
        <f t="shared" si="109"/>
        <v>293.33333333333519</v>
      </c>
      <c r="S156" s="59">
        <f ca="1">AVERAGE(OFFSET($R$3,0,0,'Données projet'!$E$9+1,1))-AVERAGE(OFFSET($H$3,0,0,'Données projet'!$E$9+1,1))</f>
        <v>250.1520902752946</v>
      </c>
      <c r="T156" s="59">
        <f t="shared" si="142"/>
        <v>258.01144895030291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37.451460753370903</v>
      </c>
      <c r="AA156" s="21">
        <f>EXP(-LN(2)/25)*AA155+(1-EXP(-LN(2)/25))/(LN(2)/25)*Calculateur!V156*Calculateur!X156*VLOOKUP('Données projet'!$B$9,Paramètres!$A$1:$I$89,3,0)*0.475*44/12</f>
        <v>3.6288599016508032</v>
      </c>
      <c r="AB156" s="21">
        <f>EXP(-LN(2)/2)*AB155+(1-EXP(-LN(2)/2))/(LN(2)/2)*V156*Y156*VLOOKUP('Données projet'!$B$9,Paramètres!$A$1:$I$89,3,0)*0.475*44/12</f>
        <v>3.0767733213386301E-13</v>
      </c>
      <c r="AC156" s="22">
        <f t="shared" si="163"/>
        <v>41.080320655022014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141.51368882763865</v>
      </c>
      <c r="AO156" s="59">
        <f t="shared" si="144"/>
        <v>156.34514945935399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14.454506701621174</v>
      </c>
      <c r="AV156" s="21">
        <f>EXP(-LN(2)/25)*AV155+(1-EXP(-LN(2)/25))/(LN(2)/25)*Calculateur!AQ156*Calculateur!AS156*VLOOKUP('Données projet'!$B$10,Paramètres!$A$1:$I$89,3,0)*0.475*44/12</f>
        <v>4.5235108517647262</v>
      </c>
      <c r="AW156" s="21">
        <f>EXP(-LN(2)/2)*AW155+(1-EXP(-LN(2)/2))/(LN(2)/2)*AQ156*AT156*VLOOKUP('Données projet'!$B$10,Paramètres!$A$1:$I$89,3,0)*0.475*44/12</f>
        <v>5.5280978731830827E-13</v>
      </c>
      <c r="AX156" s="21">
        <f t="shared" si="166"/>
        <v>18.978017553386454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6.3550942286383367E-14</v>
      </c>
      <c r="P157" s="13">
        <f t="shared" si="141"/>
        <v>1.0064464192543978E-12</v>
      </c>
      <c r="Q157" s="20">
        <f t="shared" si="162"/>
        <v>1.8635787380168604E-12</v>
      </c>
      <c r="R157" s="59">
        <f t="shared" si="109"/>
        <v>293.33333333333519</v>
      </c>
      <c r="S157" s="59">
        <f ca="1">AVERAGE(OFFSET($R$3,0,0,'Données projet'!$E$9+1,1))-AVERAGE(OFFSET($H$3,0,0,'Données projet'!$E$9+1,1))</f>
        <v>250.1520902752946</v>
      </c>
      <c r="T157" s="59">
        <f t="shared" si="142"/>
        <v>258.01144895030291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36.717060451132788</v>
      </c>
      <c r="AA157" s="21">
        <f>EXP(-LN(2)/25)*AA156+(1-EXP(-LN(2)/25))/(LN(2)/25)*Calculateur!V157*Calculateur!X157*VLOOKUP('Données projet'!$B$9,Paramètres!$A$1:$I$89,3,0)*0.475*44/12</f>
        <v>3.5296285368067135</v>
      </c>
      <c r="AB157" s="21">
        <f>EXP(-LN(2)/2)*AB156+(1-EXP(-LN(2)/2))/(LN(2)/2)*V157*Y157*VLOOKUP('Données projet'!$B$9,Paramètres!$A$1:$I$89,3,0)*0.475*44/12</f>
        <v>2.1756072796924018E-13</v>
      </c>
      <c r="AC157" s="22">
        <f t="shared" si="163"/>
        <v>40.24668898793972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141.51368882763865</v>
      </c>
      <c r="AO157" s="59">
        <f t="shared" si="144"/>
        <v>156.34514945935399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14.171062641580926</v>
      </c>
      <c r="AV157" s="21">
        <f>EXP(-LN(2)/25)*AV156+(1-EXP(-LN(2)/25))/(LN(2)/25)*Calculateur!AQ157*Calculateur!AS157*VLOOKUP('Données projet'!$B$10,Paramètres!$A$1:$I$89,3,0)*0.475*44/12</f>
        <v>4.3998152096421226</v>
      </c>
      <c r="AW157" s="21">
        <f>EXP(-LN(2)/2)*AW156+(1-EXP(-LN(2)/2))/(LN(2)/2)*AQ157*AT157*VLOOKUP('Données projet'!$B$10,Paramètres!$A$1:$I$89,3,0)*0.475*44/12</f>
        <v>3.9089554931906888E-13</v>
      </c>
      <c r="AX157" s="21">
        <f t="shared" si="166"/>
        <v>18.57087785122344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6.3550942286383367E-14</v>
      </c>
      <c r="P158" s="13">
        <f t="shared" si="141"/>
        <v>1.0064464192543978E-12</v>
      </c>
      <c r="Q158" s="20">
        <f t="shared" si="162"/>
        <v>1.8635787380168604E-12</v>
      </c>
      <c r="R158" s="59">
        <f t="shared" si="109"/>
        <v>293.33333333333519</v>
      </c>
      <c r="S158" s="59">
        <f ca="1">AVERAGE(OFFSET($R$3,0,0,'Données projet'!$E$9+1,1))-AVERAGE(OFFSET($H$3,0,0,'Données projet'!$E$9+1,1))</f>
        <v>250.1520902752946</v>
      </c>
      <c r="T158" s="59">
        <f t="shared" si="142"/>
        <v>258.01144895030291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35.997061290881611</v>
      </c>
      <c r="AA158" s="21">
        <f>EXP(-LN(2)/25)*AA157+(1-EXP(-LN(2)/25))/(LN(2)/25)*Calculateur!V158*Calculateur!X158*VLOOKUP('Données projet'!$B$9,Paramètres!$A$1:$I$89,3,0)*0.475*44/12</f>
        <v>3.4331106588526361</v>
      </c>
      <c r="AB158" s="21">
        <f>EXP(-LN(2)/2)*AB157+(1-EXP(-LN(2)/2))/(LN(2)/2)*V158*Y158*VLOOKUP('Données projet'!$B$9,Paramètres!$A$1:$I$89,3,0)*0.475*44/12</f>
        <v>1.5383866606693151E-13</v>
      </c>
      <c r="AC158" s="22">
        <f t="shared" si="163"/>
        <v>39.430171949734401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141.51368882763865</v>
      </c>
      <c r="AO158" s="59">
        <f t="shared" si="144"/>
        <v>156.34514945935399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13.893176746674261</v>
      </c>
      <c r="AV158" s="21">
        <f>EXP(-LN(2)/25)*AV157+(1-EXP(-LN(2)/25))/(LN(2)/25)*Calculateur!AQ158*Calculateur!AS158*VLOOKUP('Données projet'!$B$10,Paramètres!$A$1:$I$89,3,0)*0.475*44/12</f>
        <v>4.2795020313582324</v>
      </c>
      <c r="AW158" s="21">
        <f>EXP(-LN(2)/2)*AW157+(1-EXP(-LN(2)/2))/(LN(2)/2)*AQ158*AT158*VLOOKUP('Données projet'!$B$10,Paramètres!$A$1:$I$89,3,0)*0.475*44/12</f>
        <v>2.7640489365915413E-13</v>
      </c>
      <c r="AX158" s="21">
        <f t="shared" si="166"/>
        <v>18.172678778032768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6.3550942286383367E-14</v>
      </c>
      <c r="P159" s="13">
        <f t="shared" si="141"/>
        <v>1.0064464192543978E-12</v>
      </c>
      <c r="Q159" s="20">
        <f t="shared" si="162"/>
        <v>1.8635787380168604E-12</v>
      </c>
      <c r="R159" s="59">
        <f t="shared" si="109"/>
        <v>293.33333333333519</v>
      </c>
      <c r="S159" s="59">
        <f ca="1">AVERAGE(OFFSET($R$3,0,0,'Données projet'!$E$9+1,1))-AVERAGE(OFFSET($H$3,0,0,'Données projet'!$E$9+1,1))</f>
        <v>250.1520902752946</v>
      </c>
      <c r="T159" s="59">
        <f t="shared" si="142"/>
        <v>258.01144895030291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35.29118087500683</v>
      </c>
      <c r="AA159" s="21">
        <f>EXP(-LN(2)/25)*AA158+(1-EXP(-LN(2)/25))/(LN(2)/25)*Calculateur!V159*Calculateur!X159*VLOOKUP('Données projet'!$B$9,Paramètres!$A$1:$I$89,3,0)*0.475*44/12</f>
        <v>3.3392320673468676</v>
      </c>
      <c r="AB159" s="21">
        <f>EXP(-LN(2)/2)*AB158+(1-EXP(-LN(2)/2))/(LN(2)/2)*V159*Y159*VLOOKUP('Données projet'!$B$9,Paramètres!$A$1:$I$89,3,0)*0.475*44/12</f>
        <v>1.0878036398462009E-13</v>
      </c>
      <c r="AC159" s="22">
        <f t="shared" si="163"/>
        <v>38.630412942353807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141.51368882763865</v>
      </c>
      <c r="AO159" s="59">
        <f t="shared" si="144"/>
        <v>156.34514945935399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13.620740024673056</v>
      </c>
      <c r="AV159" s="21">
        <f>EXP(-LN(2)/25)*AV158+(1-EXP(-LN(2)/25))/(LN(2)/25)*Calculateur!AQ159*Calculateur!AS159*VLOOKUP('Données projet'!$B$10,Paramètres!$A$1:$I$89,3,0)*0.475*44/12</f>
        <v>4.1624788232615106</v>
      </c>
      <c r="AW159" s="21">
        <f>EXP(-LN(2)/2)*AW158+(1-EXP(-LN(2)/2))/(LN(2)/2)*AQ159*AT159*VLOOKUP('Données projet'!$B$10,Paramètres!$A$1:$I$89,3,0)*0.475*44/12</f>
        <v>1.9544777465953444E-13</v>
      </c>
      <c r="AX159" s="21">
        <f t="shared" si="166"/>
        <v>17.783218847934762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6.3550942286383367E-14</v>
      </c>
      <c r="P160" s="13">
        <f t="shared" si="141"/>
        <v>1.0064464192543978E-12</v>
      </c>
      <c r="Q160" s="20">
        <f t="shared" si="162"/>
        <v>1.8635787380168604E-12</v>
      </c>
      <c r="R160" s="59">
        <f t="shared" si="109"/>
        <v>293.33333333333519</v>
      </c>
      <c r="S160" s="59">
        <f ca="1">AVERAGE(OFFSET($R$3,0,0,'Données projet'!$E$9+1,1))-AVERAGE(OFFSET($H$3,0,0,'Données projet'!$E$9+1,1))</f>
        <v>250.1520902752946</v>
      </c>
      <c r="T160" s="59">
        <f t="shared" si="142"/>
        <v>258.01144895030291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34.599142343542816</v>
      </c>
      <c r="AA160" s="21">
        <f>EXP(-LN(2)/25)*AA159+(1-EXP(-LN(2)/25))/(LN(2)/25)*Calculateur!V160*Calculateur!X160*VLOOKUP('Données projet'!$B$9,Paramètres!$A$1:$I$89,3,0)*0.475*44/12</f>
        <v>3.2479205908626851</v>
      </c>
      <c r="AB160" s="21">
        <f>EXP(-LN(2)/2)*AB159+(1-EXP(-LN(2)/2))/(LN(2)/2)*V160*Y160*VLOOKUP('Données projet'!$B$9,Paramètres!$A$1:$I$89,3,0)*0.475*44/12</f>
        <v>7.6919333033465754E-14</v>
      </c>
      <c r="AC160" s="22">
        <f t="shared" si="163"/>
        <v>37.847062934405578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141.51368882763865</v>
      </c>
      <c r="AO160" s="59">
        <f t="shared" si="144"/>
        <v>156.34514945935399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13.353645620620302</v>
      </c>
      <c r="AV160" s="21">
        <f>EXP(-LN(2)/25)*AV159+(1-EXP(-LN(2)/25))/(LN(2)/25)*Calculateur!AQ160*Calculateur!AS160*VLOOKUP('Données projet'!$B$10,Paramètres!$A$1:$I$89,3,0)*0.475*44/12</f>
        <v>4.0486556209441771</v>
      </c>
      <c r="AW160" s="21">
        <f>EXP(-LN(2)/2)*AW159+(1-EXP(-LN(2)/2))/(LN(2)/2)*AQ160*AT160*VLOOKUP('Données projet'!$B$10,Paramètres!$A$1:$I$89,3,0)*0.475*44/12</f>
        <v>1.3820244682957707E-13</v>
      </c>
      <c r="AX160" s="21">
        <f t="shared" si="166"/>
        <v>17.402301241564619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6.3550942286383367E-14</v>
      </c>
      <c r="P161" s="13">
        <f t="shared" si="141"/>
        <v>1.0064464192543978E-12</v>
      </c>
      <c r="Q161" s="20">
        <f t="shared" si="162"/>
        <v>1.8635787380168604E-12</v>
      </c>
      <c r="R161" s="59">
        <f t="shared" si="109"/>
        <v>293.33333333333519</v>
      </c>
      <c r="S161" s="59">
        <f ca="1">AVERAGE(OFFSET($R$3,0,0,'Données projet'!$E$9+1,1))-AVERAGE(OFFSET($H$3,0,0,'Données projet'!$E$9+1,1))</f>
        <v>250.1520902752946</v>
      </c>
      <c r="T161" s="59">
        <f t="shared" si="142"/>
        <v>258.01144895030291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33.920674265578981</v>
      </c>
      <c r="AA161" s="21">
        <f>EXP(-LN(2)/25)*AA160+(1-EXP(-LN(2)/25))/(LN(2)/25)*Calculateur!V161*Calculateur!X161*VLOOKUP('Données projet'!$B$9,Paramètres!$A$1:$I$89,3,0)*0.475*44/12</f>
        <v>3.1591060315048245</v>
      </c>
      <c r="AB161" s="21">
        <f>EXP(-LN(2)/2)*AB160+(1-EXP(-LN(2)/2))/(LN(2)/2)*V161*Y161*VLOOKUP('Données projet'!$B$9,Paramètres!$A$1:$I$89,3,0)*0.475*44/12</f>
        <v>5.4390181992310046E-14</v>
      </c>
      <c r="AC161" s="22">
        <f t="shared" si="163"/>
        <v>37.079780297083865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141.51368882763865</v>
      </c>
      <c r="AO161" s="59">
        <f t="shared" si="144"/>
        <v>156.34514945935399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13.091788774919522</v>
      </c>
      <c r="AV161" s="21">
        <f>EXP(-LN(2)/25)*AV160+(1-EXP(-LN(2)/25))/(LN(2)/25)*Calculateur!AQ161*Calculateur!AS161*VLOOKUP('Données projet'!$B$10,Paramètres!$A$1:$I$89,3,0)*0.475*44/12</f>
        <v>3.9379449200799126</v>
      </c>
      <c r="AW161" s="21">
        <f>EXP(-LN(2)/2)*AW160+(1-EXP(-LN(2)/2))/(LN(2)/2)*AQ161*AT161*VLOOKUP('Données projet'!$B$10,Paramètres!$A$1:$I$89,3,0)*0.475*44/12</f>
        <v>9.7723887329767221E-14</v>
      </c>
      <c r="AX161" s="21">
        <f t="shared" si="166"/>
        <v>17.029733694999535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6.3550942286383367E-14</v>
      </c>
      <c r="P162" s="13">
        <f t="shared" si="141"/>
        <v>1.0064464192543978E-12</v>
      </c>
      <c r="Q162" s="20">
        <f t="shared" si="162"/>
        <v>1.8635787380168604E-12</v>
      </c>
      <c r="R162" s="59">
        <f t="shared" si="109"/>
        <v>293.33333333333519</v>
      </c>
      <c r="S162" s="59">
        <f ca="1">AVERAGE(OFFSET($R$3,0,0,'Données projet'!$E$9+1,1))-AVERAGE(OFFSET($H$3,0,0,'Données projet'!$E$9+1,1))</f>
        <v>250.1520902752946</v>
      </c>
      <c r="T162" s="59">
        <f t="shared" si="142"/>
        <v>258.01144895030291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33.255510532799356</v>
      </c>
      <c r="AA162" s="21">
        <f>EXP(-LN(2)/25)*AA161+(1-EXP(-LN(2)/25))/(LN(2)/25)*Calculateur!V162*Calculateur!X162*VLOOKUP('Données projet'!$B$9,Paramètres!$A$1:$I$89,3,0)*0.475*44/12</f>
        <v>3.072720110943159</v>
      </c>
      <c r="AB162" s="21">
        <f>EXP(-LN(2)/2)*AB161+(1-EXP(-LN(2)/2))/(LN(2)/2)*V162*Y162*VLOOKUP('Données projet'!$B$9,Paramètres!$A$1:$I$89,3,0)*0.475*44/12</f>
        <v>3.8459666516732877E-14</v>
      </c>
      <c r="AC162" s="22">
        <f t="shared" si="163"/>
        <v>36.32823064374255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141.51368882763865</v>
      </c>
      <c r="AO162" s="59">
        <f t="shared" si="144"/>
        <v>156.34514945935399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12.835066782246029</v>
      </c>
      <c r="AV162" s="21">
        <f>EXP(-LN(2)/25)*AV161+(1-EXP(-LN(2)/25))/(LN(2)/25)*Calculateur!AQ162*Calculateur!AS162*VLOOKUP('Données projet'!$B$10,Paramètres!$A$1:$I$89,3,0)*0.475*44/12</f>
        <v>3.8302616091528043</v>
      </c>
      <c r="AW162" s="21">
        <f>EXP(-LN(2)/2)*AW161+(1-EXP(-LN(2)/2))/(LN(2)/2)*AQ162*AT162*VLOOKUP('Données projet'!$B$10,Paramètres!$A$1:$I$89,3,0)*0.475*44/12</f>
        <v>6.9101223414788533E-14</v>
      </c>
      <c r="AX162" s="21">
        <f t="shared" si="166"/>
        <v>16.665328391398901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6.3550942286383367E-14</v>
      </c>
      <c r="P163" s="13">
        <f t="shared" si="141"/>
        <v>1.0064464192543978E-12</v>
      </c>
      <c r="Q163" s="20">
        <f t="shared" si="162"/>
        <v>1.8635787380168604E-12</v>
      </c>
      <c r="R163" s="59">
        <f t="shared" si="109"/>
        <v>293.33333333333519</v>
      </c>
      <c r="S163" s="59">
        <f ca="1">AVERAGE(OFFSET($R$3,0,0,'Données projet'!$E$9+1,1))-AVERAGE(OFFSET($H$3,0,0,'Données projet'!$E$9+1,1))</f>
        <v>250.1520902752946</v>
      </c>
      <c r="T163" s="59">
        <f t="shared" si="142"/>
        <v>258.01144895030291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32.603390255109723</v>
      </c>
      <c r="AA163" s="21">
        <f>EXP(-LN(2)/25)*AA162+(1-EXP(-LN(2)/25))/(LN(2)/25)*Calculateur!V163*Calculateur!X163*VLOOKUP('Données projet'!$B$9,Paramètres!$A$1:$I$89,3,0)*0.475*44/12</f>
        <v>2.9886964179220903</v>
      </c>
      <c r="AB163" s="21">
        <f>EXP(-LN(2)/2)*AB162+(1-EXP(-LN(2)/2))/(LN(2)/2)*V163*Y163*VLOOKUP('Données projet'!$B$9,Paramètres!$A$1:$I$89,3,0)*0.475*44/12</f>
        <v>2.7195090996155023E-14</v>
      </c>
      <c r="AC163" s="22">
        <f t="shared" si="163"/>
        <v>35.592086673031844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141.51368882763865</v>
      </c>
      <c r="AO163" s="59">
        <f t="shared" si="144"/>
        <v>156.34514945935399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12.58337895126391</v>
      </c>
      <c r="AV163" s="21">
        <f>EXP(-LN(2)/25)*AV162+(1-EXP(-LN(2)/25))/(LN(2)/25)*Calculateur!AQ163*Calculateur!AS163*VLOOKUP('Données projet'!$B$10,Paramètres!$A$1:$I$89,3,0)*0.475*44/12</f>
        <v>3.7255229040258171</v>
      </c>
      <c r="AW163" s="21">
        <f>EXP(-LN(2)/2)*AW162+(1-EXP(-LN(2)/2))/(LN(2)/2)*AQ163*AT163*VLOOKUP('Données projet'!$B$10,Paramètres!$A$1:$I$89,3,0)*0.475*44/12</f>
        <v>4.8861943664883611E-14</v>
      </c>
      <c r="AX163" s="21">
        <f t="shared" si="166"/>
        <v>16.308901855289776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6.3550942286383367E-14</v>
      </c>
      <c r="P164" s="13">
        <f t="shared" si="141"/>
        <v>1.0064464192543978E-12</v>
      </c>
      <c r="Q164" s="20">
        <f t="shared" si="162"/>
        <v>1.8635787380168604E-12</v>
      </c>
      <c r="R164" s="59">
        <f t="shared" si="109"/>
        <v>293.33333333333519</v>
      </c>
      <c r="S164" s="59">
        <f ca="1">AVERAGE(OFFSET($R$3,0,0,'Données projet'!$E$9+1,1))-AVERAGE(OFFSET($H$3,0,0,'Données projet'!$E$9+1,1))</f>
        <v>250.1520902752946</v>
      </c>
      <c r="T164" s="59">
        <f t="shared" si="142"/>
        <v>258.01144895030291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31.964057658311486</v>
      </c>
      <c r="AA164" s="21">
        <f>EXP(-LN(2)/25)*AA163+(1-EXP(-LN(2)/25))/(LN(2)/25)*Calculateur!V164*Calculateur!X164*VLOOKUP('Données projet'!$B$9,Paramètres!$A$1:$I$89,3,0)*0.475*44/12</f>
        <v>2.9069703572052967</v>
      </c>
      <c r="AB164" s="21">
        <f>EXP(-LN(2)/2)*AB163+(1-EXP(-LN(2)/2))/(LN(2)/2)*V164*Y164*VLOOKUP('Données projet'!$B$9,Paramètres!$A$1:$I$89,3,0)*0.475*44/12</f>
        <v>1.9229833258366438E-14</v>
      </c>
      <c r="AC164" s="22">
        <f t="shared" si="163"/>
        <v>34.871028015516806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141.51368882763865</v>
      </c>
      <c r="AO164" s="59">
        <f t="shared" si="144"/>
        <v>156.34514945935399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12.336626565132931</v>
      </c>
      <c r="AV164" s="21">
        <f>EXP(-LN(2)/25)*AV163+(1-EXP(-LN(2)/25))/(LN(2)/25)*Calculateur!AQ164*Calculateur!AS164*VLOOKUP('Données projet'!$B$10,Paramètres!$A$1:$I$89,3,0)*0.475*44/12</f>
        <v>3.6236482842984965</v>
      </c>
      <c r="AW164" s="21">
        <f>EXP(-LN(2)/2)*AW163+(1-EXP(-LN(2)/2))/(LN(2)/2)*AQ164*AT164*VLOOKUP('Données projet'!$B$10,Paramètres!$A$1:$I$89,3,0)*0.475*44/12</f>
        <v>3.4550611707394267E-14</v>
      </c>
      <c r="AX164" s="21">
        <f t="shared" si="166"/>
        <v>15.960274849431462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6.3550942286383367E-14</v>
      </c>
      <c r="P165" s="13">
        <f t="shared" si="141"/>
        <v>1.0064464192543978E-12</v>
      </c>
      <c r="Q165" s="20">
        <f t="shared" si="162"/>
        <v>1.8635787380168604E-12</v>
      </c>
      <c r="R165" s="59">
        <f t="shared" si="109"/>
        <v>293.33333333333519</v>
      </c>
      <c r="S165" s="59">
        <f ca="1">AVERAGE(OFFSET($R$3,0,0,'Données projet'!$E$9+1,1))-AVERAGE(OFFSET($H$3,0,0,'Données projet'!$E$9+1,1))</f>
        <v>250.1520902752946</v>
      </c>
      <c r="T165" s="59">
        <f t="shared" si="142"/>
        <v>258.01144895030291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31.337261983782085</v>
      </c>
      <c r="AA165" s="21">
        <f>EXP(-LN(2)/25)*AA164+(1-EXP(-LN(2)/25))/(LN(2)/25)*Calculateur!V165*Calculateur!X165*VLOOKUP('Données projet'!$B$9,Paramètres!$A$1:$I$89,3,0)*0.475*44/12</f>
        <v>2.8274790999165909</v>
      </c>
      <c r="AB165" s="21">
        <f>EXP(-LN(2)/2)*AB164+(1-EXP(-LN(2)/2))/(LN(2)/2)*V165*Y165*VLOOKUP('Données projet'!$B$9,Paramètres!$A$1:$I$89,3,0)*0.475*44/12</f>
        <v>1.3597545498077512E-14</v>
      </c>
      <c r="AC165" s="22">
        <f t="shared" si="163"/>
        <v>34.164741083698686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141.51368882763865</v>
      </c>
      <c r="AO165" s="59">
        <f t="shared" si="144"/>
        <v>156.34514945935399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12.094712842789887</v>
      </c>
      <c r="AV165" s="21">
        <f>EXP(-LN(2)/25)*AV164+(1-EXP(-LN(2)/25))/(LN(2)/25)*Calculateur!AQ165*Calculateur!AS165*VLOOKUP('Données projet'!$B$10,Paramètres!$A$1:$I$89,3,0)*0.475*44/12</f>
        <v>3.5245594314049726</v>
      </c>
      <c r="AW165" s="21">
        <f>EXP(-LN(2)/2)*AW164+(1-EXP(-LN(2)/2))/(LN(2)/2)*AQ165*AT165*VLOOKUP('Données projet'!$B$10,Paramètres!$A$1:$I$89,3,0)*0.475*44/12</f>
        <v>2.4430971832441805E-14</v>
      </c>
      <c r="AX165" s="21">
        <f t="shared" si="166"/>
        <v>15.619272274194884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6.3550942286383367E-14</v>
      </c>
      <c r="P166" s="13">
        <f t="shared" si="141"/>
        <v>1.0064464192543978E-12</v>
      </c>
      <c r="Q166" s="20">
        <f t="shared" si="162"/>
        <v>1.8635787380168604E-12</v>
      </c>
      <c r="R166" s="59">
        <f t="shared" si="109"/>
        <v>293.33333333333519</v>
      </c>
      <c r="S166" s="59">
        <f ca="1">AVERAGE(OFFSET($R$3,0,0,'Données projet'!$E$9+1,1))-AVERAGE(OFFSET($H$3,0,0,'Données projet'!$E$9+1,1))</f>
        <v>250.1520902752946</v>
      </c>
      <c r="T166" s="59">
        <f t="shared" si="142"/>
        <v>258.01144895030291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30.722757390122592</v>
      </c>
      <c r="AA166" s="21">
        <f>EXP(-LN(2)/25)*AA165+(1-EXP(-LN(2)/25))/(LN(2)/25)*Calculateur!V166*Calculateur!X166*VLOOKUP('Données projet'!$B$9,Paramètres!$A$1:$I$89,3,0)*0.475*44/12</f>
        <v>2.7501615352387083</v>
      </c>
      <c r="AB166" s="21">
        <f>EXP(-LN(2)/2)*AB165+(1-EXP(-LN(2)/2))/(LN(2)/2)*V166*Y166*VLOOKUP('Données projet'!$B$9,Paramètres!$A$1:$I$89,3,0)*0.475*44/12</f>
        <v>9.6149166291832192E-15</v>
      </c>
      <c r="AC166" s="22">
        <f t="shared" si="163"/>
        <v>33.472918925361306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141.51368882763865</v>
      </c>
      <c r="AO166" s="59">
        <f t="shared" si="144"/>
        <v>156.34514945935399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11.85754290098919</v>
      </c>
      <c r="AV166" s="21">
        <f>EXP(-LN(2)/25)*AV165+(1-EXP(-LN(2)/25))/(LN(2)/25)*Calculateur!AQ166*Calculateur!AS166*VLOOKUP('Données projet'!$B$10,Paramètres!$A$1:$I$89,3,0)*0.475*44/12</f>
        <v>3.4281801684046784</v>
      </c>
      <c r="AW166" s="21">
        <f>EXP(-LN(2)/2)*AW165+(1-EXP(-LN(2)/2))/(LN(2)/2)*AQ166*AT166*VLOOKUP('Données projet'!$B$10,Paramètres!$A$1:$I$89,3,0)*0.475*44/12</f>
        <v>1.7275305853697133E-14</v>
      </c>
      <c r="AX166" s="21">
        <f t="shared" si="166"/>
        <v>15.285723069393885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6.3550942286383367E-14</v>
      </c>
      <c r="P167" s="13">
        <f t="shared" si="141"/>
        <v>1.0064464192543978E-12</v>
      </c>
      <c r="Q167" s="20">
        <f t="shared" si="162"/>
        <v>1.8635787380168604E-12</v>
      </c>
      <c r="R167" s="59">
        <f t="shared" si="109"/>
        <v>293.33333333333519</v>
      </c>
      <c r="S167" s="59">
        <f ca="1">AVERAGE(OFFSET($R$3,0,0,'Données projet'!$E$9+1,1))-AVERAGE(OFFSET($H$3,0,0,'Données projet'!$E$9+1,1))</f>
        <v>250.1520902752946</v>
      </c>
      <c r="T167" s="59">
        <f t="shared" si="142"/>
        <v>258.01144895030291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30.120302856733971</v>
      </c>
      <c r="AA167" s="21">
        <f>EXP(-LN(2)/25)*AA166+(1-EXP(-LN(2)/25))/(LN(2)/25)*Calculateur!V167*Calculateur!X167*VLOOKUP('Données projet'!$B$9,Paramètres!$A$1:$I$89,3,0)*0.475*44/12</f>
        <v>2.6749582234328964</v>
      </c>
      <c r="AB167" s="21">
        <f>EXP(-LN(2)/2)*AB166+(1-EXP(-LN(2)/2))/(LN(2)/2)*V167*Y167*VLOOKUP('Données projet'!$B$9,Paramètres!$A$1:$I$89,3,0)*0.475*44/12</f>
        <v>6.7987727490387558E-15</v>
      </c>
      <c r="AC167" s="22">
        <f t="shared" si="163"/>
        <v>32.795261080166874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141.51368882763865</v>
      </c>
      <c r="AO167" s="59">
        <f t="shared" si="144"/>
        <v>156.34514945935399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11.625023717087823</v>
      </c>
      <c r="AV167" s="21">
        <f>EXP(-LN(2)/25)*AV166+(1-EXP(-LN(2)/25))/(LN(2)/25)*Calculateur!AQ167*Calculateur!AS167*VLOOKUP('Données projet'!$B$10,Paramètres!$A$1:$I$89,3,0)*0.475*44/12</f>
        <v>3.3344364014194925</v>
      </c>
      <c r="AW167" s="21">
        <f>EXP(-LN(2)/2)*AW166+(1-EXP(-LN(2)/2))/(LN(2)/2)*AQ167*AT167*VLOOKUP('Données projet'!$B$10,Paramètres!$A$1:$I$89,3,0)*0.475*44/12</f>
        <v>1.2215485916220903E-14</v>
      </c>
      <c r="AX167" s="21">
        <f t="shared" si="166"/>
        <v>14.959460118507328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6.3550942286383367E-14</v>
      </c>
      <c r="P168" s="13">
        <f t="shared" si="141"/>
        <v>1.0064464192543978E-12</v>
      </c>
      <c r="Q168" s="20">
        <f t="shared" si="162"/>
        <v>1.8635787380168604E-12</v>
      </c>
      <c r="R168" s="59">
        <f t="shared" si="109"/>
        <v>293.33333333333519</v>
      </c>
      <c r="S168" s="59">
        <f ca="1">AVERAGE(OFFSET($R$3,0,0,'Données projet'!$E$9+1,1))-AVERAGE(OFFSET($H$3,0,0,'Données projet'!$E$9+1,1))</f>
        <v>250.1520902752946</v>
      </c>
      <c r="T168" s="59">
        <f t="shared" si="142"/>
        <v>258.01144895030291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29.52966208928412</v>
      </c>
      <c r="AA168" s="21">
        <f>EXP(-LN(2)/25)*AA167+(1-EXP(-LN(2)/25))/(LN(2)/25)*Calculateur!V168*Calculateur!X168*VLOOKUP('Données projet'!$B$9,Paramètres!$A$1:$I$89,3,0)*0.475*44/12</f>
        <v>2.6018113501431843</v>
      </c>
      <c r="AB168" s="21">
        <f>EXP(-LN(2)/2)*AB167+(1-EXP(-LN(2)/2))/(LN(2)/2)*V168*Y168*VLOOKUP('Données projet'!$B$9,Paramètres!$A$1:$I$89,3,0)*0.475*44/12</f>
        <v>4.8074583145916096E-15</v>
      </c>
      <c r="AC168" s="22">
        <f t="shared" si="163"/>
        <v>32.13147343942731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141.51368882763865</v>
      </c>
      <c r="AO168" s="59">
        <f t="shared" si="144"/>
        <v>156.34514945935399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11.397064092560063</v>
      </c>
      <c r="AV168" s="21">
        <f>EXP(-LN(2)/25)*AV167+(1-EXP(-LN(2)/25))/(LN(2)/25)*Calculateur!AQ168*Calculateur!AS168*VLOOKUP('Données projet'!$B$10,Paramètres!$A$1:$I$89,3,0)*0.475*44/12</f>
        <v>3.2432560626722871</v>
      </c>
      <c r="AW168" s="21">
        <f>EXP(-LN(2)/2)*AW167+(1-EXP(-LN(2)/2))/(LN(2)/2)*AQ168*AT168*VLOOKUP('Données projet'!$B$10,Paramètres!$A$1:$I$89,3,0)*0.475*44/12</f>
        <v>8.6376529268485667E-15</v>
      </c>
      <c r="AX168" s="21">
        <f t="shared" si="166"/>
        <v>14.640320155232359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6.3550942286383367E-14</v>
      </c>
      <c r="P169" s="13">
        <f t="shared" si="141"/>
        <v>1.0064464192543978E-12</v>
      </c>
      <c r="Q169" s="20">
        <f t="shared" si="162"/>
        <v>1.8635787380168604E-12</v>
      </c>
      <c r="R169" s="59">
        <f t="shared" si="109"/>
        <v>293.33333333333519</v>
      </c>
      <c r="S169" s="59">
        <f ca="1">AVERAGE(OFFSET($R$3,0,0,'Données projet'!$E$9+1,1))-AVERAGE(OFFSET($H$3,0,0,'Données projet'!$E$9+1,1))</f>
        <v>250.1520902752946</v>
      </c>
      <c r="T169" s="59">
        <f t="shared" si="142"/>
        <v>258.01144895030291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28.950603427028664</v>
      </c>
      <c r="AA169" s="21">
        <f>EXP(-LN(2)/25)*AA168+(1-EXP(-LN(2)/25))/(LN(2)/25)*Calculateur!V169*Calculateur!X169*VLOOKUP('Données projet'!$B$9,Paramètres!$A$1:$I$89,3,0)*0.475*44/12</f>
        <v>2.5306646819502068</v>
      </c>
      <c r="AB169" s="21">
        <f>EXP(-LN(2)/2)*AB168+(1-EXP(-LN(2)/2))/(LN(2)/2)*V169*Y169*VLOOKUP('Données projet'!$B$9,Paramètres!$A$1:$I$89,3,0)*0.475*44/12</f>
        <v>3.3993863745193779E-15</v>
      </c>
      <c r="AC169" s="22">
        <f t="shared" si="163"/>
        <v>31.481268108978874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141.51368882763865</v>
      </c>
      <c r="AO169" s="59">
        <f t="shared" si="144"/>
        <v>156.34514945935399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11.173574617227651</v>
      </c>
      <c r="AV169" s="21">
        <f>EXP(-LN(2)/25)*AV168+(1-EXP(-LN(2)/25))/(LN(2)/25)*Calculateur!AQ169*Calculateur!AS169*VLOOKUP('Données projet'!$B$10,Paramètres!$A$1:$I$89,3,0)*0.475*44/12</f>
        <v>3.1545690550830896</v>
      </c>
      <c r="AW169" s="21">
        <f>EXP(-LN(2)/2)*AW168+(1-EXP(-LN(2)/2))/(LN(2)/2)*AQ169*AT169*VLOOKUP('Données projet'!$B$10,Paramètres!$A$1:$I$89,3,0)*0.475*44/12</f>
        <v>6.1077429581104513E-15</v>
      </c>
      <c r="AX169" s="21">
        <f t="shared" si="166"/>
        <v>14.328143672310746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6.3550942286383367E-14</v>
      </c>
      <c r="P170" s="13">
        <f t="shared" si="141"/>
        <v>1.0064464192543978E-12</v>
      </c>
      <c r="Q170" s="20">
        <f t="shared" si="162"/>
        <v>1.8635787380168604E-12</v>
      </c>
      <c r="R170" s="59">
        <f t="shared" si="109"/>
        <v>293.33333333333519</v>
      </c>
      <c r="S170" s="59">
        <f ca="1">AVERAGE(OFFSET($R$3,0,0,'Données projet'!$E$9+1,1))-AVERAGE(OFFSET($H$3,0,0,'Données projet'!$E$9+1,1))</f>
        <v>250.1520902752946</v>
      </c>
      <c r="T170" s="59">
        <f t="shared" si="142"/>
        <v>258.01144895030291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28.382899751949129</v>
      </c>
      <c r="AA170" s="21">
        <f>EXP(-LN(2)/25)*AA169+(1-EXP(-LN(2)/25))/(LN(2)/25)*Calculateur!V170*Calculateur!X170*VLOOKUP('Données projet'!$B$9,Paramètres!$A$1:$I$89,3,0)*0.475*44/12</f>
        <v>2.4614635231404067</v>
      </c>
      <c r="AB170" s="21">
        <f>EXP(-LN(2)/2)*AB169+(1-EXP(-LN(2)/2))/(LN(2)/2)*V170*Y170*VLOOKUP('Données projet'!$B$9,Paramètres!$A$1:$I$89,3,0)*0.475*44/12</f>
        <v>2.4037291572958048E-15</v>
      </c>
      <c r="AC170" s="22">
        <f t="shared" si="163"/>
        <v>30.844363275089538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141.51368882763865</v>
      </c>
      <c r="AO170" s="59">
        <f t="shared" si="144"/>
        <v>156.34514945935399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10.954467634191387</v>
      </c>
      <c r="AV170" s="21">
        <f>EXP(-LN(2)/25)*AV169+(1-EXP(-LN(2)/25))/(LN(2)/25)*Calculateur!AQ170*Calculateur!AS170*VLOOKUP('Données projet'!$B$10,Paramètres!$A$1:$I$89,3,0)*0.475*44/12</f>
        <v>3.0683071983802659</v>
      </c>
      <c r="AW170" s="21">
        <f>EXP(-LN(2)/2)*AW169+(1-EXP(-LN(2)/2))/(LN(2)/2)*AQ170*AT170*VLOOKUP('Données projet'!$B$10,Paramètres!$A$1:$I$89,3,0)*0.475*44/12</f>
        <v>4.3188264634242833E-15</v>
      </c>
      <c r="AX170" s="21">
        <f t="shared" si="166"/>
        <v>14.022774832571656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6.3550942286383367E-14</v>
      </c>
      <c r="P171" s="13">
        <f t="shared" si="141"/>
        <v>1.0064464192543978E-12</v>
      </c>
      <c r="Q171" s="20">
        <f t="shared" si="162"/>
        <v>1.8635787380168604E-12</v>
      </c>
      <c r="R171" s="59">
        <f t="shared" si="109"/>
        <v>293.33333333333519</v>
      </c>
      <c r="S171" s="59">
        <f ca="1">AVERAGE(OFFSET($R$3,0,0,'Données projet'!$E$9+1,1))-AVERAGE(OFFSET($H$3,0,0,'Données projet'!$E$9+1,1))</f>
        <v>250.1520902752946</v>
      </c>
      <c r="T171" s="59">
        <f t="shared" si="142"/>
        <v>258.01144895030291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27.82632839967285</v>
      </c>
      <c r="AA171" s="21">
        <f>EXP(-LN(2)/25)*AA170+(1-EXP(-LN(2)/25))/(LN(2)/25)*Calculateur!V171*Calculateur!X171*VLOOKUP('Données projet'!$B$9,Paramètres!$A$1:$I$89,3,0)*0.475*44/12</f>
        <v>2.3941546736573915</v>
      </c>
      <c r="AB171" s="21">
        <f>EXP(-LN(2)/2)*AB170+(1-EXP(-LN(2)/2))/(LN(2)/2)*V171*Y171*VLOOKUP('Données projet'!$B$9,Paramètres!$A$1:$I$89,3,0)*0.475*44/12</f>
        <v>1.6996931872596889E-15</v>
      </c>
      <c r="AC171" s="22">
        <f t="shared" si="163"/>
        <v>30.220483073330243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141.51368882763865</v>
      </c>
      <c r="AO171" s="59">
        <f t="shared" si="144"/>
        <v>156.34514945935399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10.739657205450401</v>
      </c>
      <c r="AV171" s="21">
        <f>EXP(-LN(2)/25)*AV170+(1-EXP(-LN(2)/25))/(LN(2)/25)*Calculateur!AQ171*Calculateur!AS171*VLOOKUP('Données projet'!$B$10,Paramètres!$A$1:$I$89,3,0)*0.475*44/12</f>
        <v>2.9844041766852945</v>
      </c>
      <c r="AW171" s="21">
        <f>EXP(-LN(2)/2)*AW170+(1-EXP(-LN(2)/2))/(LN(2)/2)*AQ171*AT171*VLOOKUP('Données projet'!$B$10,Paramètres!$A$1:$I$89,3,0)*0.475*44/12</f>
        <v>3.0538714790552257E-15</v>
      </c>
      <c r="AX171" s="21">
        <f t="shared" si="166"/>
        <v>13.724061382135698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6.3550942286383367E-14</v>
      </c>
      <c r="P172" s="13">
        <f t="shared" si="141"/>
        <v>1.0064464192543978E-12</v>
      </c>
      <c r="Q172" s="20">
        <f t="shared" si="162"/>
        <v>1.8635787380168604E-12</v>
      </c>
      <c r="R172" s="59">
        <f t="shared" si="109"/>
        <v>293.33333333333519</v>
      </c>
      <c r="S172" s="59">
        <f ca="1">AVERAGE(OFFSET($R$3,0,0,'Données projet'!$E$9+1,1))-AVERAGE(OFFSET($H$3,0,0,'Données projet'!$E$9+1,1))</f>
        <v>250.1520902752946</v>
      </c>
      <c r="T172" s="59">
        <f t="shared" si="142"/>
        <v>258.01144895030291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27.280671072139704</v>
      </c>
      <c r="AA172" s="21">
        <f>EXP(-LN(2)/25)*AA171+(1-EXP(-LN(2)/25))/(LN(2)/25)*Calculateur!V172*Calculateur!X172*VLOOKUP('Données projet'!$B$9,Paramètres!$A$1:$I$89,3,0)*0.475*44/12</f>
        <v>2.3286863882031077</v>
      </c>
      <c r="AB172" s="21">
        <f>EXP(-LN(2)/2)*AB171+(1-EXP(-LN(2)/2))/(LN(2)/2)*V172*Y172*VLOOKUP('Données projet'!$B$9,Paramètres!$A$1:$I$89,3,0)*0.475*44/12</f>
        <v>1.2018645786479024E-15</v>
      </c>
      <c r="AC172" s="22">
        <f t="shared" si="163"/>
        <v>29.60935746034281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141.51368882763865</v>
      </c>
      <c r="AO172" s="59">
        <f t="shared" si="144"/>
        <v>156.34514945935399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10.529059078195601</v>
      </c>
      <c r="AV172" s="21">
        <f>EXP(-LN(2)/25)*AV171+(1-EXP(-LN(2)/25))/(LN(2)/25)*Calculateur!AQ172*Calculateur!AS172*VLOOKUP('Données projet'!$B$10,Paramètres!$A$1:$I$89,3,0)*0.475*44/12</f>
        <v>2.9027954875308404</v>
      </c>
      <c r="AW172" s="21">
        <f>EXP(-LN(2)/2)*AW171+(1-EXP(-LN(2)/2))/(LN(2)/2)*AQ172*AT172*VLOOKUP('Données projet'!$B$10,Paramètres!$A$1:$I$89,3,0)*0.475*44/12</f>
        <v>2.1594132317121417E-15</v>
      </c>
      <c r="AX172" s="21">
        <f t="shared" si="166"/>
        <v>13.431854565726443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6.3550942286383367E-14</v>
      </c>
      <c r="P173" s="13">
        <f t="shared" si="141"/>
        <v>1.0064464192543978E-12</v>
      </c>
      <c r="Q173" s="20">
        <f t="shared" si="162"/>
        <v>1.8635787380168604E-12</v>
      </c>
      <c r="R173" s="59">
        <f t="shared" si="109"/>
        <v>293.33333333333519</v>
      </c>
      <c r="S173" s="59">
        <f ca="1">AVERAGE(OFFSET($R$3,0,0,'Données projet'!$E$9+1,1))-AVERAGE(OFFSET($H$3,0,0,'Données projet'!$E$9+1,1))</f>
        <v>250.1520902752946</v>
      </c>
      <c r="T173" s="59">
        <f t="shared" si="142"/>
        <v>258.01144895030291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26.745713751981377</v>
      </c>
      <c r="AA173" s="21">
        <f>EXP(-LN(2)/25)*AA172+(1-EXP(-LN(2)/25))/(LN(2)/25)*Calculateur!V173*Calculateur!X173*VLOOKUP('Données projet'!$B$9,Paramètres!$A$1:$I$89,3,0)*0.475*44/12</f>
        <v>2.2650083364573987</v>
      </c>
      <c r="AB173" s="21">
        <f>EXP(-LN(2)/2)*AB172+(1-EXP(-LN(2)/2))/(LN(2)/2)*V173*Y173*VLOOKUP('Données projet'!$B$9,Paramètres!$A$1:$I$89,3,0)*0.475*44/12</f>
        <v>8.4984659362984447E-16</v>
      </c>
      <c r="AC173" s="22">
        <f t="shared" si="163"/>
        <v>29.010722088438776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141.51368882763865</v>
      </c>
      <c r="AO173" s="59">
        <f t="shared" si="144"/>
        <v>156.34514945935399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10.322590651764095</v>
      </c>
      <c r="AV173" s="21">
        <f>EXP(-LN(2)/25)*AV172+(1-EXP(-LN(2)/25))/(LN(2)/25)*Calculateur!AQ173*Calculateur!AS173*VLOOKUP('Données projet'!$B$10,Paramètres!$A$1:$I$89,3,0)*0.475*44/12</f>
        <v>2.8234183922729295</v>
      </c>
      <c r="AW173" s="21">
        <f>EXP(-LN(2)/2)*AW172+(1-EXP(-LN(2)/2))/(LN(2)/2)*AQ173*AT173*VLOOKUP('Données projet'!$B$10,Paramètres!$A$1:$I$89,3,0)*0.475*44/12</f>
        <v>1.5269357395276128E-15</v>
      </c>
      <c r="AX173" s="21">
        <f t="shared" si="166"/>
        <v>13.146009044037026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6.3550942286383367E-14</v>
      </c>
      <c r="P174" s="13">
        <f t="shared" si="141"/>
        <v>1.0064464192543978E-12</v>
      </c>
      <c r="Q174" s="20">
        <f t="shared" si="162"/>
        <v>1.8635787380168604E-12</v>
      </c>
      <c r="R174" s="59">
        <f t="shared" si="109"/>
        <v>293.33333333333519</v>
      </c>
      <c r="S174" s="59">
        <f ca="1">AVERAGE(OFFSET($R$3,0,0,'Données projet'!$E$9+1,1))-AVERAGE(OFFSET($H$3,0,0,'Données projet'!$E$9+1,1))</f>
        <v>250.1520902752946</v>
      </c>
      <c r="T174" s="59">
        <f t="shared" si="142"/>
        <v>258.01144895030291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26.22124661857961</v>
      </c>
      <c r="AA174" s="21">
        <f>EXP(-LN(2)/25)*AA173+(1-EXP(-LN(2)/25))/(LN(2)/25)*Calculateur!V174*Calculateur!X174*VLOOKUP('Données projet'!$B$9,Paramètres!$A$1:$I$89,3,0)*0.475*44/12</f>
        <v>2.2030715643853593</v>
      </c>
      <c r="AB174" s="21">
        <f>EXP(-LN(2)/2)*AB173+(1-EXP(-LN(2)/2))/(LN(2)/2)*V174*Y174*VLOOKUP('Données projet'!$B$9,Paramètres!$A$1:$I$89,3,0)*0.475*44/12</f>
        <v>6.009322893239512E-16</v>
      </c>
      <c r="AC174" s="22">
        <f t="shared" si="163"/>
        <v>28.424318182964967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141.51368882763865</v>
      </c>
      <c r="AO174" s="59">
        <f t="shared" si="144"/>
        <v>156.34514945935399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10.120170945241604</v>
      </c>
      <c r="AV174" s="21">
        <f>EXP(-LN(2)/25)*AV173+(1-EXP(-LN(2)/25))/(LN(2)/25)*Calculateur!AQ174*Calculateur!AS174*VLOOKUP('Données projet'!$B$10,Paramètres!$A$1:$I$89,3,0)*0.475*44/12</f>
        <v>2.7462118678591061</v>
      </c>
      <c r="AW174" s="21">
        <f>EXP(-LN(2)/2)*AW173+(1-EXP(-LN(2)/2))/(LN(2)/2)*AQ174*AT174*VLOOKUP('Données projet'!$B$10,Paramètres!$A$1:$I$89,3,0)*0.475*44/12</f>
        <v>1.0797066158560708E-15</v>
      </c>
      <c r="AX174" s="21">
        <f t="shared" si="166"/>
        <v>12.866382813100712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6.3550942286383367E-14</v>
      </c>
      <c r="P175" s="13">
        <f t="shared" si="141"/>
        <v>1.0064464192543978E-12</v>
      </c>
      <c r="Q175" s="20">
        <f t="shared" si="162"/>
        <v>1.8635787380168604E-12</v>
      </c>
      <c r="R175" s="59">
        <f t="shared" si="109"/>
        <v>293.33333333333519</v>
      </c>
      <c r="S175" s="59">
        <f ca="1">AVERAGE(OFFSET($R$3,0,0,'Données projet'!$E$9+1,1))-AVERAGE(OFFSET($H$3,0,0,'Données projet'!$E$9+1,1))</f>
        <v>250.1520902752946</v>
      </c>
      <c r="T175" s="59">
        <f t="shared" si="142"/>
        <v>258.01144895030291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25.707063965770484</v>
      </c>
      <c r="AA175" s="21">
        <f>EXP(-LN(2)/25)*AA174+(1-EXP(-LN(2)/25))/(LN(2)/25)*Calculateur!V175*Calculateur!X175*VLOOKUP('Données projet'!$B$9,Paramètres!$A$1:$I$89,3,0)*0.475*44/12</f>
        <v>2.1428284566027433</v>
      </c>
      <c r="AB175" s="21">
        <f>EXP(-LN(2)/2)*AB174+(1-EXP(-LN(2)/2))/(LN(2)/2)*V175*Y175*VLOOKUP('Données projet'!$B$9,Paramètres!$A$1:$I$89,3,0)*0.475*44/12</f>
        <v>4.2492329681492224E-16</v>
      </c>
      <c r="AC175" s="22">
        <f t="shared" si="163"/>
        <v>27.849892422373227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141.51368882763865</v>
      </c>
      <c r="AO175" s="59">
        <f t="shared" si="144"/>
        <v>156.34514945935399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9.9217205657001895</v>
      </c>
      <c r="AV175" s="21">
        <f>EXP(-LN(2)/25)*AV174+(1-EXP(-LN(2)/25))/(LN(2)/25)*Calculateur!AQ175*Calculateur!AS175*VLOOKUP('Données projet'!$B$10,Paramètres!$A$1:$I$89,3,0)*0.475*44/12</f>
        <v>2.6711165599154931</v>
      </c>
      <c r="AW175" s="21">
        <f>EXP(-LN(2)/2)*AW174+(1-EXP(-LN(2)/2))/(LN(2)/2)*AQ175*AT175*VLOOKUP('Données projet'!$B$10,Paramètres!$A$1:$I$89,3,0)*0.475*44/12</f>
        <v>7.6346786976380641E-16</v>
      </c>
      <c r="AX175" s="21">
        <f t="shared" si="166"/>
        <v>12.592837125615683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6.3550942286383367E-14</v>
      </c>
      <c r="P176" s="13">
        <f t="shared" si="141"/>
        <v>1.0064464192543978E-12</v>
      </c>
      <c r="Q176" s="20">
        <f t="shared" si="162"/>
        <v>1.8635787380168604E-12</v>
      </c>
      <c r="R176" s="59">
        <f t="shared" si="109"/>
        <v>293.33333333333519</v>
      </c>
      <c r="S176" s="59">
        <f ca="1">AVERAGE(OFFSET($R$3,0,0,'Données projet'!$E$9+1,1))-AVERAGE(OFFSET($H$3,0,0,'Données projet'!$E$9+1,1))</f>
        <v>250.1520902752946</v>
      </c>
      <c r="T176" s="59">
        <f t="shared" si="142"/>
        <v>258.01144895030291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25.202964121162495</v>
      </c>
      <c r="AA176" s="21">
        <f>EXP(-LN(2)/25)*AA175+(1-EXP(-LN(2)/25))/(LN(2)/25)*Calculateur!V176*Calculateur!X176*VLOOKUP('Données projet'!$B$9,Paramètres!$A$1:$I$89,3,0)*0.475*44/12</f>
        <v>2.0842326997704901</v>
      </c>
      <c r="AB176" s="21">
        <f>EXP(-LN(2)/2)*AB175+(1-EXP(-LN(2)/2))/(LN(2)/2)*V176*Y176*VLOOKUP('Données projet'!$B$9,Paramètres!$A$1:$I$89,3,0)*0.475*44/12</f>
        <v>3.004661446619756E-16</v>
      </c>
      <c r="AC176" s="22">
        <f t="shared" si="163"/>
        <v>27.287196820932984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141.51368882763865</v>
      </c>
      <c r="AO176" s="59">
        <f t="shared" si="144"/>
        <v>156.34514945935399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9.7271616770588025</v>
      </c>
      <c r="AV176" s="21">
        <f>EXP(-LN(2)/25)*AV175+(1-EXP(-LN(2)/25))/(LN(2)/25)*Calculateur!AQ176*Calculateur!AS176*VLOOKUP('Données projet'!$B$10,Paramètres!$A$1:$I$89,3,0)*0.475*44/12</f>
        <v>2.598074737116689</v>
      </c>
      <c r="AW176" s="21">
        <f>EXP(-LN(2)/2)*AW175+(1-EXP(-LN(2)/2))/(LN(2)/2)*AQ176*AT176*VLOOKUP('Données projet'!$B$10,Paramètres!$A$1:$I$89,3,0)*0.475*44/12</f>
        <v>5.3985330792803542E-16</v>
      </c>
      <c r="AX176" s="21">
        <f t="shared" si="166"/>
        <v>12.325236414175492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6.3550942286383367E-14</v>
      </c>
      <c r="P177" s="13">
        <f t="shared" si="141"/>
        <v>1.0064464192543978E-12</v>
      </c>
      <c r="Q177" s="20">
        <f t="shared" si="162"/>
        <v>1.8635787380168604E-12</v>
      </c>
      <c r="R177" s="59">
        <f t="shared" si="109"/>
        <v>293.33333333333519</v>
      </c>
      <c r="S177" s="59">
        <f ca="1">AVERAGE(OFFSET($R$3,0,0,'Données projet'!$E$9+1,1))-AVERAGE(OFFSET($H$3,0,0,'Données projet'!$E$9+1,1))</f>
        <v>250.1520902752946</v>
      </c>
      <c r="T177" s="59">
        <f t="shared" si="142"/>
        <v>258.01144895030291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24.708749367036724</v>
      </c>
      <c r="AA177" s="21">
        <f>EXP(-LN(2)/25)*AA176+(1-EXP(-LN(2)/25))/(LN(2)/25)*Calculateur!V177*Calculateur!X177*VLOOKUP('Données projet'!$B$9,Paramètres!$A$1:$I$89,3,0)*0.475*44/12</f>
        <v>2.0272392469902321</v>
      </c>
      <c r="AB177" s="21">
        <f>EXP(-LN(2)/2)*AB176+(1-EXP(-LN(2)/2))/(LN(2)/2)*V177*Y177*VLOOKUP('Données projet'!$B$9,Paramètres!$A$1:$I$89,3,0)*0.475*44/12</f>
        <v>2.1246164840746112E-16</v>
      </c>
      <c r="AC177" s="22">
        <f t="shared" si="163"/>
        <v>26.735988614026954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141.51368882763865</v>
      </c>
      <c r="AO177" s="59">
        <f t="shared" si="144"/>
        <v>156.34514945935399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9.5364179695544689</v>
      </c>
      <c r="AV177" s="21">
        <f>EXP(-LN(2)/25)*AV176+(1-EXP(-LN(2)/25))/(LN(2)/25)*Calculateur!AQ177*Calculateur!AS177*VLOOKUP('Données projet'!$B$10,Paramètres!$A$1:$I$89,3,0)*0.475*44/12</f>
        <v>2.5270302468034207</v>
      </c>
      <c r="AW177" s="21">
        <f>EXP(-LN(2)/2)*AW176+(1-EXP(-LN(2)/2))/(LN(2)/2)*AQ177*AT177*VLOOKUP('Données projet'!$B$10,Paramètres!$A$1:$I$89,3,0)*0.475*44/12</f>
        <v>3.8173393488190321E-16</v>
      </c>
      <c r="AX177" s="21">
        <f t="shared" si="166"/>
        <v>12.063448216357889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6.3550942286383367E-14</v>
      </c>
      <c r="P178" s="13">
        <f t="shared" si="141"/>
        <v>1.0064464192543978E-12</v>
      </c>
      <c r="Q178" s="20">
        <f t="shared" si="162"/>
        <v>1.8635787380168604E-12</v>
      </c>
      <c r="R178" s="59">
        <f t="shared" si="109"/>
        <v>293.33333333333519</v>
      </c>
      <c r="S178" s="59">
        <f ca="1">AVERAGE(OFFSET($R$3,0,0,'Données projet'!$E$9+1,1))-AVERAGE(OFFSET($H$3,0,0,'Données projet'!$E$9+1,1))</f>
        <v>250.1520902752946</v>
      </c>
      <c r="T178" s="59">
        <f t="shared" si="142"/>
        <v>258.01144895030291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24.224225862798125</v>
      </c>
      <c r="AA178" s="21">
        <f>EXP(-LN(2)/25)*AA177+(1-EXP(-LN(2)/25))/(LN(2)/25)*Calculateur!V178*Calculateur!X178*VLOOKUP('Données projet'!$B$9,Paramètres!$A$1:$I$89,3,0)*0.475*44/12</f>
        <v>1.9718042831734055</v>
      </c>
      <c r="AB178" s="21">
        <f>EXP(-LN(2)/2)*AB177+(1-EXP(-LN(2)/2))/(LN(2)/2)*V178*Y178*VLOOKUP('Données projet'!$B$9,Paramètres!$A$1:$I$89,3,0)*0.475*44/12</f>
        <v>1.502330723309878E-16</v>
      </c>
      <c r="AC178" s="22">
        <f t="shared" si="163"/>
        <v>26.19603014597153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141.51368882763865</v>
      </c>
      <c r="AO178" s="59">
        <f t="shared" si="144"/>
        <v>156.34514945935399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9.3494146298121219</v>
      </c>
      <c r="AV178" s="21">
        <f>EXP(-LN(2)/25)*AV177+(1-EXP(-LN(2)/25))/(LN(2)/25)*Calculateur!AQ178*Calculateur!AS178*VLOOKUP('Données projet'!$B$10,Paramètres!$A$1:$I$89,3,0)*0.475*44/12</f>
        <v>2.4579284718138359</v>
      </c>
      <c r="AW178" s="21">
        <f>EXP(-LN(2)/2)*AW177+(1-EXP(-LN(2)/2))/(LN(2)/2)*AQ178*AT178*VLOOKUP('Données projet'!$B$10,Paramètres!$A$1:$I$89,3,0)*0.475*44/12</f>
        <v>2.6992665396401771E-16</v>
      </c>
      <c r="AX178" s="21">
        <f t="shared" si="166"/>
        <v>11.807343101625957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6.3550942286383367E-14</v>
      </c>
      <c r="P179" s="13">
        <f t="shared" si="141"/>
        <v>1.0064464192543978E-12</v>
      </c>
      <c r="Q179" s="20">
        <f t="shared" si="162"/>
        <v>1.8635787380168604E-12</v>
      </c>
      <c r="R179" s="59">
        <f t="shared" si="109"/>
        <v>293.33333333333519</v>
      </c>
      <c r="S179" s="59">
        <f ca="1">AVERAGE(OFFSET($R$3,0,0,'Données projet'!$E$9+1,1))-AVERAGE(OFFSET($H$3,0,0,'Données projet'!$E$9+1,1))</f>
        <v>250.1520902752946</v>
      </c>
      <c r="T179" s="59">
        <f t="shared" si="142"/>
        <v>258.01144895030291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23.74920356894749</v>
      </c>
      <c r="AA179" s="21">
        <f>EXP(-LN(2)/25)*AA178+(1-EXP(-LN(2)/25))/(LN(2)/25)*Calculateur!V179*Calculateur!X179*VLOOKUP('Données projet'!$B$9,Paramètres!$A$1:$I$89,3,0)*0.475*44/12</f>
        <v>1.917885191357348</v>
      </c>
      <c r="AB179" s="21">
        <f>EXP(-LN(2)/2)*AB178+(1-EXP(-LN(2)/2))/(LN(2)/2)*V179*Y179*VLOOKUP('Données projet'!$B$9,Paramètres!$A$1:$I$89,3,0)*0.475*44/12</f>
        <v>1.0623082420373056E-16</v>
      </c>
      <c r="AC179" s="22">
        <f t="shared" si="163"/>
        <v>25.667088760304839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141.51368882763865</v>
      </c>
      <c r="AO179" s="59">
        <f t="shared" si="144"/>
        <v>156.34514945935399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9.166078311501348</v>
      </c>
      <c r="AV179" s="21">
        <f>EXP(-LN(2)/25)*AV178+(1-EXP(-LN(2)/25))/(LN(2)/25)*Calculateur!AQ179*Calculateur!AS179*VLOOKUP('Données projet'!$B$10,Paramètres!$A$1:$I$89,3,0)*0.475*44/12</f>
        <v>2.3907162884952458</v>
      </c>
      <c r="AW179" s="21">
        <f>EXP(-LN(2)/2)*AW178+(1-EXP(-LN(2)/2))/(LN(2)/2)*AQ179*AT179*VLOOKUP('Données projet'!$B$10,Paramètres!$A$1:$I$89,3,0)*0.475*44/12</f>
        <v>1.908669674409516E-16</v>
      </c>
      <c r="AX179" s="21">
        <f t="shared" si="166"/>
        <v>11.556794599996593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6.3550942286383367E-14</v>
      </c>
      <c r="P180" s="13">
        <f t="shared" si="141"/>
        <v>1.0064464192543978E-12</v>
      </c>
      <c r="Q180" s="20">
        <f t="shared" si="162"/>
        <v>1.8635787380168604E-12</v>
      </c>
      <c r="R180" s="59">
        <f t="shared" si="109"/>
        <v>293.33333333333519</v>
      </c>
      <c r="S180" s="59">
        <f ca="1">AVERAGE(OFFSET($R$3,0,0,'Données projet'!$E$9+1,1))-AVERAGE(OFFSET($H$3,0,0,'Données projet'!$E$9+1,1))</f>
        <v>250.1520902752946</v>
      </c>
      <c r="T180" s="59">
        <f t="shared" si="142"/>
        <v>258.01144895030291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23.283496172544275</v>
      </c>
      <c r="AA180" s="21">
        <f>EXP(-LN(2)/25)*AA179+(1-EXP(-LN(2)/25))/(LN(2)/25)*Calculateur!V180*Calculateur!X180*VLOOKUP('Données projet'!$B$9,Paramètres!$A$1:$I$89,3,0)*0.475*44/12</f>
        <v>1.8654405199424826</v>
      </c>
      <c r="AB180" s="21">
        <f>EXP(-LN(2)/2)*AB179+(1-EXP(-LN(2)/2))/(LN(2)/2)*V180*Y180*VLOOKUP('Données projet'!$B$9,Paramètres!$A$1:$I$89,3,0)*0.475*44/12</f>
        <v>7.51165361654939E-17</v>
      </c>
      <c r="AC180" s="22">
        <f t="shared" si="163"/>
        <v>25.148936692486757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141.51368882763865</v>
      </c>
      <c r="AO180" s="59">
        <f t="shared" si="144"/>
        <v>156.34514945935399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8.986337106568536</v>
      </c>
      <c r="AV180" s="21">
        <f>EXP(-LN(2)/25)*AV179+(1-EXP(-LN(2)/25))/(LN(2)/25)*Calculateur!AQ180*Calculateur!AS180*VLOOKUP('Données projet'!$B$10,Paramètres!$A$1:$I$89,3,0)*0.475*44/12</f>
        <v>2.3253420258640376</v>
      </c>
      <c r="AW180" s="21">
        <f>EXP(-LN(2)/2)*AW179+(1-EXP(-LN(2)/2))/(LN(2)/2)*AQ180*AT180*VLOOKUP('Données projet'!$B$10,Paramètres!$A$1:$I$89,3,0)*0.475*44/12</f>
        <v>1.3496332698200885E-16</v>
      </c>
      <c r="AX180" s="21">
        <f t="shared" si="166"/>
        <v>11.311679132432573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6.3550942286383367E-14</v>
      </c>
      <c r="P181" s="13">
        <f t="shared" si="141"/>
        <v>1.0064464192543978E-12</v>
      </c>
      <c r="Q181" s="20">
        <f t="shared" si="162"/>
        <v>1.8635787380168604E-12</v>
      </c>
      <c r="R181" s="59">
        <f t="shared" si="109"/>
        <v>293.33333333333519</v>
      </c>
      <c r="S181" s="59">
        <f ca="1">AVERAGE(OFFSET($R$3,0,0,'Données projet'!$E$9+1,1))-AVERAGE(OFFSET($H$3,0,0,'Données projet'!$E$9+1,1))</f>
        <v>250.1520902752946</v>
      </c>
      <c r="T181" s="59">
        <f t="shared" si="142"/>
        <v>258.01144895030291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22.826921014131063</v>
      </c>
      <c r="AA181" s="21">
        <f>EXP(-LN(2)/25)*AA180+(1-EXP(-LN(2)/25))/(LN(2)/25)*Calculateur!V181*Calculateur!X181*VLOOKUP('Données projet'!$B$9,Paramètres!$A$1:$I$89,3,0)*0.475*44/12</f>
        <v>1.814429950825402</v>
      </c>
      <c r="AB181" s="21">
        <f>EXP(-LN(2)/2)*AB180+(1-EXP(-LN(2)/2))/(LN(2)/2)*V181*Y181*VLOOKUP('Données projet'!$B$9,Paramètres!$A$1:$I$89,3,0)*0.475*44/12</f>
        <v>5.3115412101865279E-17</v>
      </c>
      <c r="AC181" s="22">
        <f t="shared" si="163"/>
        <v>24.641350964956466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141.51368882763865</v>
      </c>
      <c r="AO181" s="59">
        <f t="shared" si="144"/>
        <v>156.34514945935399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8.8101205170331465</v>
      </c>
      <c r="AV181" s="21">
        <f>EXP(-LN(2)/25)*AV180+(1-EXP(-LN(2)/25))/(LN(2)/25)*Calculateur!AQ181*Calculateur!AS181*VLOOKUP('Données projet'!$B$10,Paramètres!$A$1:$I$89,3,0)*0.475*44/12</f>
        <v>2.2617554258823631</v>
      </c>
      <c r="AW181" s="21">
        <f>EXP(-LN(2)/2)*AW180+(1-EXP(-LN(2)/2))/(LN(2)/2)*AQ181*AT181*VLOOKUP('Données projet'!$B$10,Paramètres!$A$1:$I$89,3,0)*0.475*44/12</f>
        <v>9.5433483720475802E-17</v>
      </c>
      <c r="AX181" s="21">
        <f t="shared" si="166"/>
        <v>11.07187594291551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6.3550942286383367E-14</v>
      </c>
      <c r="P182" s="13">
        <f t="shared" si="141"/>
        <v>1.0064464192543978E-12</v>
      </c>
      <c r="Q182" s="20">
        <f t="shared" si="162"/>
        <v>1.8635787380168604E-12</v>
      </c>
      <c r="R182" s="59">
        <f t="shared" si="109"/>
        <v>293.33333333333519</v>
      </c>
      <c r="S182" s="59">
        <f ca="1">AVERAGE(OFFSET($R$3,0,0,'Données projet'!$E$9+1,1))-AVERAGE(OFFSET($H$3,0,0,'Données projet'!$E$9+1,1))</f>
        <v>250.1520902752946</v>
      </c>
      <c r="T182" s="59">
        <f t="shared" si="142"/>
        <v>258.01144895030291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22.379299016090986</v>
      </c>
      <c r="AA182" s="21">
        <f>EXP(-LN(2)/25)*AA181+(1-EXP(-LN(2)/25))/(LN(2)/25)*Calculateur!V182*Calculateur!X182*VLOOKUP('Données projet'!$B$9,Paramètres!$A$1:$I$89,3,0)*0.475*44/12</f>
        <v>1.7648142684033572</v>
      </c>
      <c r="AB182" s="21">
        <f>EXP(-LN(2)/2)*AB181+(1-EXP(-LN(2)/2))/(LN(2)/2)*V182*Y182*VLOOKUP('Données projet'!$B$9,Paramètres!$A$1:$I$89,3,0)*0.475*44/12</f>
        <v>3.755826808274695E-17</v>
      </c>
      <c r="AC182" s="22">
        <f t="shared" si="163"/>
        <v>24.144113284494342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141.51368882763865</v>
      </c>
      <c r="AO182" s="59">
        <f t="shared" si="144"/>
        <v>156.34514945935399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8.6373594273370387</v>
      </c>
      <c r="AV182" s="21">
        <f>EXP(-LN(2)/25)*AV181+(1-EXP(-LN(2)/25))/(LN(2)/25)*Calculateur!AQ182*Calculateur!AS182*VLOOKUP('Données projet'!$B$10,Paramètres!$A$1:$I$89,3,0)*0.475*44/12</f>
        <v>2.1999076048210613</v>
      </c>
      <c r="AW182" s="21">
        <f>EXP(-LN(2)/2)*AW181+(1-EXP(-LN(2)/2))/(LN(2)/2)*AQ182*AT182*VLOOKUP('Données projet'!$B$10,Paramètres!$A$1:$I$89,3,0)*0.475*44/12</f>
        <v>6.7481663491004427E-17</v>
      </c>
      <c r="AX182" s="21">
        <f t="shared" si="166"/>
        <v>10.837267032158099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6.3550942286383367E-14</v>
      </c>
      <c r="P183" s="13">
        <f t="shared" si="141"/>
        <v>1.0064464192543978E-12</v>
      </c>
      <c r="Q183" s="20">
        <f t="shared" si="162"/>
        <v>1.8635787380168604E-12</v>
      </c>
      <c r="R183" s="59">
        <f t="shared" si="109"/>
        <v>293.33333333333519</v>
      </c>
      <c r="S183" s="59">
        <f ca="1">AVERAGE(OFFSET($R$3,0,0,'Données projet'!$E$9+1,1))-AVERAGE(OFFSET($H$3,0,0,'Données projet'!$E$9+1,1))</f>
        <v>250.1520902752946</v>
      </c>
      <c r="T183" s="59">
        <f t="shared" si="142"/>
        <v>258.01144895030291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21.940454612410015</v>
      </c>
      <c r="AA183" s="21">
        <f>EXP(-LN(2)/25)*AA182+(1-EXP(-LN(2)/25))/(LN(2)/25)*Calculateur!V183*Calculateur!X183*VLOOKUP('Données projet'!$B$9,Paramètres!$A$1:$I$89,3,0)*0.475*44/12</f>
        <v>1.7165553294263185</v>
      </c>
      <c r="AB183" s="21">
        <f>EXP(-LN(2)/2)*AB182+(1-EXP(-LN(2)/2))/(LN(2)/2)*V183*Y183*VLOOKUP('Données projet'!$B$9,Paramètres!$A$1:$I$89,3,0)*0.475*44/12</f>
        <v>2.655770605093264E-17</v>
      </c>
      <c r="AC183" s="22">
        <f t="shared" si="163"/>
        <v>23.657009941836332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141.51368882763865</v>
      </c>
      <c r="AO183" s="59">
        <f t="shared" si="144"/>
        <v>156.34514945935399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8.4679860772360112</v>
      </c>
      <c r="AV183" s="21">
        <f>EXP(-LN(2)/25)*AV182+(1-EXP(-LN(2)/25))/(LN(2)/25)*Calculateur!AQ183*Calculateur!AS183*VLOOKUP('Données projet'!$B$10,Paramètres!$A$1:$I$89,3,0)*0.475*44/12</f>
        <v>2.1397510156791162</v>
      </c>
      <c r="AW183" s="21">
        <f>EXP(-LN(2)/2)*AW182+(1-EXP(-LN(2)/2))/(LN(2)/2)*AQ183*AT183*VLOOKUP('Données projet'!$B$10,Paramètres!$A$1:$I$89,3,0)*0.475*44/12</f>
        <v>4.7716741860237901E-17</v>
      </c>
      <c r="AX183" s="21">
        <f t="shared" si="166"/>
        <v>10.607737092915126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6.3550942286383367E-14</v>
      </c>
      <c r="P184" s="13">
        <f t="shared" si="141"/>
        <v>1.0064464192543978E-12</v>
      </c>
      <c r="Q184" s="20">
        <f t="shared" si="162"/>
        <v>1.8635787380168604E-12</v>
      </c>
      <c r="R184" s="59">
        <f t="shared" si="109"/>
        <v>293.33333333333519</v>
      </c>
      <c r="S184" s="59">
        <f ca="1">AVERAGE(OFFSET($R$3,0,0,'Données projet'!$E$9+1,1))-AVERAGE(OFFSET($H$3,0,0,'Données projet'!$E$9+1,1))</f>
        <v>250.1520902752946</v>
      </c>
      <c r="T184" s="59">
        <f t="shared" si="142"/>
        <v>258.01144895030291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21.510215679816572</v>
      </c>
      <c r="AA184" s="21">
        <f>EXP(-LN(2)/25)*AA183+(1-EXP(-LN(2)/25))/(LN(2)/25)*Calculateur!V184*Calculateur!X184*VLOOKUP('Données projet'!$B$9,Paramètres!$A$1:$I$89,3,0)*0.475*44/12</f>
        <v>1.6696160336734343</v>
      </c>
      <c r="AB184" s="21">
        <f>EXP(-LN(2)/2)*AB183+(1-EXP(-LN(2)/2))/(LN(2)/2)*V184*Y184*VLOOKUP('Données projet'!$B$9,Paramètres!$A$1:$I$89,3,0)*0.475*44/12</f>
        <v>1.8779134041373475E-17</v>
      </c>
      <c r="AC184" s="22">
        <f t="shared" si="163"/>
        <v>23.179831713490007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141.51368882763865</v>
      </c>
      <c r="AO184" s="59">
        <f t="shared" si="144"/>
        <v>156.34514945935399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8.3019340352229225</v>
      </c>
      <c r="AV184" s="21">
        <f>EXP(-LN(2)/25)*AV183+(1-EXP(-LN(2)/25))/(LN(2)/25)*Calculateur!AQ184*Calculateur!AS184*VLOOKUP('Données projet'!$B$10,Paramètres!$A$1:$I$89,3,0)*0.475*44/12</f>
        <v>2.0812394116307553</v>
      </c>
      <c r="AW184" s="21">
        <f>EXP(-LN(2)/2)*AW183+(1-EXP(-LN(2)/2))/(LN(2)/2)*AQ184*AT184*VLOOKUP('Données projet'!$B$10,Paramètres!$A$1:$I$89,3,0)*0.475*44/12</f>
        <v>3.3740831745502214E-17</v>
      </c>
      <c r="AX184" s="21">
        <f t="shared" si="166"/>
        <v>10.383173446853679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6.3550942286383367E-14</v>
      </c>
      <c r="P185" s="13">
        <f t="shared" si="141"/>
        <v>1.0064464192543978E-12</v>
      </c>
      <c r="Q185" s="20">
        <f t="shared" si="162"/>
        <v>1.8635787380168604E-12</v>
      </c>
      <c r="R185" s="59">
        <f t="shared" si="109"/>
        <v>293.33333333333519</v>
      </c>
      <c r="S185" s="59">
        <f ca="1">AVERAGE(OFFSET($R$3,0,0,'Données projet'!$E$9+1,1))-AVERAGE(OFFSET($H$3,0,0,'Données projet'!$E$9+1,1))</f>
        <v>250.1520902752946</v>
      </c>
      <c r="T185" s="59">
        <f t="shared" si="142"/>
        <v>258.01144895030291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21.088413470271448</v>
      </c>
      <c r="AA185" s="21">
        <f>EXP(-LN(2)/25)*AA184+(1-EXP(-LN(2)/25))/(LN(2)/25)*Calculateur!V185*Calculateur!X185*VLOOKUP('Données projet'!$B$9,Paramètres!$A$1:$I$89,3,0)*0.475*44/12</f>
        <v>1.623960295431343</v>
      </c>
      <c r="AB185" s="21">
        <f>EXP(-LN(2)/2)*AB184+(1-EXP(-LN(2)/2))/(LN(2)/2)*V185*Y185*VLOOKUP('Données projet'!$B$9,Paramètres!$A$1:$I$89,3,0)*0.475*44/12</f>
        <v>1.327885302546632E-17</v>
      </c>
      <c r="AC185" s="22">
        <f t="shared" si="163"/>
        <v>22.71237376570279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141.51368882763865</v>
      </c>
      <c r="AO185" s="59">
        <f t="shared" si="144"/>
        <v>156.34514945935399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8.1391381724719665</v>
      </c>
      <c r="AV185" s="21">
        <f>EXP(-LN(2)/25)*AV184+(1-EXP(-LN(2)/25))/(LN(2)/25)*Calculateur!AQ185*Calculateur!AS185*VLOOKUP('Données projet'!$B$10,Paramètres!$A$1:$I$89,3,0)*0.475*44/12</f>
        <v>2.0243278104720885</v>
      </c>
      <c r="AW185" s="21">
        <f>EXP(-LN(2)/2)*AW184+(1-EXP(-LN(2)/2))/(LN(2)/2)*AQ185*AT185*VLOOKUP('Données projet'!$B$10,Paramètres!$A$1:$I$89,3,0)*0.475*44/12</f>
        <v>2.385837093011895E-17</v>
      </c>
      <c r="AX185" s="21">
        <f t="shared" si="166"/>
        <v>10.163465982944055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6.3550942286383367E-14</v>
      </c>
      <c r="P186" s="13">
        <f t="shared" si="141"/>
        <v>1.0064464192543978E-12</v>
      </c>
      <c r="Q186" s="20">
        <f t="shared" si="162"/>
        <v>1.8635787380168604E-12</v>
      </c>
      <c r="R186" s="59">
        <f t="shared" si="109"/>
        <v>293.33333333333519</v>
      </c>
      <c r="S186" s="59">
        <f ca="1">AVERAGE(OFFSET($R$3,0,0,'Données projet'!$E$9+1,1))-AVERAGE(OFFSET($H$3,0,0,'Données projet'!$E$9+1,1))</f>
        <v>250.1520902752946</v>
      </c>
      <c r="T186" s="59">
        <f t="shared" si="142"/>
        <v>258.01144895030291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20.674882544781561</v>
      </c>
      <c r="AA186" s="21">
        <f>EXP(-LN(2)/25)*AA185+(1-EXP(-LN(2)/25))/(LN(2)/25)*Calculateur!V186*Calculateur!X186*VLOOKUP('Données projet'!$B$9,Paramètres!$A$1:$I$89,3,0)*0.475*44/12</f>
        <v>1.5795530157524127</v>
      </c>
      <c r="AB186" s="21">
        <f>EXP(-LN(2)/2)*AB185+(1-EXP(-LN(2)/2))/(LN(2)/2)*V186*Y186*VLOOKUP('Données projet'!$B$9,Paramètres!$A$1:$I$89,3,0)*0.475*44/12</f>
        <v>9.3895670206867375E-18</v>
      </c>
      <c r="AC186" s="22">
        <f t="shared" si="163"/>
        <v>22.254435560533974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141.51368882763865</v>
      </c>
      <c r="AO186" s="59">
        <f t="shared" si="144"/>
        <v>156.34514945935399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7.9795346372938845</v>
      </c>
      <c r="AV186" s="21">
        <f>EXP(-LN(2)/25)*AV185+(1-EXP(-LN(2)/25))/(LN(2)/25)*Calculateur!AQ186*Calculateur!AS186*VLOOKUP('Données projet'!$B$10,Paramètres!$A$1:$I$89,3,0)*0.475*44/12</f>
        <v>1.9689724600399563</v>
      </c>
      <c r="AW186" s="21">
        <f>EXP(-LN(2)/2)*AW185+(1-EXP(-LN(2)/2))/(LN(2)/2)*AQ186*AT186*VLOOKUP('Données projet'!$B$10,Paramètres!$A$1:$I$89,3,0)*0.475*44/12</f>
        <v>1.6870415872751107E-17</v>
      </c>
      <c r="AX186" s="21">
        <f t="shared" si="166"/>
        <v>9.9485070973338416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6.3550942286383367E-14</v>
      </c>
      <c r="P187" s="13">
        <f t="shared" si="141"/>
        <v>1.0064464192543978E-12</v>
      </c>
      <c r="Q187" s="20">
        <f t="shared" si="162"/>
        <v>1.8635787380168604E-12</v>
      </c>
      <c r="R187" s="59">
        <f t="shared" si="109"/>
        <v>293.33333333333519</v>
      </c>
      <c r="S187" s="59">
        <f ca="1">AVERAGE(OFFSET($R$3,0,0,'Données projet'!$E$9+1,1))-AVERAGE(OFFSET($H$3,0,0,'Données projet'!$E$9+1,1))</f>
        <v>250.1520902752946</v>
      </c>
      <c r="T187" s="59">
        <f t="shared" si="142"/>
        <v>258.01144895030291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20.26946070851157</v>
      </c>
      <c r="AA187" s="21">
        <f>EXP(-LN(2)/25)*AA186+(1-EXP(-LN(2)/25))/(LN(2)/25)*Calculateur!V187*Calculateur!X187*VLOOKUP('Données projet'!$B$9,Paramètres!$A$1:$I$89,3,0)*0.475*44/12</f>
        <v>1.5363600554715799</v>
      </c>
      <c r="AB187" s="21">
        <f>EXP(-LN(2)/2)*AB186+(1-EXP(-LN(2)/2))/(LN(2)/2)*V187*Y187*VLOOKUP('Données projet'!$B$9,Paramètres!$A$1:$I$89,3,0)*0.475*44/12</f>
        <v>6.6394265127331599E-18</v>
      </c>
      <c r="AC187" s="22">
        <f t="shared" si="163"/>
        <v>21.805820763983149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141.51368882763865</v>
      </c>
      <c r="AO187" s="59">
        <f t="shared" si="144"/>
        <v>156.34514945935399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7.8230608300920998</v>
      </c>
      <c r="AV187" s="21">
        <f>EXP(-LN(2)/25)*AV186+(1-EXP(-LN(2)/25))/(LN(2)/25)*Calculateur!AQ187*Calculateur!AS187*VLOOKUP('Données projet'!$B$10,Paramètres!$A$1:$I$89,3,0)*0.475*44/12</f>
        <v>1.9151308045764022</v>
      </c>
      <c r="AW187" s="21">
        <f>EXP(-LN(2)/2)*AW186+(1-EXP(-LN(2)/2))/(LN(2)/2)*AQ187*AT187*VLOOKUP('Données projet'!$B$10,Paramètres!$A$1:$I$89,3,0)*0.475*44/12</f>
        <v>1.1929185465059475E-17</v>
      </c>
      <c r="AX187" s="21">
        <f t="shared" si="166"/>
        <v>9.7381916346685014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6.3550942286383367E-14</v>
      </c>
      <c r="P188" s="13">
        <f t="shared" si="141"/>
        <v>1.0064464192543978E-12</v>
      </c>
      <c r="Q188" s="20">
        <f t="shared" si="162"/>
        <v>1.8635787380168604E-12</v>
      </c>
      <c r="R188" s="59">
        <f t="shared" si="109"/>
        <v>293.33333333333519</v>
      </c>
      <c r="S188" s="59">
        <f ca="1">AVERAGE(OFFSET($R$3,0,0,'Données projet'!$E$9+1,1))-AVERAGE(OFFSET($H$3,0,0,'Données projet'!$E$9+1,1))</f>
        <v>250.1520902752946</v>
      </c>
      <c r="T188" s="59">
        <f t="shared" si="142"/>
        <v>258.01144895030291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19.871988947167932</v>
      </c>
      <c r="AA188" s="21">
        <f>EXP(-LN(2)/25)*AA187+(1-EXP(-LN(2)/25))/(LN(2)/25)*Calculateur!V188*Calculateur!X188*VLOOKUP('Données projet'!$B$9,Paramètres!$A$1:$I$89,3,0)*0.475*44/12</f>
        <v>1.4943482089610456</v>
      </c>
      <c r="AB188" s="21">
        <f>EXP(-LN(2)/2)*AB187+(1-EXP(-LN(2)/2))/(LN(2)/2)*V188*Y188*VLOOKUP('Données projet'!$B$9,Paramètres!$A$1:$I$89,3,0)*0.475*44/12</f>
        <v>4.6947835103433688E-18</v>
      </c>
      <c r="AC188" s="22">
        <f t="shared" si="163"/>
        <v>21.366337156128978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141.51368882763865</v>
      </c>
      <c r="AO188" s="59">
        <f t="shared" si="144"/>
        <v>156.34514945935399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7.669655378809944</v>
      </c>
      <c r="AV188" s="21">
        <f>EXP(-LN(2)/25)*AV187+(1-EXP(-LN(2)/25))/(LN(2)/25)*Calculateur!AQ188*Calculateur!AS188*VLOOKUP('Données projet'!$B$10,Paramètres!$A$1:$I$89,3,0)*0.475*44/12</f>
        <v>1.8627614520129085</v>
      </c>
      <c r="AW188" s="21">
        <f>EXP(-LN(2)/2)*AW187+(1-EXP(-LN(2)/2))/(LN(2)/2)*AQ188*AT188*VLOOKUP('Données projet'!$B$10,Paramètres!$A$1:$I$89,3,0)*0.475*44/12</f>
        <v>8.4352079363755534E-18</v>
      </c>
      <c r="AX188" s="21">
        <f t="shared" si="166"/>
        <v>9.5324168308228518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6.3550942286383367E-14</v>
      </c>
      <c r="P189" s="13">
        <f t="shared" si="141"/>
        <v>1.0064464192543978E-12</v>
      </c>
      <c r="Q189" s="20">
        <f t="shared" si="162"/>
        <v>1.8635787380168604E-12</v>
      </c>
      <c r="R189" s="59">
        <f t="shared" si="109"/>
        <v>293.33333333333519</v>
      </c>
      <c r="S189" s="59">
        <f ca="1">AVERAGE(OFFSET($R$3,0,0,'Données projet'!$E$9+1,1))-AVERAGE(OFFSET($H$3,0,0,'Données projet'!$E$9+1,1))</f>
        <v>250.1520902752946</v>
      </c>
      <c r="T189" s="59">
        <f t="shared" si="142"/>
        <v>258.01144895030291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19.482311364630405</v>
      </c>
      <c r="AA189" s="21">
        <f>EXP(-LN(2)/25)*AA188+(1-EXP(-LN(2)/25))/(LN(2)/25)*Calculateur!V189*Calculateur!X189*VLOOKUP('Données projet'!$B$9,Paramètres!$A$1:$I$89,3,0)*0.475*44/12</f>
        <v>1.4534851786026488</v>
      </c>
      <c r="AB189" s="21">
        <f>EXP(-LN(2)/2)*AB188+(1-EXP(-LN(2)/2))/(LN(2)/2)*V189*Y189*VLOOKUP('Données projet'!$B$9,Paramètres!$A$1:$I$89,3,0)*0.475*44/12</f>
        <v>3.31971325636658E-18</v>
      </c>
      <c r="AC189" s="22">
        <f t="shared" si="163"/>
        <v>20.935796543233053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141.51368882763865</v>
      </c>
      <c r="AO189" s="59">
        <f t="shared" si="144"/>
        <v>156.34514945935399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7.5192581148593449</v>
      </c>
      <c r="AV189" s="21">
        <f>EXP(-LN(2)/25)*AV188+(1-EXP(-LN(2)/25))/(LN(2)/25)*Calculateur!AQ189*Calculateur!AS189*VLOOKUP('Données projet'!$B$10,Paramètres!$A$1:$I$89,3,0)*0.475*44/12</f>
        <v>1.8118241421492483</v>
      </c>
      <c r="AW189" s="21">
        <f>EXP(-LN(2)/2)*AW188+(1-EXP(-LN(2)/2))/(LN(2)/2)*AQ189*AT189*VLOOKUP('Données projet'!$B$10,Paramètres!$A$1:$I$89,3,0)*0.475*44/12</f>
        <v>5.9645927325297376E-18</v>
      </c>
      <c r="AX189" s="21">
        <f t="shared" si="166"/>
        <v>9.3310822570085925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6.3550942286383367E-14</v>
      </c>
      <c r="P190" s="13">
        <f t="shared" si="141"/>
        <v>1.0064464192543978E-12</v>
      </c>
      <c r="Q190" s="20">
        <f t="shared" si="162"/>
        <v>1.8635787380168604E-12</v>
      </c>
      <c r="R190" s="59">
        <f t="shared" si="109"/>
        <v>293.33333333333519</v>
      </c>
      <c r="S190" s="59">
        <f ca="1">AVERAGE(OFFSET($R$3,0,0,'Données projet'!$E$9+1,1))-AVERAGE(OFFSET($H$3,0,0,'Données projet'!$E$9+1,1))</f>
        <v>250.1520902752946</v>
      </c>
      <c r="T190" s="59">
        <f t="shared" si="142"/>
        <v>258.01144895030291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19.100275121806582</v>
      </c>
      <c r="AA190" s="21">
        <f>EXP(-LN(2)/25)*AA189+(1-EXP(-LN(2)/25))/(LN(2)/25)*Calculateur!V190*Calculateur!X190*VLOOKUP('Données projet'!$B$9,Paramètres!$A$1:$I$89,3,0)*0.475*44/12</f>
        <v>1.4137395499582959</v>
      </c>
      <c r="AB190" s="21">
        <f>EXP(-LN(2)/2)*AB189+(1-EXP(-LN(2)/2))/(LN(2)/2)*V190*Y190*VLOOKUP('Données projet'!$B$9,Paramètres!$A$1:$I$89,3,0)*0.475*44/12</f>
        <v>2.3473917551716844E-18</v>
      </c>
      <c r="AC190" s="22">
        <f t="shared" si="163"/>
        <v>20.51401467176488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141.51368882763865</v>
      </c>
      <c r="AO190" s="59">
        <f t="shared" si="144"/>
        <v>156.34514945935399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7.3718100495215442</v>
      </c>
      <c r="AV190" s="21">
        <f>EXP(-LN(2)/25)*AV189+(1-EXP(-LN(2)/25))/(LN(2)/25)*Calculateur!AQ190*Calculateur!AS190*VLOOKUP('Données projet'!$B$10,Paramètres!$A$1:$I$89,3,0)*0.475*44/12</f>
        <v>1.7622797157024863</v>
      </c>
      <c r="AW190" s="21">
        <f>EXP(-LN(2)/2)*AW189+(1-EXP(-LN(2)/2))/(LN(2)/2)*AQ190*AT190*VLOOKUP('Données projet'!$B$10,Paramètres!$A$1:$I$89,3,0)*0.475*44/12</f>
        <v>4.2176039681877767E-18</v>
      </c>
      <c r="AX190" s="21">
        <f t="shared" si="166"/>
        <v>9.1340897652240312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6.3550942286383367E-14</v>
      </c>
      <c r="P191" s="13">
        <f t="shared" si="141"/>
        <v>1.0064464192543978E-12</v>
      </c>
      <c r="Q191" s="20">
        <f t="shared" si="162"/>
        <v>1.8635787380168604E-12</v>
      </c>
      <c r="R191" s="59">
        <f t="shared" si="109"/>
        <v>293.33333333333519</v>
      </c>
      <c r="S191" s="59">
        <f ca="1">AVERAGE(OFFSET($R$3,0,0,'Données projet'!$E$9+1,1))-AVERAGE(OFFSET($H$3,0,0,'Données projet'!$E$9+1,1))</f>
        <v>250.1520902752946</v>
      </c>
      <c r="T191" s="59">
        <f t="shared" si="142"/>
        <v>258.01144895030291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18.725730376685437</v>
      </c>
      <c r="AA191" s="21">
        <f>EXP(-LN(2)/25)*AA190+(1-EXP(-LN(2)/25))/(LN(2)/25)*Calculateur!V191*Calculateur!X191*VLOOKUP('Données projet'!$B$9,Paramètres!$A$1:$I$89,3,0)*0.475*44/12</f>
        <v>1.3750807676193544</v>
      </c>
      <c r="AB191" s="21">
        <f>EXP(-LN(2)/2)*AB190+(1-EXP(-LN(2)/2))/(LN(2)/2)*V191*Y191*VLOOKUP('Données projet'!$B$9,Paramètres!$A$1:$I$89,3,0)*0.475*44/12</f>
        <v>1.65985662818329E-18</v>
      </c>
      <c r="AC191" s="22">
        <f t="shared" si="163"/>
        <v>20.100811144304792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141.51368882763865</v>
      </c>
      <c r="AO191" s="59">
        <f t="shared" si="144"/>
        <v>156.34514945935399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7.2272533508105781</v>
      </c>
      <c r="AV191" s="21">
        <f>EXP(-LN(2)/25)*AV190+(1-EXP(-LN(2)/25))/(LN(2)/25)*Calculateur!AQ191*Calculateur!AS191*VLOOKUP('Données projet'!$B$10,Paramètres!$A$1:$I$89,3,0)*0.475*44/12</f>
        <v>1.7140900842023392</v>
      </c>
      <c r="AW191" s="21">
        <f>EXP(-LN(2)/2)*AW190+(1-EXP(-LN(2)/2))/(LN(2)/2)*AQ191*AT191*VLOOKUP('Données projet'!$B$10,Paramètres!$A$1:$I$89,3,0)*0.475*44/12</f>
        <v>2.9822963662648688E-18</v>
      </c>
      <c r="AX191" s="21">
        <f t="shared" si="166"/>
        <v>8.941343435012918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6.3550942286383367E-14</v>
      </c>
      <c r="P192" s="13">
        <f t="shared" si="141"/>
        <v>1.0064464192543978E-12</v>
      </c>
      <c r="Q192" s="20">
        <f t="shared" si="162"/>
        <v>1.8635787380168604E-12</v>
      </c>
      <c r="R192" s="59">
        <f t="shared" si="109"/>
        <v>293.33333333333519</v>
      </c>
      <c r="S192" s="59">
        <f ca="1">AVERAGE(OFFSET($R$3,0,0,'Données projet'!$E$9+1,1))-AVERAGE(OFFSET($H$3,0,0,'Données projet'!$E$9+1,1))</f>
        <v>250.1520902752946</v>
      </c>
      <c r="T192" s="59">
        <f t="shared" si="142"/>
        <v>258.01144895030291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18.35853022556638</v>
      </c>
      <c r="AA192" s="21">
        <f>EXP(-LN(2)/25)*AA191+(1-EXP(-LN(2)/25))/(LN(2)/25)*Calculateur!V192*Calculateur!X192*VLOOKUP('Données projet'!$B$9,Paramètres!$A$1:$I$89,3,0)*0.475*44/12</f>
        <v>1.3374791117164484</v>
      </c>
      <c r="AB192" s="21">
        <f>EXP(-LN(2)/2)*AB191+(1-EXP(-LN(2)/2))/(LN(2)/2)*V192*Y192*VLOOKUP('Données projet'!$B$9,Paramètres!$A$1:$I$89,3,0)*0.475*44/12</f>
        <v>1.1736958775858422E-18</v>
      </c>
      <c r="AC192" s="22">
        <f t="shared" si="163"/>
        <v>19.696009337282828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141.51368882763865</v>
      </c>
      <c r="AO192" s="59">
        <f t="shared" si="144"/>
        <v>156.34514945935399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7.0855313207904542</v>
      </c>
      <c r="AV192" s="21">
        <f>EXP(-LN(2)/25)*AV191+(1-EXP(-LN(2)/25))/(LN(2)/25)*Calculateur!AQ192*Calculateur!AS192*VLOOKUP('Données projet'!$B$10,Paramètres!$A$1:$I$89,3,0)*0.475*44/12</f>
        <v>1.6672182007097462</v>
      </c>
      <c r="AW192" s="21">
        <f>EXP(-LN(2)/2)*AW191+(1-EXP(-LN(2)/2))/(LN(2)/2)*AQ192*AT192*VLOOKUP('Données projet'!$B$10,Paramètres!$A$1:$I$89,3,0)*0.475*44/12</f>
        <v>2.1088019840938883E-18</v>
      </c>
      <c r="AX192" s="21">
        <f t="shared" si="166"/>
        <v>8.7527495215002009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6.3550942286383367E-14</v>
      </c>
      <c r="P193" s="13">
        <f t="shared" si="141"/>
        <v>1.0064464192543978E-12</v>
      </c>
      <c r="Q193" s="20">
        <f t="shared" si="162"/>
        <v>1.8635787380168604E-12</v>
      </c>
      <c r="R193" s="59">
        <f t="shared" si="109"/>
        <v>293.33333333333519</v>
      </c>
      <c r="S193" s="59">
        <f ca="1">AVERAGE(OFFSET($R$3,0,0,'Données projet'!$E$9+1,1))-AVERAGE(OFFSET($H$3,0,0,'Données projet'!$E$9+1,1))</f>
        <v>250.1520902752946</v>
      </c>
      <c r="T193" s="59">
        <f t="shared" si="142"/>
        <v>258.01144895030291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17.998530645440791</v>
      </c>
      <c r="AA193" s="21">
        <f>EXP(-LN(2)/25)*AA192+(1-EXP(-LN(2)/25))/(LN(2)/25)*Calculateur!V193*Calculateur!X193*VLOOKUP('Données projet'!$B$9,Paramètres!$A$1:$I$89,3,0)*0.475*44/12</f>
        <v>1.3009056750715924</v>
      </c>
      <c r="AB193" s="21">
        <f>EXP(-LN(2)/2)*AB192+(1-EXP(-LN(2)/2))/(LN(2)/2)*V193*Y193*VLOOKUP('Données projet'!$B$9,Paramètres!$A$1:$I$89,3,0)*0.475*44/12</f>
        <v>8.2992831409164499E-19</v>
      </c>
      <c r="AC193" s="22">
        <f t="shared" si="163"/>
        <v>19.299436320512385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141.51368882763865</v>
      </c>
      <c r="AO193" s="59">
        <f t="shared" si="144"/>
        <v>156.34514945935399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6.9465883733371223</v>
      </c>
      <c r="AV193" s="21">
        <f>EXP(-LN(2)/25)*AV192+(1-EXP(-LN(2)/25))/(LN(2)/25)*Calculateur!AQ193*Calculateur!AS193*VLOOKUP('Données projet'!$B$10,Paramètres!$A$1:$I$89,3,0)*0.475*44/12</f>
        <v>1.6216280313361435</v>
      </c>
      <c r="AW193" s="21">
        <f>EXP(-LN(2)/2)*AW192+(1-EXP(-LN(2)/2))/(LN(2)/2)*AQ193*AT193*VLOOKUP('Données projet'!$B$10,Paramètres!$A$1:$I$89,3,0)*0.475*44/12</f>
        <v>1.4911481831324344E-18</v>
      </c>
      <c r="AX193" s="21">
        <f t="shared" si="166"/>
        <v>8.5682164046732652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6.3550942286383367E-14</v>
      </c>
      <c r="P194" s="13">
        <f t="shared" si="141"/>
        <v>1.0064464192543978E-12</v>
      </c>
      <c r="Q194" s="20">
        <f t="shared" si="162"/>
        <v>1.8635787380168604E-12</v>
      </c>
      <c r="R194" s="59">
        <f t="shared" si="109"/>
        <v>293.33333333333519</v>
      </c>
      <c r="S194" s="59">
        <f ca="1">AVERAGE(OFFSET($R$3,0,0,'Données projet'!$E$9+1,1))-AVERAGE(OFFSET($H$3,0,0,'Données projet'!$E$9+1,1))</f>
        <v>250.1520902752946</v>
      </c>
      <c r="T194" s="59">
        <f t="shared" si="142"/>
        <v>258.01144895030291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17.645590437503401</v>
      </c>
      <c r="AA194" s="21">
        <f>EXP(-LN(2)/25)*AA193+(1-EXP(-LN(2)/25))/(LN(2)/25)*Calculateur!V194*Calculateur!X194*VLOOKUP('Données projet'!$B$9,Paramètres!$A$1:$I$89,3,0)*0.475*44/12</f>
        <v>1.2653323409751034</v>
      </c>
      <c r="AB194" s="21">
        <f>EXP(-LN(2)/2)*AB193+(1-EXP(-LN(2)/2))/(LN(2)/2)*V194*Y194*VLOOKUP('Données projet'!$B$9,Paramètres!$A$1:$I$89,3,0)*0.475*44/12</f>
        <v>5.8684793879292109E-19</v>
      </c>
      <c r="AC194" s="22">
        <f t="shared" si="163"/>
        <v>18.910922778478504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141.51368882763865</v>
      </c>
      <c r="AO194" s="59">
        <f t="shared" si="144"/>
        <v>156.34514945935399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6.8103700123365201</v>
      </c>
      <c r="AV194" s="21">
        <f>EXP(-LN(2)/25)*AV193+(1-EXP(-LN(2)/25))/(LN(2)/25)*Calculateur!AQ194*Calculateur!AS194*VLOOKUP('Données projet'!$B$10,Paramètres!$A$1:$I$89,3,0)*0.475*44/12</f>
        <v>1.5772845275415448</v>
      </c>
      <c r="AW194" s="21">
        <f>EXP(-LN(2)/2)*AW193+(1-EXP(-LN(2)/2))/(LN(2)/2)*AQ194*AT194*VLOOKUP('Données projet'!$B$10,Paramètres!$A$1:$I$89,3,0)*0.475*44/12</f>
        <v>1.0544009920469442E-18</v>
      </c>
      <c r="AX194" s="21">
        <f t="shared" si="166"/>
        <v>8.3876545398780653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6.3550942286383367E-14</v>
      </c>
      <c r="P195" s="13">
        <f t="shared" si="141"/>
        <v>1.0064464192543978E-12</v>
      </c>
      <c r="Q195" s="20">
        <f t="shared" si="162"/>
        <v>1.8635787380168604E-12</v>
      </c>
      <c r="R195" s="59">
        <f t="shared" ref="R195:R203" si="191">Q195+(I195+J195)*44/12</f>
        <v>293.33333333333519</v>
      </c>
      <c r="S195" s="59">
        <f ca="1">AVERAGE(OFFSET($R$3,0,0,'Données projet'!$E$9+1,1))-AVERAGE(OFFSET($H$3,0,0,'Données projet'!$E$9+1,1))</f>
        <v>250.1520902752946</v>
      </c>
      <c r="T195" s="59">
        <f t="shared" si="142"/>
        <v>258.01144895030291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17.299571171771394</v>
      </c>
      <c r="AA195" s="21">
        <f>EXP(-LN(2)/25)*AA194+(1-EXP(-LN(2)/25))/(LN(2)/25)*Calculateur!V195*Calculateur!X195*VLOOKUP('Données projet'!$B$9,Paramètres!$A$1:$I$89,3,0)*0.475*44/12</f>
        <v>1.2307317615702034</v>
      </c>
      <c r="AB195" s="21">
        <f>EXP(-LN(2)/2)*AB194+(1-EXP(-LN(2)/2))/(LN(2)/2)*V195*Y195*VLOOKUP('Données projet'!$B$9,Paramètres!$A$1:$I$89,3,0)*0.475*44/12</f>
        <v>4.149641570458225E-19</v>
      </c>
      <c r="AC195" s="22">
        <f t="shared" si="163"/>
        <v>18.530302933341599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141.51368882763865</v>
      </c>
      <c r="AO195" s="59">
        <f t="shared" si="144"/>
        <v>156.34514945935399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6.676822810310143</v>
      </c>
      <c r="AV195" s="21">
        <f>EXP(-LN(2)/25)*AV194+(1-EXP(-LN(2)/25))/(LN(2)/25)*Calculateur!AQ195*Calculateur!AS195*VLOOKUP('Données projet'!$B$10,Paramètres!$A$1:$I$89,3,0)*0.475*44/12</f>
        <v>1.5341535991901329</v>
      </c>
      <c r="AW195" s="21">
        <f>EXP(-LN(2)/2)*AW194+(1-EXP(-LN(2)/2))/(LN(2)/2)*AQ195*AT195*VLOOKUP('Données projet'!$B$10,Paramètres!$A$1:$I$89,3,0)*0.475*44/12</f>
        <v>7.455740915662172E-19</v>
      </c>
      <c r="AX195" s="21">
        <f t="shared" si="166"/>
        <v>8.210976409500276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6.3550942286383367E-14</v>
      </c>
      <c r="P196" s="13">
        <f t="shared" si="141"/>
        <v>1.0064464192543978E-12</v>
      </c>
      <c r="Q196" s="20">
        <f t="shared" si="162"/>
        <v>1.8635787380168604E-12</v>
      </c>
      <c r="R196" s="59">
        <f t="shared" si="191"/>
        <v>293.33333333333519</v>
      </c>
      <c r="S196" s="59">
        <f ca="1">AVERAGE(OFFSET($R$3,0,0,'Données projet'!$E$9+1,1))-AVERAGE(OFFSET($H$3,0,0,'Données projet'!$E$9+1,1))</f>
        <v>250.1520902752946</v>
      </c>
      <c r="T196" s="59">
        <f t="shared" si="142"/>
        <v>258.01144895030291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16.960337132789476</v>
      </c>
      <c r="AA196" s="21">
        <f>EXP(-LN(2)/25)*AA195+(1-EXP(-LN(2)/25))/(LN(2)/25)*Calculateur!V196*Calculateur!X196*VLOOKUP('Données projet'!$B$9,Paramètres!$A$1:$I$89,3,0)*0.475*44/12</f>
        <v>1.1970773368286958</v>
      </c>
      <c r="AB196" s="21">
        <f>EXP(-LN(2)/2)*AB195+(1-EXP(-LN(2)/2))/(LN(2)/2)*V196*Y196*VLOOKUP('Données projet'!$B$9,Paramètres!$A$1:$I$89,3,0)*0.475*44/12</f>
        <v>2.9342396939646055E-19</v>
      </c>
      <c r="AC196" s="22">
        <f t="shared" si="163"/>
        <v>18.157414469618171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141.51368882763865</v>
      </c>
      <c r="AO196" s="59">
        <f t="shared" si="144"/>
        <v>156.34514945935399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6.5458943874597537</v>
      </c>
      <c r="AV196" s="21">
        <f>EXP(-LN(2)/25)*AV195+(1-EXP(-LN(2)/25))/(LN(2)/25)*Calculateur!AQ196*Calculateur!AS196*VLOOKUP('Données projet'!$B$10,Paramètres!$A$1:$I$89,3,0)*0.475*44/12</f>
        <v>1.4922020883426472</v>
      </c>
      <c r="AW196" s="21">
        <f>EXP(-LN(2)/2)*AW195+(1-EXP(-LN(2)/2))/(LN(2)/2)*AQ196*AT196*VLOOKUP('Données projet'!$B$10,Paramètres!$A$1:$I$89,3,0)*0.475*44/12</f>
        <v>5.2720049602347209E-19</v>
      </c>
      <c r="AX196" s="21">
        <f t="shared" si="166"/>
        <v>8.0380964758024014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6.3550942286383367E-14</v>
      </c>
      <c r="P197" s="13">
        <f t="shared" ref="P197:P203" si="203">EXP(-1.0587+0.8836*LN(O197)+0.284)</f>
        <v>1.0064464192543978E-12</v>
      </c>
      <c r="Q197" s="20">
        <f t="shared" si="162"/>
        <v>1.8635787380168604E-12</v>
      </c>
      <c r="R197" s="59">
        <f t="shared" si="191"/>
        <v>293.33333333333519</v>
      </c>
      <c r="S197" s="59">
        <f ca="1">AVERAGE(OFFSET($R$3,0,0,'Données projet'!$E$9+1,1))-AVERAGE(OFFSET($H$3,0,0,'Données projet'!$E$9+1,1))</f>
        <v>250.1520902752946</v>
      </c>
      <c r="T197" s="59">
        <f t="shared" ref="T197:T203" si="204">$T$3</f>
        <v>258.01144895030291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16.627755266399664</v>
      </c>
      <c r="AA197" s="21">
        <f>EXP(-LN(2)/25)*AA196+(1-EXP(-LN(2)/25))/(LN(2)/25)*Calculateur!V197*Calculateur!X197*VLOOKUP('Données projet'!$B$9,Paramètres!$A$1:$I$89,3,0)*0.475*44/12</f>
        <v>1.1643431941015538</v>
      </c>
      <c r="AB197" s="21">
        <f>EXP(-LN(2)/2)*AB196+(1-EXP(-LN(2)/2))/(LN(2)/2)*V197*Y197*VLOOKUP('Données projet'!$B$9,Paramètres!$A$1:$I$89,3,0)*0.475*44/12</f>
        <v>2.0748207852291125E-19</v>
      </c>
      <c r="AC197" s="22">
        <f t="shared" si="163"/>
        <v>17.792098460501219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141.51368882763865</v>
      </c>
      <c r="AO197" s="59">
        <f t="shared" ref="AO197:AO203" si="205">$AO$3</f>
        <v>156.34514945935399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6.4175333911230075</v>
      </c>
      <c r="AV197" s="21">
        <f>EXP(-LN(2)/25)*AV196+(1-EXP(-LN(2)/25))/(LN(2)/25)*Calculateur!AQ197*Calculateur!AS197*VLOOKUP('Données projet'!$B$10,Paramètres!$A$1:$I$89,3,0)*0.475*44/12</f>
        <v>1.4513977437654202</v>
      </c>
      <c r="AW197" s="21">
        <f>EXP(-LN(2)/2)*AW196+(1-EXP(-LN(2)/2))/(LN(2)/2)*AQ197*AT197*VLOOKUP('Données projet'!$B$10,Paramètres!$A$1:$I$89,3,0)*0.475*44/12</f>
        <v>3.727870457831086E-19</v>
      </c>
      <c r="AX197" s="21">
        <f t="shared" si="166"/>
        <v>7.8689311348884274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6.3550942286383367E-14</v>
      </c>
      <c r="P198" s="13">
        <f t="shared" si="203"/>
        <v>1.0064464192543978E-12</v>
      </c>
      <c r="Q198" s="20">
        <f t="shared" si="162"/>
        <v>1.8635787380168604E-12</v>
      </c>
      <c r="R198" s="59">
        <f t="shared" si="191"/>
        <v>293.33333333333519</v>
      </c>
      <c r="S198" s="59">
        <f ca="1">AVERAGE(OFFSET($R$3,0,0,'Données projet'!$E$9+1,1))-AVERAGE(OFFSET($H$3,0,0,'Données projet'!$E$9+1,1))</f>
        <v>250.1520902752946</v>
      </c>
      <c r="T198" s="59">
        <f t="shared" si="204"/>
        <v>258.01144895030291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16.301695127554847</v>
      </c>
      <c r="AA198" s="21">
        <f>EXP(-LN(2)/25)*AA197+(1-EXP(-LN(2)/25))/(LN(2)/25)*Calculateur!V198*Calculateur!X198*VLOOKUP('Données projet'!$B$9,Paramètres!$A$1:$I$89,3,0)*0.475*44/12</f>
        <v>1.1325041682286994</v>
      </c>
      <c r="AB198" s="21">
        <f>EXP(-LN(2)/2)*AB197+(1-EXP(-LN(2)/2))/(LN(2)/2)*V198*Y198*VLOOKUP('Données projet'!$B$9,Paramètres!$A$1:$I$89,3,0)*0.475*44/12</f>
        <v>1.4671198469823027E-19</v>
      </c>
      <c r="AC198" s="22">
        <f t="shared" si="163"/>
        <v>17.434199295783547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141.51368882763865</v>
      </c>
      <c r="AO198" s="59">
        <f t="shared" si="205"/>
        <v>156.34514945935399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6.2916894756319479</v>
      </c>
      <c r="AV198" s="21">
        <f>EXP(-LN(2)/25)*AV197+(1-EXP(-LN(2)/25))/(LN(2)/25)*Calculateur!AQ198*Calculateur!AS198*VLOOKUP('Données projet'!$B$10,Paramètres!$A$1:$I$89,3,0)*0.475*44/12</f>
        <v>1.4117091961364647</v>
      </c>
      <c r="AW198" s="21">
        <f>EXP(-LN(2)/2)*AW197+(1-EXP(-LN(2)/2))/(LN(2)/2)*AQ198*AT198*VLOOKUP('Données projet'!$B$10,Paramètres!$A$1:$I$89,3,0)*0.475*44/12</f>
        <v>2.6360024801173604E-19</v>
      </c>
      <c r="AX198" s="21">
        <f t="shared" si="166"/>
        <v>7.7033986717684124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6.3550942286383367E-14</v>
      </c>
      <c r="P199" s="13">
        <f t="shared" si="203"/>
        <v>1.0064464192543978E-12</v>
      </c>
      <c r="Q199" s="20">
        <f t="shared" si="162"/>
        <v>1.8635787380168604E-12</v>
      </c>
      <c r="R199" s="59">
        <f t="shared" si="191"/>
        <v>293.33333333333519</v>
      </c>
      <c r="S199" s="59">
        <f ca="1">AVERAGE(OFFSET($R$3,0,0,'Données projet'!$E$9+1,1))-AVERAGE(OFFSET($H$3,0,0,'Données projet'!$E$9+1,1))</f>
        <v>250.1520902752946</v>
      </c>
      <c r="T199" s="59">
        <f t="shared" si="204"/>
        <v>258.01144895030291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15.98202882915573</v>
      </c>
      <c r="AA199" s="21">
        <f>EXP(-LN(2)/25)*AA198+(1-EXP(-LN(2)/25))/(LN(2)/25)*Calculateur!V199*Calculateur!X199*VLOOKUP('Données projet'!$B$9,Paramètres!$A$1:$I$89,3,0)*0.475*44/12</f>
        <v>1.1015357821926797</v>
      </c>
      <c r="AB199" s="21">
        <f>EXP(-LN(2)/2)*AB198+(1-EXP(-LN(2)/2))/(LN(2)/2)*V199*Y199*VLOOKUP('Données projet'!$B$9,Paramètres!$A$1:$I$89,3,0)*0.475*44/12</f>
        <v>1.0374103926145562E-19</v>
      </c>
      <c r="AC199" s="22">
        <f t="shared" si="163"/>
        <v>17.083564611348411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141.51368882763865</v>
      </c>
      <c r="AO199" s="59">
        <f t="shared" si="205"/>
        <v>156.34514945935399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6.1683132825664586</v>
      </c>
      <c r="AV199" s="21">
        <f>EXP(-LN(2)/25)*AV198+(1-EXP(-LN(2)/25))/(LN(2)/25)*Calculateur!AQ199*Calculateur!AS199*VLOOKUP('Données projet'!$B$10,Paramètres!$A$1:$I$89,3,0)*0.475*44/12</f>
        <v>1.373105933929553</v>
      </c>
      <c r="AW199" s="21">
        <f>EXP(-LN(2)/2)*AW198+(1-EXP(-LN(2)/2))/(LN(2)/2)*AQ199*AT199*VLOOKUP('Données projet'!$B$10,Paramètres!$A$1:$I$89,3,0)*0.475*44/12</f>
        <v>1.863935228915543E-19</v>
      </c>
      <c r="AX199" s="21">
        <f t="shared" si="166"/>
        <v>7.5414192164960117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6.3550942286383367E-14</v>
      </c>
      <c r="P200" s="13">
        <f t="shared" si="203"/>
        <v>1.0064464192543978E-12</v>
      </c>
      <c r="Q200" s="20">
        <f t="shared" si="162"/>
        <v>1.8635787380168604E-12</v>
      </c>
      <c r="R200" s="59">
        <f t="shared" si="191"/>
        <v>293.33333333333519</v>
      </c>
      <c r="S200" s="59">
        <f ca="1">AVERAGE(OFFSET($R$3,0,0,'Données projet'!$E$9+1,1))-AVERAGE(OFFSET($H$3,0,0,'Données projet'!$E$9+1,1))</f>
        <v>250.1520902752946</v>
      </c>
      <c r="T200" s="59">
        <f t="shared" si="204"/>
        <v>258.01144895030291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15.66863099189103</v>
      </c>
      <c r="AA200" s="21">
        <f>EXP(-LN(2)/25)*AA199+(1-EXP(-LN(2)/25))/(LN(2)/25)*Calculateur!V200*Calculateur!X200*VLOOKUP('Données projet'!$B$9,Paramètres!$A$1:$I$89,3,0)*0.475*44/12</f>
        <v>1.0714142283013717</v>
      </c>
      <c r="AB200" s="21">
        <f>EXP(-LN(2)/2)*AB199+(1-EXP(-LN(2)/2))/(LN(2)/2)*V200*Y200*VLOOKUP('Données projet'!$B$9,Paramètres!$A$1:$I$89,3,0)*0.475*44/12</f>
        <v>7.3355992349115137E-20</v>
      </c>
      <c r="AC200" s="22">
        <f t="shared" si="163"/>
        <v>16.740045220192403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141.51368882763865</v>
      </c>
      <c r="AO200" s="59">
        <f t="shared" si="205"/>
        <v>156.34514945935399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6.0473564213949365</v>
      </c>
      <c r="AV200" s="21">
        <f>EXP(-LN(2)/25)*AV199+(1-EXP(-LN(2)/25))/(LN(2)/25)*Calculateur!AQ200*Calculateur!AS200*VLOOKUP('Données projet'!$B$10,Paramètres!$A$1:$I$89,3,0)*0.475*44/12</f>
        <v>1.3355582799577466</v>
      </c>
      <c r="AW200" s="21">
        <f>EXP(-LN(2)/2)*AW199+(1-EXP(-LN(2)/2))/(LN(2)/2)*AQ200*AT200*VLOOKUP('Données projet'!$B$10,Paramètres!$A$1:$I$89,3,0)*0.475*44/12</f>
        <v>1.3180012400586802E-19</v>
      </c>
      <c r="AX200" s="21">
        <f t="shared" si="166"/>
        <v>7.382914701352683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6.3550942286383367E-14</v>
      </c>
      <c r="P201" s="13">
        <f t="shared" si="203"/>
        <v>1.0064464192543978E-12</v>
      </c>
      <c r="Q201" s="20">
        <f t="shared" si="162"/>
        <v>1.8635787380168604E-12</v>
      </c>
      <c r="R201" s="59">
        <f t="shared" si="191"/>
        <v>293.33333333333519</v>
      </c>
      <c r="S201" s="59">
        <f ca="1">AVERAGE(OFFSET($R$3,0,0,'Données projet'!$E$9+1,1))-AVERAGE(OFFSET($H$3,0,0,'Données projet'!$E$9+1,1))</f>
        <v>250.1520902752946</v>
      </c>
      <c r="T201" s="59">
        <f t="shared" si="204"/>
        <v>258.01144895030291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15.361378695061285</v>
      </c>
      <c r="AA201" s="21">
        <f>EXP(-LN(2)/25)*AA200+(1-EXP(-LN(2)/25))/(LN(2)/25)*Calculateur!V201*Calculateur!X201*VLOOKUP('Données projet'!$B$9,Paramètres!$A$1:$I$89,3,0)*0.475*44/12</f>
        <v>1.042116349885245</v>
      </c>
      <c r="AB201" s="21">
        <f>EXP(-LN(2)/2)*AB200+(1-EXP(-LN(2)/2))/(LN(2)/2)*V201*Y201*VLOOKUP('Données projet'!$B$9,Paramètres!$A$1:$I$89,3,0)*0.475*44/12</f>
        <v>5.1870519630727812E-20</v>
      </c>
      <c r="AC201" s="22">
        <f t="shared" si="163"/>
        <v>16.403495044946531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141.51368882763865</v>
      </c>
      <c r="AO201" s="59">
        <f t="shared" si="205"/>
        <v>156.34514945935399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5.9287714504945876</v>
      </c>
      <c r="AV201" s="21">
        <f>EXP(-LN(2)/25)*AV200+(1-EXP(-LN(2)/25))/(LN(2)/25)*Calculateur!AQ201*Calculateur!AS201*VLOOKUP('Données projet'!$B$10,Paramètres!$A$1:$I$89,3,0)*0.475*44/12</f>
        <v>1.2990373685583445</v>
      </c>
      <c r="AW201" s="21">
        <f>EXP(-LN(2)/2)*AW200+(1-EXP(-LN(2)/2))/(LN(2)/2)*AQ201*AT201*VLOOKUP('Données projet'!$B$10,Paramètres!$A$1:$I$89,3,0)*0.475*44/12</f>
        <v>9.319676144577715E-20</v>
      </c>
      <c r="AX201" s="21">
        <f t="shared" si="166"/>
        <v>7.2278088190529317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6.3550942286383367E-14</v>
      </c>
      <c r="P202" s="13">
        <f t="shared" si="203"/>
        <v>1.0064464192543978E-12</v>
      </c>
      <c r="Q202" s="20">
        <f t="shared" si="162"/>
        <v>1.8635787380168604E-12</v>
      </c>
      <c r="R202" s="59">
        <f t="shared" si="191"/>
        <v>293.33333333333519</v>
      </c>
      <c r="S202" s="59">
        <f ca="1">AVERAGE(OFFSET($R$3,0,0,'Données projet'!$E$9+1,1))-AVERAGE(OFFSET($H$3,0,0,'Données projet'!$E$9+1,1))</f>
        <v>250.1520902752946</v>
      </c>
      <c r="T202" s="59">
        <f t="shared" si="204"/>
        <v>258.01144895030291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15.060151428366975</v>
      </c>
      <c r="AA202" s="21">
        <f>EXP(-LN(2)/25)*AA201+(1-EXP(-LN(2)/25))/(LN(2)/25)*Calculateur!V202*Calculateur!X202*VLOOKUP('Données projet'!$B$9,Paramètres!$A$1:$I$89,3,0)*0.475*44/12</f>
        <v>1.013619623495116</v>
      </c>
      <c r="AB202" s="21">
        <f>EXP(-LN(2)/2)*AB201+(1-EXP(-LN(2)/2))/(LN(2)/2)*V202*Y202*VLOOKUP('Données projet'!$B$9,Paramètres!$A$1:$I$89,3,0)*0.475*44/12</f>
        <v>3.6677996174557568E-20</v>
      </c>
      <c r="AC202" s="22">
        <f t="shared" si="163"/>
        <v>16.073771051862092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141.51368882763865</v>
      </c>
      <c r="AO202" s="59">
        <f t="shared" si="205"/>
        <v>156.34514945935399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5.8125118585439042</v>
      </c>
      <c r="AV202" s="21">
        <f>EXP(-LN(2)/25)*AV201+(1-EXP(-LN(2)/25))/(LN(2)/25)*Calculateur!AQ202*Calculateur!AS202*VLOOKUP('Données projet'!$B$10,Paramètres!$A$1:$I$89,3,0)*0.475*44/12</f>
        <v>1.2635151234017103</v>
      </c>
      <c r="AW202" s="21">
        <f>EXP(-LN(2)/2)*AW201+(1-EXP(-LN(2)/2))/(LN(2)/2)*AQ202*AT202*VLOOKUP('Données projet'!$B$10,Paramètres!$A$1:$I$89,3,0)*0.475*44/12</f>
        <v>6.5900062002934011E-20</v>
      </c>
      <c r="AX202" s="21">
        <f t="shared" si="166"/>
        <v>7.0760269819456143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6.3550942286383367E-14</v>
      </c>
      <c r="P203" s="13">
        <f t="shared" si="203"/>
        <v>1.0064464192543978E-12</v>
      </c>
      <c r="Q203" s="20">
        <f t="shared" si="162"/>
        <v>1.8635787380168604E-12</v>
      </c>
      <c r="R203" s="59">
        <f t="shared" si="191"/>
        <v>293.33333333333519</v>
      </c>
      <c r="S203" s="59">
        <f ca="1">AVERAGE(OFFSET($R$3,0,0,'Données projet'!$E$9+1,1))-AVERAGE(OFFSET($H$3,0,0,'Données projet'!$E$9+1,1))</f>
        <v>250.1520902752946</v>
      </c>
      <c r="T203" s="59">
        <f t="shared" si="204"/>
        <v>258.01144895030291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14.764831044642049</v>
      </c>
      <c r="AA203" s="21">
        <f>EXP(-LN(2)/25)*AA202+(1-EXP(-LN(2)/25))/(LN(2)/25)*Calculateur!V203*Calculateur!X203*VLOOKUP('Données projet'!$B$9,Paramètres!$A$1:$I$89,3,0)*0.475*44/12</f>
        <v>0.98590214158670275</v>
      </c>
      <c r="AB203" s="21">
        <f>EXP(-LN(2)/2)*AB202+(1-EXP(-LN(2)/2))/(LN(2)/2)*V203*Y203*VLOOKUP('Données projet'!$B$9,Paramètres!$A$1:$I$89,3,0)*0.475*44/12</f>
        <v>2.5935259815363906E-20</v>
      </c>
      <c r="AC203" s="22">
        <f t="shared" si="163"/>
        <v>15.750733186228752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141.51368882763865</v>
      </c>
      <c r="AO203" s="59">
        <f t="shared" si="205"/>
        <v>156.34514945935399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5.6985320462800244</v>
      </c>
      <c r="AV203" s="21">
        <f>EXP(-LN(2)/25)*AV202+(1-EXP(-LN(2)/25))/(LN(2)/25)*Calculateur!AQ203*Calculateur!AS203*VLOOKUP('Données projet'!$B$10,Paramètres!$A$1:$I$89,3,0)*0.475*44/12</f>
        <v>1.2289642359069179</v>
      </c>
      <c r="AW203" s="21">
        <f>EXP(-LN(2)/2)*AW202+(1-EXP(-LN(2)/2))/(LN(2)/2)*AQ203*AT203*VLOOKUP('Données projet'!$B$10,Paramètres!$A$1:$I$89,3,0)*0.475*44/12</f>
        <v>4.6598380722888575E-20</v>
      </c>
      <c r="AX203" s="21">
        <f t="shared" si="166"/>
        <v>6.9274962821869419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1.3037606943669584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1.2802842468510145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1.175</v>
      </c>
      <c r="C6" s="147">
        <f ca="1">IF(OR('Données projet'!B9="",'Données projet'!C9="",'Données projet'!C9=0%),0,Calculateur!S3)</f>
        <v>250.1520902752946</v>
      </c>
      <c r="D6" s="147">
        <f>IF(OR('Données projet'!B9="",'Données projet'!C9="",'Données projet'!C9=0%),0,Calculateur!T3)</f>
        <v>258.01144895030291</v>
      </c>
      <c r="E6" s="147">
        <f ca="1">MIN(C6,D6)</f>
        <v>250.1520902752946</v>
      </c>
      <c r="F6" s="147">
        <f ca="1">E6*B6</f>
        <v>293.92870607347118</v>
      </c>
      <c r="G6" s="147">
        <f ca="1">F6*(100%-'Données projet'!$C$24)*(100%-'Données projet'!$C$25)*(100%-'Données projet'!$C$26)*(100%-'Données projet'!$C$27)</f>
        <v>264.53583546612407</v>
      </c>
      <c r="H6" s="148">
        <f>IF(OR('Données projet'!B9="",'Données projet'!C9="",'Données projet'!C9=0%),0,AVERAGE(Calculateur!$AC$3:$AC$33)*B6)</f>
        <v>10.797386136126537</v>
      </c>
      <c r="I6" s="149">
        <f>H6*(100%-'Données projet'!$C$24)*(100%-'Données projet'!$C$25)*(100%-'Données projet'!$C$26)*(100%-'Données projet'!$C$27)</f>
        <v>9.7176475225138841</v>
      </c>
      <c r="J6" s="150">
        <f>IF(OR('Données projet'!B9="",'Données projet'!C9="",'Données projet'!C9=0%),0,SUM(Calculateur!$V$3:$V$33)*VLOOKUP('Données projet'!$B$9,Paramètres!$A$1:$I$89,9,0)*B6)</f>
        <v>66.98604499999999</v>
      </c>
      <c r="K6" s="151">
        <f>J6*(100%-'Données projet'!$C$24)*(100%-'Données projet'!$C$25)*(100%-'Données projet'!$C$26)*(100%-'Données projet'!$C$27)</f>
        <v>60.287440499999995</v>
      </c>
      <c r="L6" s="152">
        <f ca="1">G6+I6+K6</f>
        <v>334.54092348863793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Cèdre de l'Atlas</v>
      </c>
      <c r="B7" s="154">
        <f>'Données projet'!D10</f>
        <v>1.175</v>
      </c>
      <c r="C7" s="147">
        <f ca="1">IF(OR('Données projet'!B10="",'Données projet'!C10="",'Données projet'!C10=0%),0,Calculateur!AN3)</f>
        <v>141.51368882763865</v>
      </c>
      <c r="D7" s="147">
        <f>IF(OR('Données projet'!B10="",'Données projet'!C10="",'Données projet'!C10=0%),0,Calculateur!AO3)</f>
        <v>156.34514945935399</v>
      </c>
      <c r="E7" s="147">
        <f t="shared" ref="E7:E15" ca="1" si="0">MIN(C7,D7)</f>
        <v>141.51368882763865</v>
      </c>
      <c r="F7" s="147">
        <f t="shared" ref="F7:F15" ca="1" si="1">E7*B7</f>
        <v>166.27858437247542</v>
      </c>
      <c r="G7" s="147">
        <f ca="1">F7*(100%-'Données projet'!$C$24)*(100%-'Données projet'!$C$25)*(100%-'Données projet'!$C$26)*(100%-'Données projet'!$C$27)</f>
        <v>149.65072593522788</v>
      </c>
      <c r="H7" s="155">
        <f>IF(OR('Données projet'!B10="",'Données projet'!C10="",'Données projet'!C10=0%),0,AVERAGE(Calculateur!$AX$3:$AX$33)*B7)</f>
        <v>4.7979519795590209</v>
      </c>
      <c r="I7" s="149">
        <f>H7*(100%-'Données projet'!$C$24)*(100%-'Données projet'!$C$25)*(100%-'Données projet'!$C$26)*(100%-'Données projet'!$C$27)</f>
        <v>4.3181567816031192</v>
      </c>
      <c r="J7" s="150">
        <f>IF(OR('Données projet'!B10="",'Données projet'!C10="",'Données projet'!C10=0%),0,SUM(Calculateur!$AQ$3:$AQ$33)*VLOOKUP('Données projet'!$B$10,Paramètres!$A$1:$I$89,9,0)*B7)</f>
        <v>45.472500000000004</v>
      </c>
      <c r="K7" s="151">
        <f>J7*(100%-'Données projet'!$C$24)*(100%-'Données projet'!$C$25)*(100%-'Données projet'!$C$26)*(100%-'Données projet'!$C$27)</f>
        <v>40.925250000000005</v>
      </c>
      <c r="L7" s="152">
        <f t="shared" ref="L7:L15" ca="1" si="2">G7+I7+K7</f>
        <v>194.894132716831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460.20729044594657</v>
      </c>
      <c r="G16" s="166">
        <f t="shared" ca="1" si="3"/>
        <v>414.18656140135192</v>
      </c>
      <c r="H16" s="167">
        <f t="shared" si="3"/>
        <v>15.595338115685557</v>
      </c>
      <c r="I16" s="167">
        <f t="shared" si="3"/>
        <v>14.035804304117004</v>
      </c>
      <c r="J16" s="168">
        <f t="shared" si="3"/>
        <v>112.45854499999999</v>
      </c>
      <c r="K16" s="168">
        <f t="shared" si="3"/>
        <v>101.21269050000001</v>
      </c>
      <c r="L16" s="169">
        <f t="shared" ca="1" si="3"/>
        <v>529.43505620546898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8" zoomScale="89" zoomScaleNormal="80" workbookViewId="0">
      <selection activeCell="I26" sqref="I2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2508.373142562059</v>
      </c>
      <c r="U10" s="178">
        <f>'Données projet'!D9</f>
        <v>1.175</v>
      </c>
      <c r="V10" s="177">
        <f>U10*T10</f>
        <v>2947.3384425104196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Cèdre de l'Atlas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-2787.2934649636536</v>
      </c>
      <c r="U11" s="178">
        <f>'Données projet'!D10</f>
        <v>1.175</v>
      </c>
      <c r="V11" s="177">
        <f t="shared" ref="V11" si="0">U11*T11</f>
        <v>-3275.069821332293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3689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500+287.74</f>
        <v>787.74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500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500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19</v>
      </c>
      <c r="B23" s="181">
        <f>'Données projet'!D36</f>
        <v>0</v>
      </c>
      <c r="C23" s="193">
        <f>67*'Données projet'!E36+19.4*('Données projet'!F36+'Données projet'!G36)+10*'Données projet'!G36</f>
        <v>23.799999999999997</v>
      </c>
      <c r="D23" s="182">
        <f>B23*C23</f>
        <v>0</v>
      </c>
      <c r="E23" s="193"/>
      <c r="F23" s="229"/>
      <c r="H23" s="190">
        <v>3</v>
      </c>
      <c r="I23" s="191">
        <v>500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-6351.8334748042162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21</v>
      </c>
      <c r="B24" s="181">
        <f>'Données projet'!D37</f>
        <v>64.58</v>
      </c>
      <c r="C24" s="193">
        <f>67*'Données projet'!E37+19.4*('Données projet'!F37+'Données projet'!G37)+10*'Données projet'!G37</f>
        <v>32.42</v>
      </c>
      <c r="D24" s="182">
        <f t="shared" ref="D24:D42" si="2">B24*C24</f>
        <v>2093.6835999999998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188.23501093243709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28</v>
      </c>
      <c r="B25" s="181">
        <f>'Données projet'!D38</f>
        <v>68</v>
      </c>
      <c r="C25" s="193">
        <f>67*'Données projet'!E38+19.4*('Données projet'!F38+'Données projet'!G38)+10*'Données projet'!G38</f>
        <v>41.04</v>
      </c>
      <c r="D25" s="182">
        <f t="shared" si="2"/>
        <v>2790.72</v>
      </c>
      <c r="E25" s="193"/>
      <c r="F25" s="232"/>
      <c r="H25" s="190">
        <v>5</v>
      </c>
      <c r="I25" s="191">
        <v>500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-6540.0684857366532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86.68</v>
      </c>
      <c r="C26" s="193">
        <f>67*'Données projet'!E39+19.4*('Données projet'!F39+'Données projet'!G39)+10*'Données projet'!G39</f>
        <v>45.400000000000006</v>
      </c>
      <c r="D26" s="182">
        <f t="shared" si="2"/>
        <v>3935.2720000000008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42</v>
      </c>
      <c r="B27" s="181">
        <f>'Données projet'!D40</f>
        <v>99.98</v>
      </c>
      <c r="C27" s="193">
        <f>67*'Données projet'!E40+19.4*('Données projet'!F40+'Données projet'!G40)+10*'Données projet'!G40</f>
        <v>49.759999999999991</v>
      </c>
      <c r="D27" s="182">
        <f t="shared" si="2"/>
        <v>4975.0047999999997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49</v>
      </c>
      <c r="B28" s="181">
        <f>'Données projet'!D41</f>
        <v>113</v>
      </c>
      <c r="C28" s="193">
        <f>67*'Données projet'!E41+19.4*('Données projet'!F41+'Données projet'!G41)+10*'Données projet'!G41</f>
        <v>54.019999999999996</v>
      </c>
      <c r="D28" s="182">
        <f t="shared" si="2"/>
        <v>6104.2599999999993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60</v>
      </c>
      <c r="B29" s="181">
        <f>'Données projet'!D42</f>
        <v>533.49</v>
      </c>
      <c r="C29" s="193">
        <f>67*'Données projet'!E42+19.4*('Données projet'!F42+'Données projet'!G42)+10*'Données projet'!G42</f>
        <v>58.38</v>
      </c>
      <c r="D29" s="182">
        <f t="shared" si="2"/>
        <v>31145.146200000003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>
        <f>67*'Données projet'!E43+19.4*('Données projet'!F43+'Données projet'!G43)+10*'Données projet'!G43</f>
        <v>0</v>
      </c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>
        <f>67*'Données projet'!E44+19.4*('Données projet'!F44+'Données projet'!G44)+10*'Données projet'!G44</f>
        <v>0</v>
      </c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>
        <f>67*'Données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>
        <f>67*'Données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>
        <f>67*'Données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67*'Données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67*'Données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67*'Données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67*'Données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67*'Données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67*'Données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67*'Données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67*'Données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4796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40</v>
      </c>
      <c r="C54" s="191">
        <f>55*'Données projet'!E62+19.3*('Données projet'!F62+'Données projet'!G62)+10*'Données projet'!H62</f>
        <v>19.3</v>
      </c>
      <c r="D54" s="179">
        <f>B54*C54</f>
        <v>772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30</v>
      </c>
      <c r="B55" s="181">
        <f>'Données projet'!D63</f>
        <v>50</v>
      </c>
      <c r="C55" s="191">
        <f>55*'Données projet'!E63+19.3*('Données projet'!F63+'Données projet'!G63)+10*'Données projet'!H63</f>
        <v>28.563000000000002</v>
      </c>
      <c r="D55" s="179">
        <f t="shared" ref="D55:D73" si="4">B55*C55</f>
        <v>1428.15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40</v>
      </c>
      <c r="B56" s="181">
        <f>'Données projet'!D64</f>
        <v>50</v>
      </c>
      <c r="C56" s="191">
        <f>55*'Données projet'!E64+19.3*('Données projet'!F64+'Données projet'!G64)+10*'Données projet'!H64</f>
        <v>30.009999999999998</v>
      </c>
      <c r="D56" s="179">
        <f t="shared" si="4"/>
        <v>1500.5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50</v>
      </c>
      <c r="B57" s="181">
        <f>'Données projet'!D65</f>
        <v>50</v>
      </c>
      <c r="C57" s="191">
        <f>55*'Données projet'!E65+19.3*('Données projet'!F65+'Données projet'!G65)+10*'Données projet'!H65</f>
        <v>33.58</v>
      </c>
      <c r="D57" s="179">
        <f t="shared" si="4"/>
        <v>1679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60</v>
      </c>
      <c r="B58" s="181">
        <f>'Données projet'!D66</f>
        <v>470</v>
      </c>
      <c r="C58" s="191">
        <f>55*'Données projet'!E66+19.3*('Données projet'!F66+'Données projet'!G66)+10*'Données projet'!H66</f>
        <v>37.15</v>
      </c>
      <c r="D58" s="179">
        <f t="shared" si="4"/>
        <v>17460.5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55*'Données projet'!E67+19.3*('Données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55*'Données projet'!E68+19.3*('Données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55*'Données projet'!E69+19.3*('Données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55*'Données projet'!E70+19.3*('Données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55*'Données projet'!E71+19.3*('Données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55*'Données projet'!E72+19.3*('Données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55*'Données projet'!E73+19.3*('Données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55*'Données projet'!E74+19.3*('Données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55*'Données projet'!E75+19.3*('Données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55*'Données projet'!E76+19.3*('Données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55*'Données projet'!E77+19.3*('Données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55*'Données projet'!E78+19.3*('Données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55*'Données projet'!E79+19.3*('Données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55*'Données projet'!E80+19.3*('Données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55*'Données projet'!E81+19.3*('Données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2023-10-30T13:42:41Z</dcterms:modified>
</cp:coreProperties>
</file>