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iaLINK\Desktop\Solenn de Falandre\Nouveaux docs - dossier V2\"/>
    </mc:Choice>
  </mc:AlternateContent>
  <xr:revisionPtr revIDLastSave="0" documentId="8_{EEC52503-3A77-4E8E-A0C5-FBADE506A850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6" i="1"/>
  <c r="E15" i="1"/>
  <c r="E14" i="1"/>
  <c r="E13" i="1"/>
  <c r="E12" i="1"/>
  <c r="E11" i="1"/>
  <c r="E9" i="1"/>
  <c r="C16" i="1"/>
  <c r="C15" i="1"/>
  <c r="C14" i="1"/>
  <c r="C13" i="1"/>
  <c r="C12" i="1"/>
  <c r="C11" i="1"/>
  <c r="C10" i="1"/>
  <c r="C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Q4" i="2"/>
  <c r="FR4" i="2"/>
  <c r="GL4" i="2"/>
  <c r="BQ4" i="2"/>
  <c r="BR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X7" i="2"/>
  <c r="EB7" i="2"/>
  <c r="HI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A18" i="2"/>
  <c r="FS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HG28" i="2"/>
  <c r="EC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A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EW38" i="2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W44" i="2"/>
  <c r="EC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G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HG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V85" i="2"/>
  <c r="HH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V105" i="2"/>
  <c r="EA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B113" i="2"/>
  <c r="HG113" i="2"/>
  <c r="FS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H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EW130" i="2"/>
  <c r="HG130" i="2"/>
  <c r="HI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HG140" i="2"/>
  <c r="EC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G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G146" i="2"/>
  <c r="FS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EB154" i="2"/>
  <c r="A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DI154" i="2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G156" i="2" l="1"/>
  <c r="HI156" i="2"/>
  <c r="EY155" i="2"/>
  <c r="ED155" i="2"/>
  <c r="AB156" i="2"/>
  <c r="FS156" i="2"/>
  <c r="DH156" i="2"/>
  <c r="EB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X157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C158" i="2"/>
  <c r="ED157" i="2"/>
  <c r="HH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HH160" i="2"/>
  <c r="FS160" i="2"/>
  <c r="ED159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D160" i="2"/>
  <c r="AB161" i="2"/>
  <c r="EA161" i="2"/>
  <c r="EX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W162" i="2"/>
  <c r="ED161" i="2"/>
  <c r="EY161" i="2"/>
  <c r="DI161" i="2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Y162" i="2"/>
  <c r="EB163" i="2"/>
  <c r="EA163" i="2"/>
  <c r="HI163" i="2"/>
  <c r="EV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EX164" i="2"/>
  <c r="DH164" i="2"/>
  <c r="FR164" i="2"/>
  <c r="FS164" i="2"/>
  <c r="EV164" i="2"/>
  <c r="HG164" i="2"/>
  <c r="HH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B165" i="2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G166" i="2"/>
  <c r="HJ166" i="2" s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Y166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W168" i="2"/>
  <c r="EV168" i="2"/>
  <c r="HI168" i="2"/>
  <c r="EB168" i="2"/>
  <c r="HH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B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W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B175" i="2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EB178" i="2"/>
  <c r="ED177" i="2"/>
  <c r="FQ178" i="2"/>
  <c r="FS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Y182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V185" i="2"/>
  <c r="EY184" i="2"/>
  <c r="HH185" i="2"/>
  <c r="EB185" i="2"/>
  <c r="HG185" i="2"/>
  <c r="HI185" i="2"/>
  <c r="EW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ED185" i="2"/>
  <c r="FR186" i="2"/>
  <c r="EA186" i="2"/>
  <c r="EB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EB189" i="2"/>
  <c r="AA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HH190" i="2"/>
  <c r="EW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A192" i="2"/>
  <c r="EB192" i="2"/>
  <c r="EV192" i="2"/>
  <c r="EW192" i="2"/>
  <c r="HI192" i="2"/>
  <c r="EC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A193" i="2"/>
  <c r="EB193" i="2"/>
  <c r="FQ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CN193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DH195" i="2"/>
  <c r="EY194" i="2"/>
  <c r="EX195" i="2"/>
  <c r="EB195" i="2"/>
  <c r="AA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FS197" i="2"/>
  <c r="EY196" i="2"/>
  <c r="EC197" i="2"/>
  <c r="AA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Y198" i="2"/>
  <c r="EV199" i="2"/>
  <c r="EB199" i="2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 l="1"/>
  <c r="ED200" i="2"/>
  <c r="DI200" i="2"/>
  <c r="EA201" i="2"/>
  <c r="HH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 l="1"/>
  <c r="HG202" i="2"/>
  <c r="EW202" i="2"/>
  <c r="ED201" i="2"/>
  <c r="FS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52" i="2" a="1"/>
  <c r="FY152" i="2" s="1"/>
  <c r="FY104" i="2" a="1"/>
  <c r="FY104" i="2" s="1"/>
  <c r="FY172" i="2" a="1"/>
  <c r="FY172" i="2" s="1"/>
  <c r="FD144" i="2" a="1"/>
  <c r="FD144" i="2" s="1"/>
  <c r="BC58" i="2" a="1"/>
  <c r="BC5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2" i="2" a="1"/>
  <c r="EI162" i="2" s="1"/>
  <c r="EI145" i="2" a="1"/>
  <c r="EI145" i="2" s="1"/>
  <c r="FY82" i="2" a="1"/>
  <c r="FY82" i="2" s="1"/>
  <c r="FD188" i="2" a="1"/>
  <c r="FD188" i="2" s="1"/>
  <c r="FD44" i="2" a="1"/>
  <c r="FD44" i="2" s="1"/>
  <c r="FD14" i="2" a="1"/>
  <c r="FD14" i="2" s="1"/>
  <c r="BC164" i="2" a="1"/>
  <c r="BC164" i="2" s="1"/>
  <c r="BC32" i="2" a="1"/>
  <c r="BC32" i="2" s="1"/>
  <c r="BC84" i="2" a="1"/>
  <c r="BC84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6" i="2" a="1"/>
  <c r="DN6" i="2" s="1"/>
  <c r="DO6" i="2" s="1"/>
  <c r="HJ202" i="2"/>
  <c r="AX200" i="2"/>
  <c r="EI166" i="2" l="1" a="1"/>
  <c r="EI166" i="2" s="1"/>
  <c r="EI170" i="2" a="1"/>
  <c r="EI170" i="2" s="1"/>
  <c r="CS24" i="2" a="1"/>
  <c r="CS24" i="2" s="1"/>
  <c r="FD48" i="2" a="1"/>
  <c r="FD48" i="2" s="1"/>
  <c r="FD21" i="2" a="1"/>
  <c r="FD21" i="2" s="1"/>
  <c r="EI165" i="2" a="1"/>
  <c r="EI165" i="2" s="1"/>
  <c r="EI71" i="2" a="1"/>
  <c r="EI71" i="2" s="1"/>
  <c r="FY182" i="2" a="1"/>
  <c r="FY182" i="2" s="1"/>
  <c r="FY186" i="2" a="1"/>
  <c r="FY186" i="2" s="1"/>
  <c r="EI34" i="2" a="1"/>
  <c r="EI34" i="2" s="1"/>
  <c r="EI38" i="2" a="1"/>
  <c r="EI38" i="2" s="1"/>
  <c r="EI178" i="2" a="1"/>
  <c r="EI178" i="2" s="1"/>
  <c r="FY71" i="2" a="1"/>
  <c r="FY71" i="2" s="1"/>
  <c r="EI57" i="2" a="1"/>
  <c r="EI57" i="2" s="1"/>
  <c r="EI35" i="2" a="1"/>
  <c r="EI35" i="2" s="1"/>
  <c r="EI29" i="2" a="1"/>
  <c r="EI29" i="2" s="1"/>
  <c r="EI139" i="2" a="1"/>
  <c r="EI139" i="2" s="1"/>
  <c r="EI87" i="2" a="1"/>
  <c r="EI87" i="2" s="1"/>
  <c r="EI106" i="2" a="1"/>
  <c r="EI106" i="2" s="1"/>
  <c r="FY178" i="2" a="1"/>
  <c r="FY178" i="2" s="1"/>
  <c r="EI37" i="2" a="1"/>
  <c r="EI37" i="2" s="1"/>
  <c r="EI150" i="2" a="1"/>
  <c r="EI150" i="2" s="1"/>
  <c r="EI36" i="2" a="1"/>
  <c r="EI36" i="2" s="1"/>
  <c r="EI67" i="2" a="1"/>
  <c r="EI67" i="2" s="1"/>
  <c r="EI109" i="2" a="1"/>
  <c r="EI109" i="2" s="1"/>
  <c r="EI153" i="2" a="1"/>
  <c r="EI153" i="2" s="1"/>
  <c r="FY55" i="2" a="1"/>
  <c r="FY55" i="2" s="1"/>
  <c r="EI113" i="2" a="1"/>
  <c r="EI113" i="2" s="1"/>
  <c r="EI128" i="2" a="1"/>
  <c r="EI128" i="2" s="1"/>
  <c r="BC143" i="2" a="1"/>
  <c r="BC143" i="2" s="1"/>
  <c r="DN152" i="2" a="1"/>
  <c r="DN152" i="2" s="1"/>
  <c r="BC47" i="2" a="1"/>
  <c r="BC47" i="2" s="1"/>
  <c r="FY18" i="2" a="1"/>
  <c r="FY18" i="2" s="1"/>
  <c r="EI16" i="2" a="1"/>
  <c r="EI16" i="2" s="1"/>
  <c r="EI198" i="2" a="1"/>
  <c r="EI198" i="2" s="1"/>
  <c r="EI195" i="2" a="1"/>
  <c r="EI195" i="2" s="1"/>
  <c r="EI20" i="2" a="1"/>
  <c r="EI20" i="2" s="1"/>
  <c r="BC31" i="2" a="1"/>
  <c r="BC31" i="2" s="1"/>
  <c r="EI142" i="2" a="1"/>
  <c r="EI142" i="2" s="1"/>
  <c r="BC68" i="2" a="1"/>
  <c r="BC68" i="2" s="1"/>
  <c r="FY54" i="2" a="1"/>
  <c r="FY54" i="2" s="1"/>
  <c r="BC83" i="2" a="1"/>
  <c r="BC83" i="2" s="1"/>
  <c r="BC65" i="2" a="1"/>
  <c r="BC65" i="2" s="1"/>
  <c r="AH19" i="2" a="1"/>
  <c r="AH19" i="2" s="1"/>
  <c r="FR203" i="2"/>
  <c r="FD59" i="2" a="1"/>
  <c r="FD59" i="2" s="1"/>
  <c r="FD60" i="2" a="1"/>
  <c r="FD60" i="2" s="1"/>
  <c r="FD82" i="2" a="1"/>
  <c r="FD82" i="2" s="1"/>
  <c r="FD187" i="2" a="1"/>
  <c r="FD187" i="2" s="1"/>
  <c r="FD194" i="2" a="1"/>
  <c r="FD194" i="2" s="1"/>
  <c r="FD160" i="2" a="1"/>
  <c r="FD160" i="2" s="1"/>
  <c r="AH90" i="2" a="1"/>
  <c r="AH90" i="2" s="1"/>
  <c r="AH151" i="2" a="1"/>
  <c r="AH151" i="2" s="1"/>
  <c r="FD19" i="2" a="1"/>
  <c r="FD19" i="2" s="1"/>
  <c r="FD137" i="2" a="1"/>
  <c r="FD137" i="2" s="1"/>
  <c r="FD159" i="2" a="1"/>
  <c r="FD159" i="2" s="1"/>
  <c r="FD131" i="2" a="1"/>
  <c r="FD131" i="2" s="1"/>
  <c r="FD107" i="2" a="1"/>
  <c r="FD107" i="2" s="1"/>
  <c r="FD167" i="2" a="1"/>
  <c r="FD167" i="2" s="1"/>
  <c r="FD64" i="2" a="1"/>
  <c r="FD64" i="2" s="1"/>
  <c r="FD43" i="2" a="1"/>
  <c r="FD43" i="2" s="1"/>
  <c r="FD189" i="2" a="1"/>
  <c r="FD189" i="2" s="1"/>
  <c r="DN31" i="2" a="1"/>
  <c r="DN31" i="2" s="1"/>
  <c r="DN168" i="2" a="1"/>
  <c r="DN168" i="2" s="1"/>
  <c r="DN66" i="2" a="1"/>
  <c r="DN66" i="2" s="1"/>
  <c r="CS38" i="2" a="1"/>
  <c r="CS38" i="2" s="1"/>
  <c r="CS77" i="2" a="1"/>
  <c r="CS77" i="2" s="1"/>
  <c r="BC181" i="2" a="1"/>
  <c r="BC181" i="2" s="1"/>
  <c r="BC34" i="2" a="1"/>
  <c r="BC34" i="2" s="1"/>
  <c r="BC151" i="2" a="1"/>
  <c r="BC151" i="2" s="1"/>
  <c r="BC114" i="2" a="1"/>
  <c r="BC114" i="2" s="1"/>
  <c r="BC7" i="2" a="1"/>
  <c r="BC7" i="2" s="1"/>
  <c r="BD7" i="2" s="1"/>
  <c r="BC126" i="2" a="1"/>
  <c r="BC126" i="2" s="1"/>
  <c r="BC185" i="2" a="1"/>
  <c r="BC185" i="2" s="1"/>
  <c r="BC82" i="2" a="1"/>
  <c r="BC82" i="2" s="1"/>
  <c r="DN132" i="2" a="1"/>
  <c r="DN132" i="2" s="1"/>
  <c r="DN188" i="2" a="1"/>
  <c r="DN188" i="2" s="1"/>
  <c r="DN30" i="2" a="1"/>
  <c r="DN30" i="2" s="1"/>
  <c r="DN86" i="2" a="1"/>
  <c r="DN86" i="2" s="1"/>
  <c r="FY126" i="2" a="1"/>
  <c r="FY126" i="2" s="1"/>
  <c r="FY133" i="2" a="1"/>
  <c r="FY133" i="2" s="1"/>
  <c r="DN162" i="2" a="1"/>
  <c r="DN162" i="2" s="1"/>
  <c r="DN43" i="2" a="1"/>
  <c r="DN43" i="2" s="1"/>
  <c r="FY159" i="2" a="1"/>
  <c r="FY159" i="2" s="1"/>
  <c r="DN103" i="2" a="1"/>
  <c r="DN103" i="2" s="1"/>
  <c r="FY28" i="2" a="1"/>
  <c r="FY28" i="2" s="1"/>
  <c r="FY47" i="2" a="1"/>
  <c r="FY47" i="2" s="1"/>
  <c r="DN164" i="2" a="1"/>
  <c r="DN164" i="2" s="1"/>
  <c r="DN137" i="2" a="1"/>
  <c r="DN137" i="2" s="1"/>
  <c r="FY35" i="2" a="1"/>
  <c r="FY35" i="2" s="1"/>
  <c r="DN190" i="2" a="1"/>
  <c r="DN190" i="2" s="1"/>
  <c r="DN170" i="2" a="1"/>
  <c r="DN170" i="2" s="1"/>
  <c r="FY174" i="2" a="1"/>
  <c r="FY174" i="2" s="1"/>
  <c r="DN38" i="2" a="1"/>
  <c r="DN38" i="2" s="1"/>
  <c r="CS161" i="2" a="1"/>
  <c r="CS161" i="2" s="1"/>
  <c r="CS52" i="2" a="1"/>
  <c r="CS52" i="2" s="1"/>
  <c r="FY153" i="2" a="1"/>
  <c r="FY153" i="2" s="1"/>
  <c r="DN65" i="2" a="1"/>
  <c r="DN65" i="2" s="1"/>
  <c r="FY62" i="2" a="1"/>
  <c r="FY62" i="2" s="1"/>
  <c r="FY102" i="2" a="1"/>
  <c r="FY102" i="2" s="1"/>
  <c r="FS203" i="2"/>
  <c r="CS72" i="2" a="1"/>
  <c r="CS72" i="2" s="1"/>
  <c r="DN70" i="2" a="1"/>
  <c r="DN70" i="2" s="1"/>
  <c r="CS56" i="2" a="1"/>
  <c r="CS56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29" i="2" a="1"/>
  <c r="DN29" i="2" s="1"/>
  <c r="FY34" i="2" a="1"/>
  <c r="FY34" i="2" s="1"/>
  <c r="FY109" i="2" a="1"/>
  <c r="FY109" i="2" s="1"/>
  <c r="DN46" i="2" a="1"/>
  <c r="DN46" i="2" s="1"/>
  <c r="DN114" i="2" a="1"/>
  <c r="DN114" i="2" s="1"/>
  <c r="FY188" i="2" a="1"/>
  <c r="FY188" i="2" s="1"/>
  <c r="FY79" i="2" a="1"/>
  <c r="FY79" i="2" s="1"/>
  <c r="DN49" i="2" a="1"/>
  <c r="DN49" i="2" s="1"/>
  <c r="DN115" i="2" a="1"/>
  <c r="DN115" i="2" s="1"/>
  <c r="FY143" i="2" a="1"/>
  <c r="FY143" i="2" s="1"/>
  <c r="FY121" i="2" a="1"/>
  <c r="FY121" i="2" s="1"/>
  <c r="DN153" i="2" a="1"/>
  <c r="DN153" i="2" s="1"/>
  <c r="FY78" i="2" a="1"/>
  <c r="FY78" i="2" s="1"/>
  <c r="CS105" i="2" a="1"/>
  <c r="CS105" i="2" s="1"/>
  <c r="CS129" i="2" a="1"/>
  <c r="CS129" i="2" s="1"/>
  <c r="FY110" i="2" a="1"/>
  <c r="FY110" i="2" s="1"/>
  <c r="DN133" i="2" a="1"/>
  <c r="DN133" i="2" s="1"/>
  <c r="FY142" i="2" a="1"/>
  <c r="FY142" i="2" s="1"/>
  <c r="DN129" i="2" a="1"/>
  <c r="DN129" i="2" s="1"/>
  <c r="FY146" i="2" a="1"/>
  <c r="FY146" i="2" s="1"/>
  <c r="AH163" i="2" a="1"/>
  <c r="AH163" i="2" s="1"/>
  <c r="DN124" i="2" a="1"/>
  <c r="DN124" i="2" s="1"/>
  <c r="FY32" i="2" a="1"/>
  <c r="FY32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16" i="2" a="1"/>
  <c r="DN16" i="2" s="1"/>
  <c r="FY115" i="2" a="1"/>
  <c r="FY115" i="2" s="1"/>
  <c r="DN41" i="2" a="1"/>
  <c r="DN41" i="2" s="1"/>
  <c r="FY173" i="2" a="1"/>
  <c r="FY173" i="2" s="1"/>
  <c r="FY86" i="2" a="1"/>
  <c r="FY86" i="2" s="1"/>
  <c r="DN177" i="2" a="1"/>
  <c r="DN177" i="2" s="1"/>
  <c r="FY164" i="2" a="1"/>
  <c r="FY164" i="2" s="1"/>
  <c r="FY140" i="2" a="1"/>
  <c r="FY140" i="2" s="1"/>
  <c r="FY58" i="2" a="1"/>
  <c r="FY58" i="2" s="1"/>
  <c r="DN186" i="2" a="1"/>
  <c r="DN186" i="2" s="1"/>
  <c r="FY149" i="2" a="1"/>
  <c r="FY149" i="2" s="1"/>
  <c r="FY29" i="2" a="1"/>
  <c r="FY29" i="2" s="1"/>
  <c r="DN176" i="2" a="1"/>
  <c r="DN176" i="2" s="1"/>
  <c r="FY24" i="2" a="1"/>
  <c r="FY24" i="2" s="1"/>
  <c r="FY191" i="2" a="1"/>
  <c r="FY191" i="2" s="1"/>
  <c r="DN187" i="2" a="1"/>
  <c r="DN187" i="2" s="1"/>
  <c r="DN135" i="2" a="1"/>
  <c r="DN135" i="2" s="1"/>
  <c r="FY167" i="2" a="1"/>
  <c r="FY167" i="2" s="1"/>
  <c r="CS137" i="2" a="1"/>
  <c r="CS137" i="2" s="1"/>
  <c r="FY124" i="2" a="1"/>
  <c r="FY124" i="2" s="1"/>
  <c r="FY165" i="2" a="1"/>
  <c r="FY165" i="2" s="1"/>
  <c r="DN123" i="2" a="1"/>
  <c r="DN123" i="2" s="1"/>
  <c r="FY169" i="2" a="1"/>
  <c r="FY169" i="2" s="1"/>
  <c r="FY99" i="2" a="1"/>
  <c r="FY99" i="2" s="1"/>
  <c r="BX107" i="2" a="1"/>
  <c r="BX107" i="2" s="1"/>
  <c r="CS114" i="2" a="1"/>
  <c r="CS114" i="2" s="1"/>
  <c r="CS120" i="2" a="1"/>
  <c r="CS120" i="2" s="1"/>
  <c r="FY80" i="2" a="1"/>
  <c r="FY80" i="2" s="1"/>
  <c r="DN50" i="2" a="1"/>
  <c r="DN50" i="2" s="1"/>
  <c r="FY116" i="2" a="1"/>
  <c r="FY116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Y203" i="2"/>
  <c r="FT203" i="2"/>
  <c r="ED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J202" i="2" l="1"/>
  <c r="FJ101" i="2"/>
  <c r="FJ196" i="2"/>
  <c r="FJ33" i="2"/>
  <c r="FJ12" i="2"/>
  <c r="FJ188" i="2"/>
  <c r="FJ151" i="2"/>
  <c r="FJ182" i="2"/>
  <c r="FJ55" i="2"/>
  <c r="FJ185" i="2"/>
  <c r="FJ79" i="2"/>
  <c r="FJ81" i="2"/>
  <c r="FJ42" i="2"/>
  <c r="FJ110" i="2"/>
  <c r="FJ80" i="2"/>
  <c r="FJ30" i="2"/>
  <c r="FJ6" i="2"/>
  <c r="FJ84" i="2"/>
  <c r="FJ187" i="2"/>
  <c r="FJ15" i="2"/>
  <c r="FJ128" i="2"/>
  <c r="FJ142" i="2"/>
  <c r="FJ114" i="2"/>
  <c r="FJ85" i="2"/>
  <c r="FJ105" i="2"/>
  <c r="FJ195" i="2"/>
  <c r="FJ144" i="2"/>
  <c r="FJ134" i="2"/>
  <c r="FJ51" i="2"/>
  <c r="FJ35" i="2"/>
  <c r="FJ106" i="2"/>
  <c r="FJ203" i="2"/>
  <c r="FJ32" i="2"/>
  <c r="FJ65" i="2"/>
  <c r="FJ26" i="2"/>
  <c r="FJ125" i="2"/>
  <c r="FJ69" i="2"/>
  <c r="FJ91" i="2"/>
  <c r="FJ201" i="2"/>
  <c r="FJ43" i="2"/>
  <c r="FJ137" i="2"/>
  <c r="FJ126" i="2"/>
  <c r="FJ71" i="2"/>
  <c r="FJ173" i="2"/>
  <c r="FJ7" i="2"/>
  <c r="FJ90" i="2"/>
  <c r="FJ44" i="2"/>
  <c r="FJ108" i="2"/>
  <c r="FJ31" i="2"/>
  <c r="FJ29" i="2"/>
  <c r="FJ82" i="2"/>
  <c r="FJ97" i="2"/>
  <c r="FJ59" i="2"/>
  <c r="FJ170" i="2"/>
  <c r="FJ167" i="2"/>
  <c r="FJ27" i="2"/>
  <c r="FJ116" i="2"/>
  <c r="FJ25" i="2"/>
  <c r="FJ136" i="2"/>
  <c r="FJ19" i="2"/>
  <c r="FJ95" i="2"/>
  <c r="FJ28" i="2"/>
  <c r="FJ102" i="2"/>
  <c r="FJ68" i="2"/>
  <c r="FJ38" i="2"/>
  <c r="FJ146" i="2"/>
  <c r="FJ21" i="2"/>
  <c r="FJ57" i="2"/>
  <c r="FJ76" i="2"/>
  <c r="FJ197" i="2"/>
  <c r="FJ169" i="2"/>
  <c r="FJ176" i="2"/>
  <c r="FJ168" i="2"/>
  <c r="FJ66" i="2"/>
  <c r="FJ104" i="2"/>
  <c r="FJ148" i="2"/>
  <c r="FJ129" i="2"/>
  <c r="FJ156" i="2"/>
  <c r="FJ161" i="2"/>
  <c r="FJ93" i="2"/>
  <c r="FJ131" i="2"/>
  <c r="FJ200" i="2"/>
  <c r="FJ37" i="2"/>
  <c r="FJ164" i="2"/>
  <c r="FJ132" i="2"/>
  <c r="FJ199" i="2"/>
  <c r="FJ10" i="2"/>
  <c r="FJ117" i="2"/>
  <c r="FJ113" i="2"/>
  <c r="FJ175" i="2"/>
  <c r="FJ194" i="2"/>
  <c r="FJ181" i="2"/>
  <c r="FJ5" i="2"/>
  <c r="FJ149" i="2"/>
  <c r="FJ41" i="2"/>
  <c r="FJ171" i="2"/>
  <c r="FJ180" i="2"/>
  <c r="FJ192" i="2"/>
  <c r="FJ153" i="2"/>
  <c r="FJ162" i="2"/>
  <c r="FJ23" i="2"/>
  <c r="FJ141" i="2"/>
  <c r="FJ111" i="2"/>
  <c r="FJ45" i="2"/>
  <c r="FJ100" i="2"/>
  <c r="FJ16" i="2"/>
  <c r="FJ184" i="2"/>
  <c r="FJ39" i="2"/>
  <c r="FJ58" i="2"/>
  <c r="FJ130" i="2"/>
  <c r="FJ89" i="2"/>
  <c r="FJ155" i="2"/>
  <c r="FJ147" i="2"/>
  <c r="FJ123" i="2"/>
  <c r="FJ112" i="2"/>
  <c r="FJ94" i="2"/>
  <c r="FJ8" i="2"/>
  <c r="FJ179" i="2"/>
  <c r="FJ20" i="2"/>
  <c r="FJ11" i="2"/>
  <c r="FJ67" i="2"/>
  <c r="FJ48" i="2"/>
  <c r="FJ74" i="2"/>
  <c r="FJ98" i="2"/>
  <c r="FJ133" i="2"/>
  <c r="FJ64" i="2"/>
  <c r="FJ122" i="2"/>
  <c r="FJ75" i="2"/>
  <c r="FJ127" i="2"/>
  <c r="FJ92" i="2"/>
  <c r="FJ150" i="2"/>
  <c r="FJ121" i="2"/>
  <c r="FJ193" i="2"/>
  <c r="FJ40" i="2"/>
  <c r="FJ103" i="2"/>
  <c r="FJ107" i="2"/>
  <c r="FJ54" i="2"/>
  <c r="FJ17" i="2"/>
  <c r="FJ70" i="2"/>
  <c r="FJ72" i="2"/>
  <c r="FJ158" i="2"/>
  <c r="FJ152" i="2"/>
  <c r="FJ163" i="2"/>
  <c r="FJ60" i="2"/>
  <c r="FJ191" i="2"/>
  <c r="FJ96" i="2"/>
  <c r="FJ88" i="2"/>
  <c r="FJ124" i="2"/>
  <c r="FJ143" i="2"/>
  <c r="FJ160" i="2"/>
  <c r="FJ22" i="2"/>
  <c r="FJ120" i="2"/>
  <c r="FJ62" i="2"/>
  <c r="FJ13" i="2"/>
  <c r="FJ174" i="2"/>
  <c r="FJ9" i="2"/>
  <c r="FJ63" i="2"/>
  <c r="FJ99" i="2"/>
  <c r="FJ166" i="2"/>
  <c r="FJ78" i="2"/>
  <c r="FJ61" i="2"/>
  <c r="FJ154" i="2"/>
  <c r="FJ46" i="2"/>
  <c r="FJ115" i="2"/>
  <c r="FJ118" i="2"/>
  <c r="FJ49" i="2"/>
  <c r="FJ50" i="2"/>
  <c r="FJ53" i="2"/>
  <c r="FJ119" i="2"/>
  <c r="FJ183" i="2"/>
  <c r="FJ140" i="2"/>
  <c r="FJ4" i="2"/>
  <c r="FJ139" i="2"/>
  <c r="FJ198" i="2"/>
  <c r="FJ87" i="2"/>
  <c r="FJ172" i="2"/>
  <c r="FJ145" i="2"/>
  <c r="FJ178" i="2"/>
  <c r="FJ83" i="2"/>
  <c r="FJ159" i="2"/>
  <c r="FJ135" i="2"/>
  <c r="FJ56" i="2"/>
  <c r="FJ34" i="2"/>
  <c r="FJ109" i="2"/>
  <c r="FJ157" i="2"/>
  <c r="FJ36" i="2"/>
  <c r="FJ165" i="2"/>
  <c r="FJ3" i="2"/>
  <c r="C13" i="4" s="1"/>
  <c r="E13" i="4" s="1"/>
  <c r="F13" i="4" s="1"/>
  <c r="G13" i="4" s="1"/>
  <c r="L13" i="4" s="1"/>
  <c r="FJ14" i="2"/>
  <c r="FJ24" i="2"/>
  <c r="FJ18" i="2"/>
  <c r="FJ177" i="2"/>
  <c r="FJ190" i="2"/>
  <c r="FJ86" i="2"/>
  <c r="FJ52" i="2"/>
  <c r="FJ186" i="2"/>
  <c r="FJ77" i="2"/>
  <c r="FJ138" i="2"/>
  <c r="FJ189" i="2"/>
  <c r="FJ47" i="2"/>
  <c r="FJ73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CD60" i="2" l="1"/>
  <c r="CD189" i="2"/>
  <c r="CD188" i="2"/>
  <c r="CD26" i="2"/>
  <c r="CD131" i="2"/>
  <c r="CD150" i="2"/>
  <c r="CD139" i="2"/>
  <c r="CD63" i="2"/>
  <c r="CD100" i="2"/>
  <c r="CD53" i="2"/>
  <c r="CD165" i="2"/>
  <c r="CD120" i="2"/>
  <c r="CD20" i="2"/>
  <c r="CD65" i="2"/>
  <c r="CD24" i="2"/>
  <c r="CD83" i="2"/>
  <c r="CD67" i="2"/>
  <c r="CD118" i="2"/>
  <c r="CD124" i="2"/>
  <c r="CD96" i="2"/>
  <c r="CD166" i="2"/>
  <c r="CD19" i="2"/>
  <c r="CD184" i="2"/>
  <c r="CD133" i="2"/>
  <c r="CD95" i="2"/>
  <c r="CD128" i="2"/>
  <c r="CD129" i="2"/>
  <c r="CD117" i="2"/>
  <c r="CD47" i="2"/>
  <c r="CD172" i="2"/>
  <c r="CD89" i="2"/>
  <c r="CD54" i="2"/>
  <c r="CD86" i="2"/>
  <c r="CD169" i="2"/>
  <c r="CD42" i="2"/>
  <c r="CD195" i="2"/>
  <c r="CD59" i="2"/>
  <c r="CD121" i="2"/>
  <c r="CD31" i="2"/>
  <c r="CD71" i="2"/>
  <c r="CD79" i="2"/>
  <c r="CD75" i="2"/>
  <c r="CD57" i="2"/>
  <c r="CD200" i="2"/>
  <c r="CD160" i="2"/>
  <c r="CD62" i="2"/>
  <c r="CD73" i="2"/>
  <c r="CD157" i="2"/>
  <c r="CD74" i="2"/>
  <c r="CD154" i="2"/>
  <c r="CD203" i="2"/>
  <c r="CD12" i="2"/>
  <c r="CD3" i="2"/>
  <c r="C9" i="4" s="1"/>
  <c r="E9" i="4" s="1"/>
  <c r="F9" i="4" s="1"/>
  <c r="G9" i="4" s="1"/>
  <c r="L9" i="4" s="1"/>
  <c r="CD14" i="2"/>
  <c r="CD193" i="2"/>
  <c r="CD180" i="2"/>
  <c r="CD162" i="2"/>
  <c r="CD182" i="2"/>
  <c r="CD119" i="2"/>
  <c r="CD130" i="2"/>
  <c r="CD99" i="2"/>
  <c r="CD106" i="2"/>
  <c r="CD101" i="2"/>
  <c r="CD84" i="2"/>
  <c r="CD141" i="2"/>
  <c r="CD170" i="2"/>
  <c r="CD46" i="2"/>
  <c r="CD61" i="2"/>
  <c r="CD136" i="2"/>
  <c r="CD45" i="2"/>
  <c r="CD40" i="2"/>
  <c r="CD34" i="2"/>
  <c r="CD135" i="2"/>
  <c r="CD78" i="2"/>
  <c r="CD4" i="2"/>
  <c r="CD122" i="2"/>
  <c r="CD186" i="2"/>
  <c r="CD88" i="2"/>
  <c r="CD132" i="2"/>
  <c r="CD164" i="2"/>
  <c r="CD49" i="2"/>
  <c r="CD153" i="2"/>
  <c r="CD187" i="2"/>
  <c r="CD30" i="2"/>
  <c r="CD32" i="2"/>
  <c r="CD105" i="2"/>
  <c r="CD72" i="2"/>
  <c r="CD16" i="2"/>
  <c r="CD28" i="2"/>
  <c r="CD163" i="2"/>
  <c r="CD33" i="2"/>
  <c r="CD167" i="2"/>
  <c r="CD114" i="2"/>
  <c r="CD104" i="2"/>
  <c r="CD176" i="2"/>
  <c r="CD93" i="2"/>
  <c r="CD158" i="2"/>
  <c r="CD15" i="2"/>
  <c r="CD192" i="2"/>
  <c r="CD202" i="2"/>
  <c r="CD190" i="2"/>
  <c r="CD107" i="2"/>
  <c r="CD85" i="2"/>
  <c r="CD134" i="2"/>
  <c r="CD175" i="2"/>
  <c r="CD151" i="2"/>
  <c r="CD11" i="2"/>
  <c r="CD159" i="2"/>
  <c r="CD126" i="2"/>
  <c r="CD111" i="2"/>
  <c r="CD69" i="2"/>
  <c r="CD13" i="2"/>
  <c r="CD113" i="2"/>
  <c r="CD70" i="2"/>
  <c r="CD198" i="2"/>
  <c r="CD10" i="2"/>
  <c r="CD66" i="2"/>
  <c r="CD112" i="2"/>
  <c r="CD138" i="2"/>
  <c r="CD178" i="2"/>
  <c r="CD91" i="2"/>
  <c r="CD115" i="2"/>
  <c r="CD8" i="2"/>
  <c r="CD80" i="2"/>
  <c r="CD194" i="2"/>
  <c r="CD196" i="2"/>
  <c r="CD142" i="2"/>
  <c r="CD38" i="2"/>
  <c r="CD5" i="2"/>
  <c r="CD125" i="2"/>
  <c r="CD35" i="2"/>
  <c r="CD103" i="2"/>
  <c r="CD185" i="2"/>
  <c r="CD90" i="2"/>
  <c r="CD64" i="2"/>
  <c r="CD17" i="2"/>
  <c r="CD199" i="2"/>
  <c r="CD109" i="2"/>
  <c r="CD174" i="2"/>
  <c r="CD44" i="2"/>
  <c r="CD52" i="2"/>
  <c r="CD22" i="2"/>
  <c r="CD21" i="2"/>
  <c r="CD48" i="2"/>
  <c r="CD27" i="2"/>
  <c r="CD98" i="2"/>
  <c r="CD36" i="2"/>
  <c r="CD82" i="2"/>
  <c r="CD183" i="2"/>
  <c r="CD110" i="2"/>
  <c r="CD37" i="2"/>
  <c r="CD25" i="2"/>
  <c r="CD102" i="2"/>
  <c r="CD23" i="2"/>
  <c r="CD81" i="2"/>
  <c r="CD97" i="2"/>
  <c r="CD140" i="2"/>
  <c r="CD145" i="2"/>
  <c r="CD58" i="2"/>
  <c r="CD179" i="2"/>
  <c r="CD137" i="2"/>
  <c r="CD152" i="2"/>
  <c r="CD191" i="2"/>
  <c r="CD161" i="2"/>
  <c r="CD76" i="2"/>
  <c r="CD146" i="2"/>
  <c r="CD9" i="2"/>
  <c r="CD94" i="2"/>
  <c r="CD168" i="2"/>
  <c r="CD147" i="2"/>
  <c r="CD181" i="2"/>
  <c r="CD156" i="2"/>
  <c r="CD197" i="2"/>
  <c r="CD92" i="2"/>
  <c r="CD149" i="2"/>
  <c r="CD127" i="2"/>
  <c r="CD116" i="2"/>
  <c r="CD68" i="2"/>
  <c r="CD123" i="2"/>
  <c r="CD87" i="2"/>
  <c r="CD6" i="2"/>
  <c r="CD108" i="2"/>
  <c r="CD144" i="2"/>
  <c r="CD55" i="2"/>
  <c r="CD29" i="2"/>
  <c r="CD155" i="2"/>
  <c r="CD177" i="2"/>
  <c r="CD56" i="2"/>
  <c r="CD41" i="2"/>
  <c r="CD18" i="2"/>
  <c r="CD7" i="2"/>
  <c r="CD39" i="2"/>
  <c r="CD173" i="2"/>
  <c r="CD171" i="2"/>
  <c r="CD43" i="2"/>
  <c r="CD201" i="2"/>
  <c r="CD77" i="2"/>
  <c r="CD50" i="2"/>
  <c r="CD143" i="2"/>
  <c r="CD51" i="2"/>
  <c r="CD148" i="2"/>
  <c r="AN58" i="2"/>
  <c r="AN183" i="2"/>
  <c r="AN126" i="2"/>
  <c r="AN30" i="2"/>
  <c r="AN149" i="2"/>
  <c r="AN19" i="2"/>
  <c r="AN162" i="2"/>
  <c r="AN202" i="2"/>
  <c r="AN136" i="2"/>
  <c r="AN143" i="2"/>
  <c r="AN25" i="2"/>
  <c r="AN154" i="2"/>
  <c r="AN82" i="2"/>
  <c r="AN95" i="2"/>
  <c r="AN172" i="2"/>
  <c r="AN164" i="2"/>
  <c r="AN99" i="2"/>
  <c r="AN153" i="2"/>
  <c r="AN52" i="2"/>
  <c r="AN169" i="2"/>
  <c r="AN39" i="2"/>
  <c r="AN53" i="2"/>
  <c r="AN152" i="2"/>
  <c r="AN156" i="2"/>
  <c r="AN138" i="2"/>
  <c r="AN147" i="2"/>
  <c r="AN17" i="2"/>
  <c r="AN127" i="2"/>
  <c r="AN197" i="2"/>
  <c r="AN203" i="2"/>
  <c r="AN77" i="2"/>
  <c r="AN114" i="2"/>
  <c r="AN36" i="2"/>
  <c r="AN174" i="2"/>
  <c r="AN190" i="2"/>
  <c r="AN22" i="2"/>
  <c r="AN160" i="2"/>
  <c r="AN123" i="2"/>
  <c r="AN101" i="2"/>
  <c r="AN108" i="2"/>
  <c r="AN67" i="2"/>
  <c r="AN120" i="2"/>
  <c r="AN71" i="2"/>
  <c r="AN79" i="2"/>
  <c r="AN29" i="2"/>
  <c r="AN118" i="2"/>
  <c r="AN201" i="2"/>
  <c r="AN4" i="2"/>
  <c r="AN141" i="2"/>
  <c r="AN171" i="2"/>
  <c r="AN185" i="2"/>
  <c r="AN103" i="2"/>
  <c r="AN151" i="2"/>
  <c r="AN44" i="2"/>
  <c r="AN159" i="2"/>
  <c r="AN178" i="2"/>
  <c r="AN177" i="2"/>
  <c r="AN188" i="2"/>
  <c r="AN116" i="2"/>
  <c r="AN139" i="2"/>
  <c r="AN158" i="2"/>
  <c r="AN102" i="2"/>
  <c r="AN107" i="2"/>
  <c r="AN193" i="2"/>
  <c r="AN132" i="2"/>
  <c r="AN112" i="2"/>
  <c r="AN90" i="2"/>
  <c r="AN64" i="2"/>
  <c r="AN163" i="2"/>
  <c r="AN45" i="2"/>
  <c r="AN68" i="2"/>
  <c r="AN73" i="2"/>
  <c r="AN187" i="2"/>
  <c r="AN15" i="2"/>
  <c r="AN16" i="2"/>
  <c r="AN166" i="2"/>
  <c r="AN168" i="2"/>
  <c r="AN57" i="2"/>
  <c r="AN9" i="2"/>
  <c r="AN41" i="2"/>
  <c r="AN98" i="2"/>
  <c r="AN144" i="2"/>
  <c r="AN93" i="2"/>
  <c r="AN106" i="2"/>
  <c r="AN43" i="2"/>
  <c r="AN194" i="2"/>
  <c r="AN83" i="2"/>
  <c r="AN148" i="2"/>
  <c r="AN54" i="2"/>
  <c r="AN60" i="2"/>
  <c r="AN3" i="2"/>
  <c r="C7" i="4" s="1"/>
  <c r="E7" i="4" s="1"/>
  <c r="F7" i="4" s="1"/>
  <c r="G7" i="4" s="1"/>
  <c r="L7" i="4" s="1"/>
  <c r="AN111" i="2"/>
  <c r="AN81" i="2"/>
  <c r="AN32" i="2"/>
  <c r="AN31" i="2"/>
  <c r="AN72" i="2"/>
  <c r="AN165" i="2"/>
  <c r="AN88" i="2"/>
  <c r="AN173" i="2"/>
  <c r="AN181" i="2"/>
  <c r="AN145" i="2"/>
  <c r="AN84" i="2"/>
  <c r="AN155" i="2"/>
  <c r="AN13" i="2"/>
  <c r="AN75" i="2"/>
  <c r="AN8" i="2"/>
  <c r="AN56" i="2"/>
  <c r="AN51" i="2"/>
  <c r="AN161" i="2"/>
  <c r="AN38" i="2"/>
  <c r="AN184" i="2"/>
  <c r="AN76" i="2"/>
  <c r="AN109" i="2"/>
  <c r="AN11" i="2"/>
  <c r="AN96" i="2"/>
  <c r="AN48" i="2"/>
  <c r="AN63" i="2"/>
  <c r="AN89" i="2"/>
  <c r="AN20" i="2"/>
  <c r="AN85" i="2"/>
  <c r="AN7" i="2"/>
  <c r="AN6" i="2"/>
  <c r="AN137" i="2"/>
  <c r="AN125" i="2"/>
  <c r="AN176" i="2"/>
  <c r="AN24" i="2"/>
  <c r="AN50" i="2"/>
  <c r="AN133" i="2"/>
  <c r="AN191" i="2"/>
  <c r="AN86" i="2"/>
  <c r="AN87" i="2"/>
  <c r="AN91" i="2"/>
  <c r="AN12" i="2"/>
  <c r="AN124" i="2"/>
  <c r="AN186" i="2"/>
  <c r="AN92" i="2"/>
  <c r="AN46" i="2"/>
  <c r="AN62" i="2"/>
  <c r="AN55" i="2"/>
  <c r="AN129" i="2"/>
  <c r="AN23" i="2"/>
  <c r="AN18" i="2"/>
  <c r="AN122" i="2"/>
  <c r="AN131" i="2"/>
  <c r="AN14" i="2"/>
  <c r="AN157" i="2"/>
  <c r="AN117" i="2"/>
  <c r="AN199" i="2"/>
  <c r="AN21" i="2"/>
  <c r="AN196" i="2"/>
  <c r="AN5" i="2"/>
  <c r="AN167" i="2"/>
  <c r="AN47" i="2"/>
  <c r="AN10" i="2"/>
  <c r="AN121" i="2"/>
  <c r="AN198" i="2"/>
  <c r="AN100" i="2"/>
  <c r="AN35" i="2"/>
  <c r="AN140" i="2"/>
  <c r="AN65" i="2"/>
  <c r="AN40" i="2"/>
  <c r="AN27" i="2"/>
  <c r="AN59" i="2"/>
  <c r="AN105" i="2"/>
  <c r="AN66" i="2"/>
  <c r="AN130" i="2"/>
  <c r="AN69" i="2"/>
  <c r="AN179" i="2"/>
  <c r="AN128" i="2"/>
  <c r="AN94" i="2"/>
  <c r="AN42" i="2"/>
  <c r="AN70" i="2"/>
  <c r="AN104" i="2"/>
  <c r="AN61" i="2"/>
  <c r="AN37" i="2"/>
  <c r="AN28" i="2"/>
  <c r="AN74" i="2"/>
  <c r="AN175" i="2"/>
  <c r="AN110" i="2"/>
  <c r="AN200" i="2"/>
  <c r="AN34" i="2"/>
  <c r="AN26" i="2"/>
  <c r="AN134" i="2"/>
  <c r="AN113" i="2"/>
  <c r="AN170" i="2"/>
  <c r="AN97" i="2"/>
  <c r="AN119" i="2"/>
  <c r="AN189" i="2"/>
  <c r="AN115" i="2"/>
  <c r="AN80" i="2"/>
  <c r="AN195" i="2"/>
  <c r="AN33" i="2"/>
  <c r="AN135" i="2"/>
  <c r="AN142" i="2"/>
  <c r="AN78" i="2"/>
  <c r="AN146" i="2"/>
  <c r="AN180" i="2"/>
  <c r="AN182" i="2"/>
  <c r="AN192" i="2"/>
  <c r="AN49" i="2"/>
  <c r="AN150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3" i="2" l="1"/>
  <c r="C8" i="4" s="1"/>
  <c r="E8" i="4" s="1"/>
  <c r="F8" i="4" s="1"/>
  <c r="G8" i="4" s="1"/>
  <c r="L8" i="4" s="1"/>
  <c r="BI142" i="2"/>
  <c r="BI180" i="2"/>
  <c r="BI159" i="2"/>
  <c r="BI42" i="2"/>
  <c r="BI47" i="2"/>
  <c r="BI143" i="2"/>
  <c r="BI158" i="2"/>
  <c r="BI71" i="2"/>
  <c r="BI86" i="2"/>
  <c r="BI80" i="2"/>
  <c r="BI103" i="2"/>
  <c r="BI17" i="2"/>
  <c r="BI106" i="2"/>
  <c r="BI32" i="2"/>
  <c r="BI35" i="2"/>
  <c r="BI34" i="2"/>
  <c r="BI137" i="2"/>
  <c r="BI152" i="2"/>
  <c r="BI164" i="2"/>
  <c r="BI20" i="2"/>
  <c r="BI62" i="2"/>
  <c r="BI200" i="2"/>
  <c r="BI85" i="2"/>
  <c r="BI178" i="2"/>
  <c r="BI68" i="2"/>
  <c r="BI188" i="2"/>
  <c r="BI41" i="2"/>
  <c r="BI4" i="2"/>
  <c r="BI26" i="2"/>
  <c r="BI134" i="2"/>
  <c r="BI98" i="2"/>
  <c r="BI132" i="2"/>
  <c r="BI115" i="2"/>
  <c r="BI30" i="2"/>
  <c r="BI127" i="2"/>
  <c r="BI43" i="2"/>
  <c r="BI168" i="2"/>
  <c r="BI141" i="2"/>
  <c r="BI78" i="2"/>
  <c r="BI114" i="2"/>
  <c r="BI116" i="2"/>
  <c r="BI22" i="2"/>
  <c r="BI184" i="2"/>
  <c r="BI150" i="2"/>
  <c r="BI191" i="2"/>
  <c r="BI33" i="2"/>
  <c r="BI151" i="2"/>
  <c r="BI161" i="2"/>
  <c r="BI57" i="2"/>
  <c r="BI179" i="2"/>
  <c r="BI170" i="2"/>
  <c r="BI74" i="2"/>
  <c r="BI90" i="2"/>
  <c r="BI131" i="2"/>
  <c r="BI82" i="2"/>
  <c r="BI144" i="2"/>
  <c r="BI174" i="2"/>
  <c r="BI185" i="2"/>
  <c r="BI117" i="2"/>
  <c r="BI7" i="2"/>
  <c r="BI63" i="2"/>
  <c r="BI176" i="2"/>
  <c r="BI153" i="2"/>
  <c r="BI196" i="2"/>
  <c r="BI72" i="2"/>
  <c r="BI12" i="2"/>
  <c r="BI199" i="2"/>
  <c r="BI130" i="2"/>
  <c r="BI138" i="2"/>
  <c r="BI118" i="2"/>
  <c r="BI95" i="2"/>
  <c r="BI139" i="2"/>
  <c r="BI201" i="2"/>
  <c r="BI155" i="2"/>
  <c r="BI165" i="2"/>
  <c r="BI40" i="2"/>
  <c r="BI66" i="2"/>
  <c r="BI54" i="2"/>
  <c r="BI101" i="2"/>
  <c r="BI15" i="2"/>
  <c r="BI79" i="2"/>
  <c r="BI113" i="2"/>
  <c r="BI128" i="2"/>
  <c r="BI67" i="2"/>
  <c r="BI107" i="2"/>
  <c r="BI136" i="2"/>
  <c r="BI100" i="2"/>
  <c r="BI126" i="2"/>
  <c r="BI187" i="2"/>
  <c r="BI149" i="2"/>
  <c r="BI154" i="2"/>
  <c r="BI9" i="2"/>
  <c r="BI120" i="2"/>
  <c r="BI8" i="2"/>
  <c r="BI181" i="2"/>
  <c r="BI105" i="2"/>
  <c r="BI121" i="2"/>
  <c r="BI6" i="2"/>
  <c r="BI122" i="2"/>
  <c r="BI102" i="2"/>
  <c r="BI148" i="2"/>
  <c r="BI13" i="2"/>
  <c r="BI36" i="2"/>
  <c r="BI52" i="2"/>
  <c r="BI84" i="2"/>
  <c r="BI125" i="2"/>
  <c r="BI194" i="2"/>
  <c r="BI145" i="2"/>
  <c r="BI96" i="2"/>
  <c r="BI190" i="2"/>
  <c r="BI76" i="2"/>
  <c r="BI44" i="2"/>
  <c r="BI177" i="2"/>
  <c r="BI11" i="2"/>
  <c r="BI21" i="2"/>
  <c r="BI140" i="2"/>
  <c r="BI157" i="2"/>
  <c r="BI163" i="2"/>
  <c r="BI173" i="2"/>
  <c r="BI14" i="2"/>
  <c r="BI104" i="2"/>
  <c r="BI193" i="2"/>
  <c r="BI31" i="2"/>
  <c r="BI189" i="2"/>
  <c r="BI69" i="2"/>
  <c r="BI87" i="2"/>
  <c r="BI94" i="2"/>
  <c r="BI182" i="2"/>
  <c r="BI64" i="2"/>
  <c r="BI110" i="2"/>
  <c r="BI53" i="2"/>
  <c r="BI48" i="2"/>
  <c r="BI73" i="2"/>
  <c r="BI45" i="2"/>
  <c r="BI58" i="2"/>
  <c r="BI16" i="2"/>
  <c r="BI38" i="2"/>
  <c r="BI129" i="2"/>
  <c r="BI111" i="2"/>
  <c r="BI172" i="2"/>
  <c r="BI51" i="2"/>
  <c r="BI28" i="2"/>
  <c r="BI175" i="2"/>
  <c r="BI5" i="2"/>
  <c r="BI123" i="2"/>
  <c r="BI135" i="2"/>
  <c r="BI27" i="2"/>
  <c r="BI119" i="2"/>
  <c r="BI166" i="2"/>
  <c r="BI49" i="2"/>
  <c r="BI203" i="2"/>
  <c r="BI124" i="2"/>
  <c r="BI19" i="2"/>
  <c r="BI133" i="2"/>
  <c r="BI18" i="2"/>
  <c r="BI61" i="2"/>
  <c r="BI50" i="2"/>
  <c r="BI24" i="2"/>
  <c r="BI183" i="2"/>
  <c r="BI167" i="2"/>
  <c r="BI39" i="2"/>
  <c r="BI29" i="2"/>
  <c r="BI171" i="2"/>
  <c r="BI25" i="2"/>
  <c r="BI192" i="2"/>
  <c r="BI92" i="2"/>
  <c r="BI91" i="2"/>
  <c r="BI77" i="2"/>
  <c r="BI10" i="2"/>
  <c r="BI60" i="2"/>
  <c r="BI146" i="2"/>
  <c r="BI147" i="2"/>
  <c r="BI99" i="2"/>
  <c r="BI81" i="2"/>
  <c r="BI186" i="2"/>
  <c r="BI59" i="2"/>
  <c r="BI109" i="2"/>
  <c r="BI23" i="2"/>
  <c r="BI83" i="2"/>
  <c r="BI55" i="2"/>
  <c r="BI56" i="2"/>
  <c r="BI88" i="2"/>
  <c r="BI162" i="2"/>
  <c r="BI75" i="2"/>
  <c r="BI70" i="2"/>
  <c r="BI65" i="2"/>
  <c r="BI202" i="2"/>
  <c r="BI160" i="2"/>
  <c r="BI108" i="2"/>
  <c r="BI93" i="2"/>
  <c r="BI46" i="2"/>
  <c r="BI112" i="2"/>
  <c r="BI97" i="2"/>
  <c r="BI169" i="2"/>
  <c r="BI198" i="2"/>
  <c r="BI37" i="2"/>
  <c r="BI89" i="2"/>
  <c r="BI156" i="2"/>
  <c r="BI195" i="2"/>
  <c r="BI197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<sst xmlns="http://schemas.openxmlformats.org/spreadsheetml/2006/main" count="1183" uniqueCount="325">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</sst>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ambria"/>
      <family val="1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32" fillId="14" borderId="54" xfId="0" applyNumberFormat="1" applyFont="1" applyFill="1" applyBorder="1" applyAlignment="1" applyProtection="1">
      <alignment horizontal="right" wrapText="1"/>
      <protection locked="0"/>
    </xf>
    <xf numFmtId="168" fontId="32" fillId="14" borderId="55" xfId="0" applyNumberFormat="1" applyFont="1" applyFill="1" applyBorder="1" applyAlignment="1" applyProtection="1">
      <alignment horizontal="right" wrapText="1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1.8440967493960854</c:v>
                </c:pt>
                <c:pt idx="2">
                  <c:v>2.3397767225383261</c:v>
                </c:pt>
                <c:pt idx="3">
                  <c:v>2.9692251378239298</c:v>
                </c:pt>
                <c:pt idx="4">
                  <c:v>3.7686778222565338</c:v>
                </c:pt>
                <c:pt idx="5">
                  <c:v>4.7842208479495723</c:v>
                </c:pt>
                <c:pt idx="6">
                  <c:v>6.0744769252219095</c:v>
                </c:pt>
                <c:pt idx="7">
                  <c:v>7.7140266387541381</c:v>
                </c:pt>
                <c:pt idx="8">
                  <c:v>9.7977660906100486</c:v>
                </c:pt>
                <c:pt idx="9">
                  <c:v>12.446457940375948</c:v>
                </c:pt>
                <c:pt idx="10">
                  <c:v>15.813803535000055</c:v>
                </c:pt>
                <c:pt idx="11">
                  <c:v>20.095454017876332</c:v>
                </c:pt>
                <c:pt idx="12">
                  <c:v>25.540493384302135</c:v>
                </c:pt>
                <c:pt idx="13">
                  <c:v>32.466073285357531</c:v>
                </c:pt>
                <c:pt idx="14">
                  <c:v>41.27606675520061</c:v>
                </c:pt>
                <c:pt idx="15">
                  <c:v>52.484847160414972</c:v>
                </c:pt>
                <c:pt idx="16">
                  <c:v>66.747603863638901</c:v>
                </c:pt>
                <c:pt idx="17">
                  <c:v>84.898995645097301</c:v>
                </c:pt>
                <c:pt idx="18">
                  <c:v>108.00244019278658</c:v>
                </c:pt>
                <c:pt idx="19">
                  <c:v>137.41297279060404</c:v>
                </c:pt>
                <c:pt idx="20">
                  <c:v>174.8574178159995</c:v>
                </c:pt>
                <c:pt idx="21">
                  <c:v>222.53665149290282</c:v>
                </c:pt>
                <c:pt idx="22">
                  <c:v>168.75667061619112</c:v>
                </c:pt>
                <c:pt idx="23">
                  <c:v>188.97408626306841</c:v>
                </c:pt>
                <c:pt idx="24">
                  <c:v>209.14106954499564</c:v>
                </c:pt>
                <c:pt idx="25">
                  <c:v>229.26316865848699</c:v>
                </c:pt>
                <c:pt idx="26">
                  <c:v>249.34487716008638</c:v>
                </c:pt>
                <c:pt idx="27">
                  <c:v>269.38990512338603</c:v>
                </c:pt>
                <c:pt idx="28">
                  <c:v>289.40136514946477</c:v>
                </c:pt>
                <c:pt idx="29">
                  <c:v>242.80327727023788</c:v>
                </c:pt>
                <c:pt idx="30">
                  <c:v>264.55540625187342</c:v>
                </c:pt>
                <c:pt idx="31">
                  <c:v>286.26720910143626</c:v>
                </c:pt>
                <c:pt idx="32">
                  <c:v>307.94217323717993</c:v>
                </c:pt>
                <c:pt idx="33">
                  <c:v>329.58325501039627</c:v>
                </c:pt>
                <c:pt idx="34">
                  <c:v>351.19299087374617</c:v>
                </c:pt>
                <c:pt idx="35">
                  <c:v>372.77357972834852</c:v>
                </c:pt>
                <c:pt idx="36">
                  <c:v>310.3705645962005</c:v>
                </c:pt>
                <c:pt idx="37">
                  <c:v>332.16291001549854</c:v>
                </c:pt>
                <c:pt idx="38">
                  <c:v>353.92374107920108</c:v>
                </c:pt>
                <c:pt idx="39">
                  <c:v>375.65526675033772</c:v>
                </c:pt>
                <c:pt idx="40">
                  <c:v>397.35941965516275</c:v>
                </c:pt>
                <c:pt idx="41">
                  <c:v>419.03790416885477</c:v>
                </c:pt>
                <c:pt idx="42">
                  <c:v>440.69223402870369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407.29156713376284</c:v>
                </c:pt>
                <c:pt idx="46">
                  <c:v>428.11550550227395</c:v>
                </c:pt>
                <c:pt idx="47">
                  <c:v>448.91767507952301</c:v>
                </c:pt>
                <c:pt idx="48">
                  <c:v>469.69922578809798</c:v>
                </c:pt>
                <c:pt idx="49">
                  <c:v>490.46119756343541</c:v>
                </c:pt>
                <c:pt idx="50">
                  <c:v>402.35883668560945</c:v>
                </c:pt>
                <c:pt idx="51">
                  <c:v>421.65245364552817</c:v>
                </c:pt>
                <c:pt idx="52">
                  <c:v>440.92706835035824</c:v>
                </c:pt>
                <c:pt idx="53">
                  <c:v>460.18362785912086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445.53319473983169</c:v>
                </c:pt>
                <c:pt idx="58">
                  <c:v>463.13961636412455</c:v>
                </c:pt>
                <c:pt idx="59">
                  <c:v>480.73176524290034</c:v>
                </c:pt>
                <c:pt idx="60">
                  <c:v>498.31023693169203</c:v>
                </c:pt>
                <c:pt idx="61">
                  <c:v>515.87558156393754</c:v>
                </c:pt>
                <c:pt idx="62">
                  <c:v>533.42830877562312</c:v>
                </c:pt>
                <c:pt idx="63">
                  <c:v>550.96889194826019</c:v>
                </c:pt>
                <c:pt idx="64">
                  <c:v>472.35430760583853</c:v>
                </c:pt>
                <c:pt idx="65">
                  <c:v>488.11156591254894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551.03641277035774</c:v>
                </c:pt>
                <c:pt idx="70">
                  <c:v>566.74332225455589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208.92142876180176</c:v>
                </c:pt>
                <c:pt idx="32">
                  <c:v>220.60017986363141</c:v>
                </c:pt>
                <c:pt idx="33">
                  <c:v>232.264739416477</c:v>
                </c:pt>
                <c:pt idx="34">
                  <c:v>243.91592098733301</c:v>
                </c:pt>
                <c:pt idx="35">
                  <c:v>255.55445401337798</c:v>
                </c:pt>
                <c:pt idx="36">
                  <c:v>267.18099601974819</c:v>
                </c:pt>
                <c:pt idx="37">
                  <c:v>278.79614259728777</c:v>
                </c:pt>
                <c:pt idx="38">
                  <c:v>290.4004356291054</c:v>
                </c:pt>
                <c:pt idx="39">
                  <c:v>301.99437013242931</c:v>
                </c:pt>
                <c:pt idx="40">
                  <c:v>313.57839999414279</c:v>
                </c:pt>
                <c:pt idx="41">
                  <c:v>325.15294281399184</c:v>
                </c:pt>
                <c:pt idx="42">
                  <c:v>336.71838402176826</c:v>
                </c:pt>
                <c:pt idx="43">
                  <c:v>348.27508039901596</c:v>
                </c:pt>
                <c:pt idx="44">
                  <c:v>359.82336310869147</c:v>
                </c:pt>
                <c:pt idx="45">
                  <c:v>234.70281254814427</c:v>
                </c:pt>
                <c:pt idx="46">
                  <c:v>249.59893217379951</c:v>
                </c:pt>
                <c:pt idx="47">
                  <c:v>264.47489375819822</c:v>
                </c:pt>
                <c:pt idx="48">
                  <c:v>279.33199093869058</c:v>
                </c:pt>
                <c:pt idx="49">
                  <c:v>294.17136845681017</c:v>
                </c:pt>
                <c:pt idx="50">
                  <c:v>308.99404610191897</c:v>
                </c:pt>
                <c:pt idx="51">
                  <c:v>323.80093781674623</c:v>
                </c:pt>
                <c:pt idx="52">
                  <c:v>255.78698052992738</c:v>
                </c:pt>
                <c:pt idx="53">
                  <c:v>269.71503855690486</c:v>
                </c:pt>
                <c:pt idx="54">
                  <c:v>283.62691234584025</c:v>
                </c:pt>
                <c:pt idx="55">
                  <c:v>297.52350768668458</c:v>
                </c:pt>
                <c:pt idx="56">
                  <c:v>311.40563882069802</c:v>
                </c:pt>
                <c:pt idx="57">
                  <c:v>325.27404144854546</c:v>
                </c:pt>
                <c:pt idx="58">
                  <c:v>339.12938340274769</c:v>
                </c:pt>
                <c:pt idx="59">
                  <c:v>352.97227348409729</c:v>
                </c:pt>
                <c:pt idx="60">
                  <c:v>281.39125702931875</c:v>
                </c:pt>
                <c:pt idx="61">
                  <c:v>294.31014596253618</c:v>
                </c:pt>
                <c:pt idx="62">
                  <c:v>307.2163841165638</c:v>
                </c:pt>
                <c:pt idx="63">
                  <c:v>320.11057795832443</c:v>
                </c:pt>
                <c:pt idx="64">
                  <c:v>332.99328109429655</c:v>
                </c:pt>
                <c:pt idx="65">
                  <c:v>345.86500078813629</c:v>
                </c:pt>
                <c:pt idx="66">
                  <c:v>358.72620345698607</c:v>
                </c:pt>
                <c:pt idx="67">
                  <c:v>371.57731933813437</c:v>
                </c:pt>
                <c:pt idx="68">
                  <c:v>314.62020332185165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363.9149690215898</c:v>
                </c:pt>
                <c:pt idx="73">
                  <c:v>376.21497381909467</c:v>
                </c:pt>
                <c:pt idx="74">
                  <c:v>388.50622314145625</c:v>
                </c:pt>
                <c:pt idx="75">
                  <c:v>400.78903305747446</c:v>
                </c:pt>
                <c:pt idx="76">
                  <c:v>345.86384431093734</c:v>
                </c:pt>
                <c:pt idx="77">
                  <c:v>357.77573460306729</c:v>
                </c:pt>
                <c:pt idx="78">
                  <c:v>369.67894674632447</c:v>
                </c:pt>
                <c:pt idx="79">
                  <c:v>381.57379960604271</c:v>
                </c:pt>
                <c:pt idx="80">
                  <c:v>393.46059054098606</c:v>
                </c:pt>
                <c:pt idx="81">
                  <c:v>405.33959747363838</c:v>
                </c:pt>
                <c:pt idx="82">
                  <c:v>417.21108070510104</c:v>
                </c:pt>
                <c:pt idx="83">
                  <c:v>429.07528451262601</c:v>
                </c:pt>
                <c:pt idx="84">
                  <c:v>440.93243856122854</c:v>
                </c:pt>
                <c:pt idx="85">
                  <c:v>376.60167716610619</c:v>
                </c:pt>
                <c:pt idx="86">
                  <c:v>387.96577939828467</c:v>
                </c:pt>
                <c:pt idx="87">
                  <c:v>399.32265618290847</c:v>
                </c:pt>
                <c:pt idx="88">
                  <c:v>410.67254202116061</c:v>
                </c:pt>
                <c:pt idx="89">
                  <c:v>422.01565739214857</c:v>
                </c:pt>
                <c:pt idx="90">
                  <c:v>433.35220995374738</c:v>
                </c:pt>
                <c:pt idx="91">
                  <c:v>444.6823956112226</c:v>
                </c:pt>
                <c:pt idx="92">
                  <c:v>456.00639947125768</c:v>
                </c:pt>
                <c:pt idx="93">
                  <c:v>467.32439669627183</c:v>
                </c:pt>
                <c:pt idx="94">
                  <c:v>413.86099161777793</c:v>
                </c:pt>
                <c:pt idx="95">
                  <c:v>425.19717647466877</c:v>
                </c:pt>
                <c:pt idx="96">
                  <c:v>436.52686044713772</c:v>
                </c:pt>
                <c:pt idx="97">
                  <c:v>447.85023606285631</c:v>
                </c:pt>
                <c:pt idx="98">
                  <c:v>459.16748531856956</c:v>
                </c:pt>
                <c:pt idx="99">
                  <c:v>470.47878050700183</c:v>
                </c:pt>
                <c:pt idx="100">
                  <c:v>481.78428496010048</c:v>
                </c:pt>
                <c:pt idx="101">
                  <c:v>493.08415371888253</c:v>
                </c:pt>
                <c:pt idx="102">
                  <c:v>504.37853413868493</c:v>
                </c:pt>
                <c:pt idx="103">
                  <c:v>515.6675664373829</c:v>
                </c:pt>
                <c:pt idx="104">
                  <c:v>441.67788304694392</c:v>
                </c:pt>
                <c:pt idx="105">
                  <c:v>452.64938831122686</c:v>
                </c:pt>
                <c:pt idx="106">
                  <c:v>463.61520902016565</c:v>
                </c:pt>
                <c:pt idx="107">
                  <c:v>474.57549859599521</c:v>
                </c:pt>
                <c:pt idx="108">
                  <c:v>485.53040279578119</c:v>
                </c:pt>
                <c:pt idx="109">
                  <c:v>496.48006026237272</c:v>
                </c:pt>
                <c:pt idx="110">
                  <c:v>507.42460302422029</c:v>
                </c:pt>
                <c:pt idx="111">
                  <c:v>518.36415694983214</c:v>
                </c:pt>
                <c:pt idx="112">
                  <c:v>529.29884216187008</c:v>
                </c:pt>
                <c:pt idx="113">
                  <c:v>540.22877341525339</c:v>
                </c:pt>
                <c:pt idx="114">
                  <c:v>483.77843347470525</c:v>
                </c:pt>
                <c:pt idx="115">
                  <c:v>495.18106269086019</c:v>
                </c:pt>
                <c:pt idx="116">
                  <c:v>506.57812932992596</c:v>
                </c:pt>
                <c:pt idx="117">
                  <c:v>517.96977617364007</c:v>
                </c:pt>
                <c:pt idx="118">
                  <c:v>529.35613921155607</c:v>
                </c:pt>
                <c:pt idx="119">
                  <c:v>540.73734810639564</c:v>
                </c:pt>
                <c:pt idx="120">
                  <c:v>552.11352661818967</c:v>
                </c:pt>
                <c:pt idx="121">
                  <c:v>563.48479299165012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597.57022624007823</c:v>
                </c:pt>
                <c:pt idx="125">
                  <c:v>608.92292800916312</c:v>
                </c:pt>
                <c:pt idx="126">
                  <c:v>516.97691743661551</c:v>
                </c:pt>
                <c:pt idx="127">
                  <c:v>528.23080123722991</c:v>
                </c:pt>
                <c:pt idx="128">
                  <c:v>539.47963831715936</c:v>
                </c:pt>
                <c:pt idx="129">
                  <c:v>550.7235487287619</c:v>
                </c:pt>
                <c:pt idx="130">
                  <c:v>561.96264722308808</c:v>
                </c:pt>
                <c:pt idx="131">
                  <c:v>573.19704358756508</c:v>
                </c:pt>
                <c:pt idx="132">
                  <c:v>584.42684295583661</c:v>
                </c:pt>
                <c:pt idx="133">
                  <c:v>595.65214609255543</c:v>
                </c:pt>
                <c:pt idx="134">
                  <c:v>606.87304965559781</c:v>
                </c:pt>
                <c:pt idx="135">
                  <c:v>618.08964643788192</c:v>
                </c:pt>
                <c:pt idx="136">
                  <c:v>629.30202559072757</c:v>
                </c:pt>
                <c:pt idx="137">
                  <c:v>640.51027283047199</c:v>
                </c:pt>
                <c:pt idx="138">
                  <c:v>541.94116393966794</c:v>
                </c:pt>
                <c:pt idx="139">
                  <c:v>552.88748579227229</c:v>
                </c:pt>
                <c:pt idx="140">
                  <c:v>563.82926666737285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596.6283483221988</c:v>
                </c:pt>
                <c:pt idx="144">
                  <c:v>607.55293045876988</c:v>
                </c:pt>
                <c:pt idx="145">
                  <c:v>618.47343527689191</c:v>
                </c:pt>
                <c:pt idx="146">
                  <c:v>629.38994490116841</c:v>
                </c:pt>
                <c:pt idx="147">
                  <c:v>640.30253837581188</c:v>
                </c:pt>
                <c:pt idx="148">
                  <c:v>651.21129183182666</c:v>
                </c:pt>
                <c:pt idx="149">
                  <c:v>662.11627864240563</c:v>
                </c:pt>
                <c:pt idx="150">
                  <c:v>410.25891232631693</c:v>
                </c:pt>
                <c:pt idx="151">
                  <c:v>416.93235115607769</c:v>
                </c:pt>
                <c:pt idx="152">
                  <c:v>423.60348761898211</c:v>
                </c:pt>
                <c:pt idx="153">
                  <c:v>430.27236311544448</c:v>
                </c:pt>
                <c:pt idx="154">
                  <c:v>282.60235881259825</c:v>
                </c:pt>
                <c:pt idx="155">
                  <c:v>286.67220565892609</c:v>
                </c:pt>
                <c:pt idx="156">
                  <c:v>290.74075975339895</c:v>
                </c:pt>
                <c:pt idx="157">
                  <c:v>294.80804177163026</c:v>
                </c:pt>
                <c:pt idx="158">
                  <c:v>197.61056174383398</c:v>
                </c:pt>
                <c:pt idx="159">
                  <c:v>200.15752525879137</c:v>
                </c:pt>
                <c:pt idx="160">
                  <c:v>202.70373739936451</c:v>
                </c:pt>
                <c:pt idx="161">
                  <c:v>205.24920896259434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1.4712122312284983</c:v>
                </c:pt>
                <c:pt idx="2">
                  <c:v>1.8663419704639954</c:v>
                </c:pt>
                <c:pt idx="3">
                  <c:v>2.3680228344404912</c:v>
                </c:pt>
                <c:pt idx="4">
                  <c:v>3.0050970820881022</c:v>
                </c:pt>
                <c:pt idx="5">
                  <c:v>3.8142421061146679</c:v>
                </c:pt>
                <c:pt idx="6">
                  <c:v>4.8421059308986374</c:v>
                </c:pt>
                <c:pt idx="7">
                  <c:v>6.1480265267007121</c:v>
                </c:pt>
                <c:pt idx="8">
                  <c:v>7.807494994594653</c:v>
                </c:pt>
                <c:pt idx="9">
                  <c:v>9.9165666677570972</c:v>
                </c:pt>
                <c:pt idx="10">
                  <c:v>12.597480285062067</c:v>
                </c:pt>
                <c:pt idx="11">
                  <c:v>16.005816967936891</c:v>
                </c:pt>
                <c:pt idx="12">
                  <c:v>20.33962204213756</c:v>
                </c:pt>
                <c:pt idx="13">
                  <c:v>25.851029245191327</c:v>
                </c:pt>
                <c:pt idx="14">
                  <c:v>32.861075509641132</c:v>
                </c:pt>
                <c:pt idx="15">
                  <c:v>41.778584201423932</c:v>
                </c:pt>
                <c:pt idx="16">
                  <c:v>53.124236773393768</c:v>
                </c:pt>
                <c:pt idx="17">
                  <c:v>67.561261762981147</c:v>
                </c:pt>
                <c:pt idx="18">
                  <c:v>85.93456443495181</c:v>
                </c:pt>
                <c:pt idx="19">
                  <c:v>109.32062379294662</c:v>
                </c:pt>
                <c:pt idx="20">
                  <c:v>139.09112636290797</c:v>
                </c:pt>
                <c:pt idx="21">
                  <c:v>176.9941266730948</c:v>
                </c:pt>
                <c:pt idx="22">
                  <c:v>134.24092796087848</c:v>
                </c:pt>
                <c:pt idx="23">
                  <c:v>150.31378700553583</c:v>
                </c:pt>
                <c:pt idx="24">
                  <c:v>166.34566421731355</c:v>
                </c:pt>
                <c:pt idx="25">
                  <c:v>182.34106811494846</c:v>
                </c:pt>
                <c:pt idx="26">
                  <c:v>198.3036502064256</c:v>
                </c:pt>
                <c:pt idx="27">
                  <c:v>214.23642533382289</c:v>
                </c:pt>
                <c:pt idx="28">
                  <c:v>230.14192282721137</c:v>
                </c:pt>
                <c:pt idx="29">
                  <c:v>193.10392671645786</c:v>
                </c:pt>
                <c:pt idx="30">
                  <c:v>210.3937841285574</c:v>
                </c:pt>
                <c:pt idx="31">
                  <c:v>227.65087213143102</c:v>
                </c:pt>
                <c:pt idx="32">
                  <c:v>244.87802463525054</c:v>
                </c:pt>
                <c:pt idx="33">
                  <c:v>262.07764399998308</c:v>
                </c:pt>
                <c:pt idx="34">
                  <c:v>279.25179137186194</c:v>
                </c:pt>
                <c:pt idx="35">
                  <c:v>296.40225359943668</c:v>
                </c:pt>
                <c:pt idx="36">
                  <c:v>246.80805934521163</c:v>
                </c:pt>
                <c:pt idx="37">
                  <c:v>264.1278307134175</c:v>
                </c:pt>
                <c:pt idx="38">
                  <c:v>281.42199320812324</c:v>
                </c:pt>
                <c:pt idx="39">
                  <c:v>298.69234185428553</c:v>
                </c:pt>
                <c:pt idx="40">
                  <c:v>315.94044712289559</c:v>
                </c:pt>
                <c:pt idx="41">
                  <c:v>333.16769400588868</c:v>
                </c:pt>
                <c:pt idx="42">
                  <c:v>350.37531258098761</c:v>
                </c:pt>
                <c:pt idx="43">
                  <c:v>290.67998277410271</c:v>
                </c:pt>
                <c:pt idx="44">
                  <c:v>307.26657803176238</c:v>
                </c:pt>
                <c:pt idx="45">
                  <c:v>323.83328476591305</c:v>
                </c:pt>
                <c:pt idx="46">
                  <c:v>340.38126349469303</c:v>
                </c:pt>
                <c:pt idx="47">
                  <c:v>356.91155269084101</c:v>
                </c:pt>
                <c:pt idx="48">
                  <c:v>373.42508679269554</c:v>
                </c:pt>
                <c:pt idx="49">
                  <c:v>389.92271086196098</c:v>
                </c:pt>
                <c:pt idx="50">
                  <c:v>319.91337494526368</c:v>
                </c:pt>
                <c:pt idx="51">
                  <c:v>335.24536890445728</c:v>
                </c:pt>
                <c:pt idx="52">
                  <c:v>350.56192144536408</c:v>
                </c:pt>
                <c:pt idx="53">
                  <c:v>365.86380215740513</c:v>
                </c:pt>
                <c:pt idx="54">
                  <c:v>381.15171100494064</c:v>
                </c:pt>
                <c:pt idx="55">
                  <c:v>396.4262872246677</c:v>
                </c:pt>
                <c:pt idx="56">
                  <c:v>411.68811677998042</c:v>
                </c:pt>
                <c:pt idx="57">
                  <c:v>354.22212634657035</c:v>
                </c:pt>
                <c:pt idx="58">
                  <c:v>368.2126978199405</c:v>
                </c:pt>
                <c:pt idx="59">
                  <c:v>382.19167112074615</c:v>
                </c:pt>
                <c:pt idx="60">
                  <c:v>396.1595302032369</c:v>
                </c:pt>
                <c:pt idx="61">
                  <c:v>410.11672211122362</c:v>
                </c:pt>
                <c:pt idx="62">
                  <c:v>424.06366097989184</c:v>
                </c:pt>
                <c:pt idx="63">
                  <c:v>438.00073148368637</c:v>
                </c:pt>
                <c:pt idx="64">
                  <c:v>375.53485470761944</c:v>
                </c:pt>
                <c:pt idx="65">
                  <c:v>388.05569244056363</c:v>
                </c:pt>
                <c:pt idx="66">
                  <c:v>400.56776141102063</c:v>
                </c:pt>
                <c:pt idx="67">
                  <c:v>413.07137413616397</c:v>
                </c:pt>
                <c:pt idx="68">
                  <c:v>425.56682266848742</c:v>
                </c:pt>
                <c:pt idx="69">
                  <c:v>438.05438051014295</c:v>
                </c:pt>
                <c:pt idx="70">
                  <c:v>450.53430429760925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327.7803309925909</c:v>
                </c:pt>
                <c:pt idx="46">
                  <c:v>342.65491458987913</c:v>
                </c:pt>
                <c:pt idx="47">
                  <c:v>357.51530938507517</c:v>
                </c:pt>
                <c:pt idx="48">
                  <c:v>372.362188160926</c:v>
                </c:pt>
                <c:pt idx="49">
                  <c:v>387.1961656731425</c:v>
                </c:pt>
                <c:pt idx="50">
                  <c:v>402.01780573308952</c:v>
                </c:pt>
                <c:pt idx="51">
                  <c:v>416.82762719136463</c:v>
                </c:pt>
                <c:pt idx="52">
                  <c:v>431.62610902660225</c:v>
                </c:pt>
                <c:pt idx="53">
                  <c:v>366.26587036399184</c:v>
                </c:pt>
                <c:pt idx="54">
                  <c:v>379.56512784230637</c:v>
                </c:pt>
                <c:pt idx="55">
                  <c:v>392.85424897119765</c:v>
                </c:pt>
                <c:pt idx="56">
                  <c:v>406.13362494673282</c:v>
                </c:pt>
                <c:pt idx="57">
                  <c:v>419.40361929545037</c:v>
                </c:pt>
                <c:pt idx="58">
                  <c:v>432.66457066342628</c:v>
                </c:pt>
                <c:pt idx="59">
                  <c:v>445.91679524557213</c:v>
                </c:pt>
                <c:pt idx="60">
                  <c:v>459.1605889111022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3.1869916933335189</c:v>
                </c:pt>
                <c:pt idx="2">
                  <c:v>3.7189706865056689</c:v>
                </c:pt>
                <c:pt idx="3">
                  <c:v>4.3400685470721152</c:v>
                </c:pt>
                <c:pt idx="4">
                  <c:v>5.0652653229643461</c:v>
                </c:pt>
                <c:pt idx="5">
                  <c:v>5.9120670317881361</c:v>
                </c:pt>
                <c:pt idx="6">
                  <c:v>6.9009328456386783</c:v>
                </c:pt>
                <c:pt idx="7">
                  <c:v>8.0557747158050663</c:v>
                </c:pt>
                <c:pt idx="8">
                  <c:v>9.4045417518806484</c:v>
                </c:pt>
                <c:pt idx="9">
                  <c:v>10.979903767967294</c:v>
                </c:pt>
                <c:pt idx="10">
                  <c:v>12.820050865060374</c:v>
                </c:pt>
                <c:pt idx="11">
                  <c:v>14.969628794603414</c:v>
                </c:pt>
                <c:pt idx="12">
                  <c:v>17.480833215380692</c:v>
                </c:pt>
                <c:pt idx="13">
                  <c:v>20.414689898447865</c:v>
                </c:pt>
                <c:pt idx="14">
                  <c:v>23.842552551171647</c:v>
                </c:pt>
                <c:pt idx="15">
                  <c:v>27.847855337031476</c:v>
                </c:pt>
                <c:pt idx="16">
                  <c:v>32.528163497787233</c:v>
                </c:pt>
                <c:pt idx="17">
                  <c:v>37.997572897276264</c:v>
                </c:pt>
                <c:pt idx="18">
                  <c:v>44.389517986975818</c:v>
                </c:pt>
                <c:pt idx="19">
                  <c:v>51.860057859889174</c:v>
                </c:pt>
                <c:pt idx="20">
                  <c:v>60.591721965921806</c:v>
                </c:pt>
                <c:pt idx="21">
                  <c:v>70.798011007057156</c:v>
                </c:pt>
                <c:pt idx="22">
                  <c:v>82.728664863891794</c:v>
                </c:pt>
                <c:pt idx="23">
                  <c:v>96.67582853605127</c:v>
                </c:pt>
                <c:pt idx="24">
                  <c:v>112.98126948764094</c:v>
                </c:pt>
                <c:pt idx="25">
                  <c:v>132.04482603759354</c:v>
                </c:pt>
                <c:pt idx="26">
                  <c:v>154.33429718261061</c:v>
                </c:pt>
                <c:pt idx="27">
                  <c:v>180.39702025965281</c:v>
                </c:pt>
                <c:pt idx="28">
                  <c:v>210.87342505066601</c:v>
                </c:pt>
                <c:pt idx="29">
                  <c:v>246.51290236507396</c:v>
                </c:pt>
                <c:pt idx="30">
                  <c:v>288.19238304852763</c:v>
                </c:pt>
                <c:pt idx="31">
                  <c:v>306.76916131601598</c:v>
                </c:pt>
                <c:pt idx="32">
                  <c:v>325.32094743122792</c:v>
                </c:pt>
                <c:pt idx="33">
                  <c:v>343.84936666988779</c:v>
                </c:pt>
                <c:pt idx="34">
                  <c:v>362.35585487881241</c:v>
                </c:pt>
                <c:pt idx="35">
                  <c:v>380.8416893024592</c:v>
                </c:pt>
                <c:pt idx="36">
                  <c:v>262.76958015332491</c:v>
                </c:pt>
                <c:pt idx="37">
                  <c:v>284.28685031210659</c:v>
                </c:pt>
                <c:pt idx="38">
                  <c:v>305.76766187103038</c:v>
                </c:pt>
                <c:pt idx="39">
                  <c:v>327.21493514382536</c:v>
                </c:pt>
                <c:pt idx="40">
                  <c:v>348.63117639699908</c:v>
                </c:pt>
                <c:pt idx="41">
                  <c:v>370.01855891476202</c:v>
                </c:pt>
                <c:pt idx="42">
                  <c:v>302.94382479769712</c:v>
                </c:pt>
                <c:pt idx="43">
                  <c:v>324.46701399217881</c:v>
                </c:pt>
                <c:pt idx="44">
                  <c:v>345.95865990901848</c:v>
                </c:pt>
                <c:pt idx="45">
                  <c:v>367.42099653954892</c:v>
                </c:pt>
                <c:pt idx="46">
                  <c:v>388.85597567041401</c:v>
                </c:pt>
                <c:pt idx="47">
                  <c:v>410.26531644463194</c:v>
                </c:pt>
                <c:pt idx="48">
                  <c:v>431.65054403421851</c:v>
                </c:pt>
                <c:pt idx="49">
                  <c:v>341.88798658068828</c:v>
                </c:pt>
                <c:pt idx="50">
                  <c:v>362.273020621863</c:v>
                </c:pt>
                <c:pt idx="51">
                  <c:v>382.63298881740667</c:v>
                </c:pt>
                <c:pt idx="52">
                  <c:v>402.96941178483775</c:v>
                </c:pt>
                <c:pt idx="53">
                  <c:v>423.283644207414</c:v>
                </c:pt>
                <c:pt idx="54">
                  <c:v>443.57690019926105</c:v>
                </c:pt>
                <c:pt idx="55">
                  <c:v>463.85027378673584</c:v>
                </c:pt>
                <c:pt idx="56">
                  <c:v>379.70050658537235</c:v>
                </c:pt>
                <c:pt idx="57">
                  <c:v>398.8960761314741</c:v>
                </c:pt>
                <c:pt idx="58">
                  <c:v>418.07165280217868</c:v>
                </c:pt>
                <c:pt idx="59">
                  <c:v>437.22828213923043</c:v>
                </c:pt>
                <c:pt idx="60">
                  <c:v>456.36691063760526</c:v>
                </c:pt>
                <c:pt idx="61">
                  <c:v>475.48839897377138</c:v>
                </c:pt>
                <c:pt idx="62">
                  <c:v>494.59353299564049</c:v>
                </c:pt>
                <c:pt idx="63">
                  <c:v>513.68303292647499</c:v>
                </c:pt>
                <c:pt idx="64">
                  <c:v>436.93697308885857</c:v>
                </c:pt>
                <c:pt idx="65">
                  <c:v>455.44984082591412</c:v>
                </c:pt>
                <c:pt idx="66">
                  <c:v>473.9466352867467</c:v>
                </c:pt>
                <c:pt idx="67">
                  <c:v>492.42807168861987</c:v>
                </c:pt>
                <c:pt idx="68">
                  <c:v>510.89480721570766</c:v>
                </c:pt>
                <c:pt idx="69">
                  <c:v>529.34744769826705</c:v>
                </c:pt>
                <c:pt idx="70">
                  <c:v>547.78655331238576</c:v>
                </c:pt>
                <c:pt idx="71">
                  <c:v>566.21264347271119</c:v>
                </c:pt>
                <c:pt idx="72">
                  <c:v>493.12900067600873</c:v>
                </c:pt>
                <c:pt idx="73">
                  <c:v>511.00822526101001</c:v>
                </c:pt>
                <c:pt idx="74">
                  <c:v>528.87424050875813</c:v>
                </c:pt>
                <c:pt idx="75">
                  <c:v>546.72755518631732</c:v>
                </c:pt>
                <c:pt idx="76">
                  <c:v>564.56864214539053</c:v>
                </c:pt>
                <c:pt idx="77">
                  <c:v>582.39794193573914</c:v>
                </c:pt>
                <c:pt idx="78">
                  <c:v>600.21586595334895</c:v>
                </c:pt>
                <c:pt idx="79">
                  <c:v>618.02279919555497</c:v>
                </c:pt>
                <c:pt idx="80">
                  <c:v>635.81910268232559</c:v>
                </c:pt>
                <c:pt idx="81">
                  <c:v>549.22839927019868</c:v>
                </c:pt>
                <c:pt idx="82">
                  <c:v>566.27742965606399</c:v>
                </c:pt>
                <c:pt idx="83">
                  <c:v>583.31573182136424</c:v>
                </c:pt>
                <c:pt idx="84">
                  <c:v>600.34366305102492</c:v>
                </c:pt>
                <c:pt idx="85">
                  <c:v>617.36155872357779</c:v>
                </c:pt>
                <c:pt idx="86">
                  <c:v>634.36973423351674</c:v>
                </c:pt>
                <c:pt idx="87">
                  <c:v>651.36848669690573</c:v>
                </c:pt>
                <c:pt idx="88">
                  <c:v>668.35809646980954</c:v>
                </c:pt>
                <c:pt idx="89">
                  <c:v>685.33882850441785</c:v>
                </c:pt>
                <c:pt idx="90">
                  <c:v>589.58115277308832</c:v>
                </c:pt>
                <c:pt idx="91">
                  <c:v>605.88595587112752</c:v>
                </c:pt>
                <c:pt idx="92">
                  <c:v>622.18165012685074</c:v>
                </c:pt>
                <c:pt idx="93">
                  <c:v>638.46850755238108</c:v>
                </c:pt>
                <c:pt idx="94">
                  <c:v>654.74678516046185</c:v>
                </c:pt>
                <c:pt idx="95">
                  <c:v>671.01672615155621</c:v>
                </c:pt>
                <c:pt idx="96">
                  <c:v>687.27856097991025</c:v>
                </c:pt>
                <c:pt idx="97">
                  <c:v>703.53250831355069</c:v>
                </c:pt>
                <c:pt idx="98">
                  <c:v>719.77877590102059</c:v>
                </c:pt>
                <c:pt idx="99">
                  <c:v>736.01756135586209</c:v>
                </c:pt>
                <c:pt idx="100">
                  <c:v>643.10369331547633</c:v>
                </c:pt>
                <c:pt idx="101">
                  <c:v>658.96108058182915</c:v>
                </c:pt>
                <c:pt idx="102">
                  <c:v>674.81061235785319</c:v>
                </c:pt>
                <c:pt idx="103">
                  <c:v>690.65249900310607</c:v>
                </c:pt>
                <c:pt idx="104">
                  <c:v>706.48694044743468</c:v>
                </c:pt>
                <c:pt idx="105">
                  <c:v>722.31412693505092</c:v>
                </c:pt>
                <c:pt idx="106">
                  <c:v>738.13423970005249</c:v>
                </c:pt>
                <c:pt idx="107">
                  <c:v>753.94745158106923</c:v>
                </c:pt>
                <c:pt idx="108">
                  <c:v>769.75392758170995</c:v>
                </c:pt>
                <c:pt idx="109">
                  <c:v>785.55382538262199</c:v>
                </c:pt>
                <c:pt idx="110">
                  <c:v>685.03392020239437</c:v>
                </c:pt>
                <c:pt idx="111">
                  <c:v>700.53718636712586</c:v>
                </c:pt>
                <c:pt idx="112">
                  <c:v>716.03343280811657</c:v>
                </c:pt>
                <c:pt idx="113">
                  <c:v>731.5228327283063</c:v>
                </c:pt>
                <c:pt idx="114">
                  <c:v>747.00555140367976</c:v>
                </c:pt>
                <c:pt idx="115">
                  <c:v>762.48174670620676</c:v>
                </c:pt>
                <c:pt idx="116">
                  <c:v>777.95156958215512</c:v>
                </c:pt>
                <c:pt idx="117">
                  <c:v>793.41516449041717</c:v>
                </c:pt>
                <c:pt idx="118">
                  <c:v>808.87266980491574</c:v>
                </c:pt>
                <c:pt idx="119">
                  <c:v>824.32421818468629</c:v>
                </c:pt>
                <c:pt idx="120">
                  <c:v>492.83742328263929</c:v>
                </c:pt>
                <c:pt idx="121">
                  <c:v>501.57098653770299</c:v>
                </c:pt>
                <c:pt idx="122">
                  <c:v>510.30133202243292</c:v>
                </c:pt>
                <c:pt idx="123">
                  <c:v>519.02852256208973</c:v>
                </c:pt>
                <c:pt idx="124">
                  <c:v>347.85419402060211</c:v>
                </c:pt>
                <c:pt idx="125">
                  <c:v>353.2186513605763</c:v>
                </c:pt>
                <c:pt idx="126">
                  <c:v>358.58132330067821</c:v>
                </c:pt>
                <c:pt idx="127">
                  <c:v>363.94224034116178</c:v>
                </c:pt>
                <c:pt idx="128">
                  <c:v>252.38937355642568</c:v>
                </c:pt>
                <c:pt idx="129">
                  <c:v>255.87521499156887</c:v>
                </c:pt>
                <c:pt idx="130">
                  <c:v>259.35998187499581</c:v>
                </c:pt>
                <c:pt idx="131">
                  <c:v>262.84369071254008</c:v>
                </c:pt>
                <c:pt idx="132">
                  <c:v>1.4031614527640822E-11</c:v>
                </c:pt>
                <c:pt idx="133">
                  <c:v>1.4031614527640822E-11</c:v>
                </c:pt>
                <c:pt idx="134">
                  <c:v>1.4031614527640822E-11</c:v>
                </c:pt>
                <c:pt idx="135">
                  <c:v>1.4031614527640822E-11</c:v>
                </c:pt>
                <c:pt idx="136">
                  <c:v>1.4031614527640822E-11</c:v>
                </c:pt>
                <c:pt idx="137">
                  <c:v>1.4031614527640822E-11</c:v>
                </c:pt>
                <c:pt idx="138">
                  <c:v>1.4031614527640822E-11</c:v>
                </c:pt>
                <c:pt idx="139">
                  <c:v>1.4031614527640822E-11</c:v>
                </c:pt>
                <c:pt idx="140">
                  <c:v>1.4031614527640822E-11</c:v>
                </c:pt>
                <c:pt idx="141">
                  <c:v>1.4031614527640822E-11</c:v>
                </c:pt>
                <c:pt idx="142">
                  <c:v>1.4031614527640822E-11</c:v>
                </c:pt>
                <c:pt idx="143">
                  <c:v>1.4031614527640822E-11</c:v>
                </c:pt>
                <c:pt idx="144">
                  <c:v>1.4031614527640822E-11</c:v>
                </c:pt>
                <c:pt idx="145">
                  <c:v>1.4031614527640822E-11</c:v>
                </c:pt>
                <c:pt idx="146">
                  <c:v>1.4031614527640822E-11</c:v>
                </c:pt>
                <c:pt idx="147">
                  <c:v>1.4031614527640822E-11</c:v>
                </c:pt>
                <c:pt idx="148">
                  <c:v>1.4031614527640822E-11</c:v>
                </c:pt>
                <c:pt idx="149">
                  <c:v>1.4031614527640822E-11</c:v>
                </c:pt>
                <c:pt idx="150">
                  <c:v>1.4031614527640822E-11</c:v>
                </c:pt>
                <c:pt idx="151">
                  <c:v>1.4031614527640822E-11</c:v>
                </c:pt>
                <c:pt idx="152">
                  <c:v>1.4031614527640822E-11</c:v>
                </c:pt>
                <c:pt idx="153">
                  <c:v>1.4031614527640822E-11</c:v>
                </c:pt>
                <c:pt idx="154">
                  <c:v>1.4031614527640822E-11</c:v>
                </c:pt>
                <c:pt idx="155">
                  <c:v>1.4031614527640822E-11</c:v>
                </c:pt>
                <c:pt idx="156">
                  <c:v>1.4031614527640822E-11</c:v>
                </c:pt>
                <c:pt idx="157">
                  <c:v>1.4031614527640822E-11</c:v>
                </c:pt>
                <c:pt idx="158">
                  <c:v>1.4031614527640822E-11</c:v>
                </c:pt>
                <c:pt idx="159">
                  <c:v>1.4031614527640822E-11</c:v>
                </c:pt>
                <c:pt idx="160">
                  <c:v>1.4031614527640822E-11</c:v>
                </c:pt>
                <c:pt idx="161">
                  <c:v>1.4031614527640822E-11</c:v>
                </c:pt>
                <c:pt idx="162">
                  <c:v>1.4031614527640822E-11</c:v>
                </c:pt>
                <c:pt idx="163">
                  <c:v>1.4031614527640822E-11</c:v>
                </c:pt>
                <c:pt idx="164">
                  <c:v>1.4031614527640822E-11</c:v>
                </c:pt>
                <c:pt idx="165">
                  <c:v>1.4031614527640822E-11</c:v>
                </c:pt>
                <c:pt idx="166">
                  <c:v>1.4031614527640822E-11</c:v>
                </c:pt>
                <c:pt idx="167">
                  <c:v>1.4031614527640822E-11</c:v>
                </c:pt>
                <c:pt idx="168">
                  <c:v>1.4031614527640822E-11</c:v>
                </c:pt>
                <c:pt idx="169">
                  <c:v>1.4031614527640822E-11</c:v>
                </c:pt>
                <c:pt idx="170">
                  <c:v>1.4031614527640822E-11</c:v>
                </c:pt>
                <c:pt idx="171">
                  <c:v>1.4031614527640822E-11</c:v>
                </c:pt>
                <c:pt idx="172">
                  <c:v>1.4031614527640822E-11</c:v>
                </c:pt>
                <c:pt idx="173">
                  <c:v>1.4031614527640822E-11</c:v>
                </c:pt>
                <c:pt idx="174">
                  <c:v>1.4031614527640822E-11</c:v>
                </c:pt>
                <c:pt idx="175">
                  <c:v>1.4031614527640822E-11</c:v>
                </c:pt>
                <c:pt idx="176">
                  <c:v>1.4031614527640822E-11</c:v>
                </c:pt>
                <c:pt idx="177">
                  <c:v>1.4031614527640822E-11</c:v>
                </c:pt>
                <c:pt idx="178">
                  <c:v>1.4031614527640822E-11</c:v>
                </c:pt>
                <c:pt idx="179">
                  <c:v>1.4031614527640822E-11</c:v>
                </c:pt>
                <c:pt idx="180">
                  <c:v>1.4031614527640822E-11</c:v>
                </c:pt>
                <c:pt idx="181">
                  <c:v>1.4031614527640822E-11</c:v>
                </c:pt>
                <c:pt idx="182">
                  <c:v>1.4031614527640822E-11</c:v>
                </c:pt>
                <c:pt idx="183">
                  <c:v>1.4031614527640822E-11</c:v>
                </c:pt>
                <c:pt idx="184">
                  <c:v>1.4031614527640822E-11</c:v>
                </c:pt>
                <c:pt idx="185">
                  <c:v>1.4031614527640822E-11</c:v>
                </c:pt>
                <c:pt idx="186">
                  <c:v>1.4031614527640822E-11</c:v>
                </c:pt>
                <c:pt idx="187">
                  <c:v>1.4031614527640822E-11</c:v>
                </c:pt>
                <c:pt idx="188">
                  <c:v>1.4031614527640822E-11</c:v>
                </c:pt>
                <c:pt idx="189">
                  <c:v>1.4031614527640822E-11</c:v>
                </c:pt>
                <c:pt idx="190">
                  <c:v>1.4031614527640822E-11</c:v>
                </c:pt>
                <c:pt idx="191">
                  <c:v>1.4031614527640822E-11</c:v>
                </c:pt>
                <c:pt idx="192">
                  <c:v>1.4031614527640822E-11</c:v>
                </c:pt>
                <c:pt idx="193">
                  <c:v>1.4031614527640822E-11</c:v>
                </c:pt>
                <c:pt idx="194">
                  <c:v>1.4031614527640822E-11</c:v>
                </c:pt>
                <c:pt idx="195">
                  <c:v>1.4031614527640822E-11</c:v>
                </c:pt>
                <c:pt idx="196">
                  <c:v>1.4031614527640822E-11</c:v>
                </c:pt>
                <c:pt idx="197">
                  <c:v>1.4031614527640822E-11</c:v>
                </c:pt>
                <c:pt idx="198">
                  <c:v>1.4031614527640822E-11</c:v>
                </c:pt>
                <c:pt idx="199">
                  <c:v>1.4031614527640822E-11</c:v>
                </c:pt>
                <c:pt idx="200">
                  <c:v>1.4031614527640822E-11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klima1.sharepoint.com/sites/TeamOklima/Shared%20Documents/03%20-%20D&#233;veloppement/1%20-%20FORET/1%20-%20PROJETS/Solenn%20de%20Falandre/DOSSIER%20LBC/Calculateur_RE_OKLIMA_v3.6_solenn.xlsx" TargetMode="External"/><Relationship Id="rId1" Type="http://schemas.openxmlformats.org/officeDocument/2006/relationships/externalLinkPath" Target="https://oklima1.sharepoint.com/sites/TeamOklima/Shared%20Documents/03%20-%20D&#233;veloppement/1%20-%20FORET/1%20-%20PROJETS/Solenn%20de%20Falandre/DOSSIER%20LBC/DOSSIER%20LBC/Calculateur_RE_OKLIMA_v3.6_solen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ez-moi"/>
      <sheetName val="CO2"/>
      <sheetName val="ECO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Feuil2"/>
      <sheetName val="ESSENCES"/>
      <sheetName val="Feuil1"/>
      <sheetName val="param"/>
    </sheetNames>
    <sheetDataSet>
      <sheetData sheetId="0"/>
      <sheetData sheetId="1">
        <row r="32">
          <cell r="E32">
            <v>0.35</v>
          </cell>
        </row>
        <row r="33">
          <cell r="E33">
            <v>0.28000000000000003</v>
          </cell>
        </row>
        <row r="34">
          <cell r="E34">
            <v>0.09</v>
          </cell>
        </row>
        <row r="35">
          <cell r="E35">
            <v>0.09</v>
          </cell>
        </row>
        <row r="36">
          <cell r="E36">
            <v>7.0000000000000007E-2</v>
          </cell>
        </row>
        <row r="37">
          <cell r="E37">
            <v>7.0000000000000007E-2</v>
          </cell>
        </row>
        <row r="38">
          <cell r="E38">
            <v>0.04</v>
          </cell>
        </row>
        <row r="39">
          <cell r="E39">
            <v>0.01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3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3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3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3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35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3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3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3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3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3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3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3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3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3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3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3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3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3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2"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0" t="s">
        <v>231</v>
      </c>
      <c r="B5" s="270"/>
      <c r="C5" s="24">
        <v>32.86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f>[1]CO2!E32</f>
        <v>0.35</v>
      </c>
      <c r="D9" s="33">
        <f t="shared" ref="D9:D18" si="0">C9*$C$5</f>
        <v>11.500999999999999</v>
      </c>
      <c r="E9" s="34">
        <f>MAX(A36:A55)</f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14</v>
      </c>
      <c r="C10" s="32">
        <f>[1]CO2!E33</f>
        <v>0.28000000000000003</v>
      </c>
      <c r="D10" s="33">
        <f t="shared" si="0"/>
        <v>9.200800000000001</v>
      </c>
      <c r="E10" s="34">
        <f>MAX(A62:A81)</f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18</v>
      </c>
      <c r="C11" s="32">
        <f>[1]CO2!E34</f>
        <v>0.09</v>
      </c>
      <c r="D11" s="33">
        <f t="shared" si="0"/>
        <v>2.9573999999999998</v>
      </c>
      <c r="E11" s="34">
        <f>MAX(A88:A107)</f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12</v>
      </c>
      <c r="C12" s="32">
        <f>[1]CO2!E35</f>
        <v>0.09</v>
      </c>
      <c r="D12" s="33">
        <f t="shared" si="0"/>
        <v>2.9573999999999998</v>
      </c>
      <c r="E12" s="34">
        <f>MAX(A114:A133)</f>
        <v>161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156</v>
      </c>
      <c r="C13" s="32">
        <f>[1]CO2!E36</f>
        <v>7.0000000000000007E-2</v>
      </c>
      <c r="D13" s="33">
        <f t="shared" si="0"/>
        <v>2.3002000000000002</v>
      </c>
      <c r="E13" s="34">
        <f>MAX(A140:A159)</f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164</v>
      </c>
      <c r="C14" s="32">
        <f>[1]CO2!E37</f>
        <v>7.0000000000000007E-2</v>
      </c>
      <c r="D14" s="33">
        <f t="shared" si="0"/>
        <v>2.3002000000000002</v>
      </c>
      <c r="E14" s="34">
        <f>MAX(A166:A185)</f>
        <v>105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138</v>
      </c>
      <c r="C15" s="32">
        <f>[1]CO2!E38</f>
        <v>0.04</v>
      </c>
      <c r="D15" s="33">
        <f t="shared" si="0"/>
        <v>1.3144</v>
      </c>
      <c r="E15" s="34">
        <f>MAX(A192:A211)</f>
        <v>60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52</v>
      </c>
      <c r="C16" s="32">
        <f>[1]CO2!E39</f>
        <v>0.01</v>
      </c>
      <c r="D16" s="33">
        <f t="shared" si="0"/>
        <v>0.3286</v>
      </c>
      <c r="E16" s="34">
        <f>MAX(A218:A237)</f>
        <v>131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32.86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ref="I39:I44" si="2">IF(A39&lt;&gt;0,(B39-(B38-D38))/(A39-A38),"")</f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2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2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2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2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2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121.88461538461537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4.0628205128205126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35</v>
      </c>
      <c r="B63" s="60">
        <v>162.16666666666669</v>
      </c>
      <c r="C63" s="60">
        <v>1</v>
      </c>
      <c r="D63" s="60">
        <v>60.602564102564102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8.0564102564102633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41</v>
      </c>
      <c r="B64" s="60">
        <v>157.44871794871796</v>
      </c>
      <c r="C64" s="60">
        <v>2</v>
      </c>
      <c r="D64" s="60">
        <v>38.512820512820511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9.3141025641025621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48</v>
      </c>
      <c r="B65" s="60">
        <v>184.35256410256409</v>
      </c>
      <c r="C65" s="60">
        <v>3</v>
      </c>
      <c r="D65" s="60">
        <v>48.025641025641022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9.3452380952380913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55</v>
      </c>
      <c r="B66" s="60">
        <v>198.44230769230768</v>
      </c>
      <c r="C66" s="60">
        <v>4</v>
      </c>
      <c r="D66" s="60">
        <v>45.147435897435898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3">IF(A66&lt;&gt;0,(B66-(B65-D65))/(A66-A65),"")</f>
        <v>8.8736263736263741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63</v>
      </c>
      <c r="B67" s="60">
        <v>220.28846153846152</v>
      </c>
      <c r="C67" s="60">
        <v>5</v>
      </c>
      <c r="D67" s="60">
        <v>41.724358974358978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3"/>
        <v>8.374198717948719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71</v>
      </c>
      <c r="B68" s="60">
        <v>243.36538461538464</v>
      </c>
      <c r="C68" s="60">
        <v>6</v>
      </c>
      <c r="D68" s="60">
        <v>39.935897435897431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3"/>
        <v>8.1001602564102626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80</v>
      </c>
      <c r="B69" s="50">
        <v>274.01282051282055</v>
      </c>
      <c r="C69" s="50">
        <v>7</v>
      </c>
      <c r="D69" s="50">
        <v>45.608974358974358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3"/>
        <v>7.8425925925925934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89</v>
      </c>
      <c r="B70" s="50">
        <v>295.85897435897436</v>
      </c>
      <c r="C70" s="50">
        <v>8</v>
      </c>
      <c r="D70" s="50">
        <v>49.391025641025635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3"/>
        <v>7.4950142450142421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99</v>
      </c>
      <c r="B71" s="50">
        <v>318.25</v>
      </c>
      <c r="C71" s="50">
        <v>9</v>
      </c>
      <c r="D71" s="50">
        <v>48.019230769230766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3"/>
        <v>7.1782051282051267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109</v>
      </c>
      <c r="B72" s="50">
        <v>340.16666666666663</v>
      </c>
      <c r="C72" s="50">
        <v>10</v>
      </c>
      <c r="D72" s="50">
        <v>51.28846153846154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3"/>
        <v>6.9935897435897401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119</v>
      </c>
      <c r="B73" s="50">
        <v>357.33974358974359</v>
      </c>
      <c r="C73" s="50">
        <v>11</v>
      </c>
      <c r="D73" s="50">
        <v>150.02564102564102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3"/>
        <v>6.8461538461538511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123</v>
      </c>
      <c r="B74" s="50">
        <v>222.63461538461539</v>
      </c>
      <c r="C74" s="50">
        <v>12</v>
      </c>
      <c r="D74" s="50">
        <v>77.17307692307692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3"/>
        <v>3.8301282051282044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127</v>
      </c>
      <c r="B75" s="50">
        <v>154.80128205128204</v>
      </c>
      <c r="C75" s="50">
        <v>13</v>
      </c>
      <c r="D75" s="50">
        <v>49.916666666666671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3"/>
        <v>2.3349358974358978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131</v>
      </c>
      <c r="B76" s="50">
        <v>110.91025641025641</v>
      </c>
      <c r="C76" s="50">
        <v>14</v>
      </c>
      <c r="D76" s="50">
        <v>110.91025641025641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3"/>
        <v>1.5064102564102591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21</v>
      </c>
      <c r="B88" s="60">
        <v>180.06153846153845</v>
      </c>
      <c r="C88" s="60">
        <v>1</v>
      </c>
      <c r="D88" s="60">
        <v>61.169230769230765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8.5743589743589741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28</v>
      </c>
      <c r="B89" s="60">
        <v>235.7076923076923</v>
      </c>
      <c r="C89" s="60">
        <v>2</v>
      </c>
      <c r="D89" s="60">
        <v>56.91538461538461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4">IF(A89&lt;&gt;0,(B89-(B88-D88))/(A89-A88),"")</f>
        <v>16.687912087912089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30</v>
      </c>
      <c r="B90" s="60">
        <v>214.99230769230769</v>
      </c>
      <c r="C90" s="60" t="s">
        <v>324</v>
      </c>
      <c r="D90" s="60">
        <v>0</v>
      </c>
      <c r="E90" s="87">
        <v>0</v>
      </c>
      <c r="F90" s="87">
        <v>0</v>
      </c>
      <c r="G90" s="87">
        <v>0</v>
      </c>
      <c r="H90" s="87">
        <v>0</v>
      </c>
      <c r="I90" s="53">
        <f t="shared" si="4"/>
        <v>18.099999999999994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35</v>
      </c>
      <c r="B91" s="60">
        <v>305.49230769230769</v>
      </c>
      <c r="C91" s="60">
        <v>3</v>
      </c>
      <c r="D91" s="60">
        <v>70.5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4"/>
        <v>18.100000000000001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42</v>
      </c>
      <c r="B92" s="60">
        <v>362.59999999999997</v>
      </c>
      <c r="C92" s="60">
        <v>4</v>
      </c>
      <c r="D92" s="60">
        <v>80.669230769230765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4"/>
        <v>18.229670329670324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49</v>
      </c>
      <c r="B93" s="60">
        <v>404.56923076923078</v>
      </c>
      <c r="C93" s="60">
        <v>5</v>
      </c>
      <c r="D93" s="60">
        <v>90.453846153846158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4"/>
        <v>17.519780219780223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56</v>
      </c>
      <c r="B94" s="60">
        <v>427.7076923076923</v>
      </c>
      <c r="C94" s="60">
        <v>6</v>
      </c>
      <c r="D94" s="60">
        <v>75.869230769230768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4"/>
        <v>16.227472527472521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63</v>
      </c>
      <c r="B95" s="60">
        <v>455.71538461538466</v>
      </c>
      <c r="C95" s="60">
        <v>7</v>
      </c>
      <c r="D95" s="60">
        <v>79.723076923076917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4"/>
        <v>14.839560439560453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70</v>
      </c>
      <c r="B96" s="60">
        <v>469.06923076923073</v>
      </c>
      <c r="C96" s="60">
        <v>8</v>
      </c>
      <c r="D96" s="60">
        <v>469.06923076923073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4"/>
        <v>13.296703296703283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pubescent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30</v>
      </c>
      <c r="B114" s="60">
        <v>87.705128205128204</v>
      </c>
      <c r="C114" s="50" t="s">
        <v>324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2.9235042735042733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44</v>
      </c>
      <c r="B115" s="60">
        <v>162.42307692307691</v>
      </c>
      <c r="C115" s="50">
        <v>1</v>
      </c>
      <c r="D115" s="60">
        <v>64.416666666666657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5">IF(A115&lt;&gt;0,(B115-(B114-D114))/(A115-A114),"")</f>
        <v>5.3369963369963358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51</v>
      </c>
      <c r="B116" s="60">
        <v>145.78846153846152</v>
      </c>
      <c r="C116" s="50">
        <v>2</v>
      </c>
      <c r="D116" s="60">
        <v>37.685897435897431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5"/>
        <v>6.826007326007324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59</v>
      </c>
      <c r="B117" s="60">
        <v>159.25641025641025</v>
      </c>
      <c r="C117" s="50">
        <v>3</v>
      </c>
      <c r="D117" s="60">
        <v>38.942307692307693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5"/>
        <v>6.3942307692307701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67</v>
      </c>
      <c r="B118" s="60">
        <v>167.85897435897436</v>
      </c>
      <c r="C118" s="50">
        <v>4</v>
      </c>
      <c r="D118" s="60">
        <v>31.993589743589741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5"/>
        <v>5.9431089743589762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75</v>
      </c>
      <c r="B119" s="60">
        <v>181.38461538461536</v>
      </c>
      <c r="C119" s="50">
        <v>5</v>
      </c>
      <c r="D119" s="60">
        <v>30.916666666666664</v>
      </c>
      <c r="E119" s="51">
        <v>0.7</v>
      </c>
      <c r="F119" s="51">
        <v>0</v>
      </c>
      <c r="G119" s="51">
        <v>0</v>
      </c>
      <c r="H119" s="51">
        <v>0.3</v>
      </c>
      <c r="I119" s="53">
        <f t="shared" si="5"/>
        <v>5.6899038461538431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84</v>
      </c>
      <c r="B120" s="60">
        <v>200.00641025641025</v>
      </c>
      <c r="C120" s="60">
        <v>6</v>
      </c>
      <c r="D120" s="60">
        <v>35.083333333333329</v>
      </c>
      <c r="E120" s="87">
        <v>0.7</v>
      </c>
      <c r="F120" s="87">
        <v>0</v>
      </c>
      <c r="G120" s="87">
        <v>0</v>
      </c>
      <c r="H120" s="87">
        <v>0.3</v>
      </c>
      <c r="I120" s="53">
        <f t="shared" si="5"/>
        <v>5.5042735042735051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93</v>
      </c>
      <c r="B121" s="60">
        <v>212.26923076923075</v>
      </c>
      <c r="C121" s="60">
        <v>7</v>
      </c>
      <c r="D121" s="60">
        <v>30.083333333333332</v>
      </c>
      <c r="E121" s="87">
        <v>0.7</v>
      </c>
      <c r="F121" s="87">
        <v>0</v>
      </c>
      <c r="G121" s="87">
        <v>0</v>
      </c>
      <c r="H121" s="87">
        <v>0.3</v>
      </c>
      <c r="I121" s="53">
        <f t="shared" si="5"/>
        <v>5.2606837606837598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103</v>
      </c>
      <c r="B122" s="60">
        <v>234.76923076923077</v>
      </c>
      <c r="C122" s="60">
        <v>8</v>
      </c>
      <c r="D122" s="60">
        <v>39.512820512820511</v>
      </c>
      <c r="E122" s="87">
        <v>0.7</v>
      </c>
      <c r="F122" s="87">
        <v>0</v>
      </c>
      <c r="G122" s="87">
        <v>0</v>
      </c>
      <c r="H122" s="87">
        <v>0.3</v>
      </c>
      <c r="I122" s="53">
        <f t="shared" si="5"/>
        <v>5.2583333333333373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113</v>
      </c>
      <c r="B123" s="60">
        <v>246.21794871794873</v>
      </c>
      <c r="C123" s="60">
        <v>9</v>
      </c>
      <c r="D123" s="60">
        <v>31.602564102564099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5"/>
        <v>5.0961538461538449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125</v>
      </c>
      <c r="B124" s="60">
        <v>278.29487179487177</v>
      </c>
      <c r="C124" s="60">
        <v>10</v>
      </c>
      <c r="D124" s="60">
        <v>48.160256410256409</v>
      </c>
      <c r="E124" s="87">
        <v>0.7</v>
      </c>
      <c r="F124" s="87">
        <v>0</v>
      </c>
      <c r="G124" s="87">
        <v>0</v>
      </c>
      <c r="H124" s="87">
        <v>0.3</v>
      </c>
      <c r="I124" s="53">
        <f t="shared" si="5"/>
        <v>5.3066239316239274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137</v>
      </c>
      <c r="B125" s="60">
        <v>293.07051282051282</v>
      </c>
      <c r="C125" s="60">
        <v>11</v>
      </c>
      <c r="D125" s="60">
        <v>51.160256410256409</v>
      </c>
      <c r="E125" s="87">
        <v>0.7</v>
      </c>
      <c r="F125" s="87">
        <v>0</v>
      </c>
      <c r="G125" s="87">
        <v>0</v>
      </c>
      <c r="H125" s="87">
        <v>0.3</v>
      </c>
      <c r="I125" s="53">
        <f t="shared" si="5"/>
        <v>5.2446581196581219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149</v>
      </c>
      <c r="B126" s="60">
        <v>303.18589743589746</v>
      </c>
      <c r="C126" s="60">
        <v>12</v>
      </c>
      <c r="D126" s="60">
        <v>120.50641025641026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5"/>
        <v>5.1063034188034209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153</v>
      </c>
      <c r="B127" s="60">
        <v>195.05769230769226</v>
      </c>
      <c r="C127" s="60">
        <v>13</v>
      </c>
      <c r="D127" s="60">
        <v>70.115384615384613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5"/>
        <v>3.0945512820512704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157</v>
      </c>
      <c r="B128" s="50">
        <v>132.42948717948718</v>
      </c>
      <c r="C128" s="50">
        <v>14</v>
      </c>
      <c r="D128" s="50">
        <v>45.71153846153846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5"/>
        <v>1.8717948717948829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161</v>
      </c>
      <c r="B129" s="50">
        <v>91.365384615384613</v>
      </c>
      <c r="C129" s="50">
        <v>15</v>
      </c>
      <c r="D129" s="50">
        <v>91.365384615384613</v>
      </c>
      <c r="E129" s="54">
        <v>0.9</v>
      </c>
      <c r="F129" s="54">
        <v>0</v>
      </c>
      <c r="G129" s="54">
        <v>0</v>
      </c>
      <c r="H129" s="54">
        <v>0.1</v>
      </c>
      <c r="I129" s="53">
        <f t="shared" si="5"/>
        <v>1.1618589743589709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Séquoia toujours vert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21</v>
      </c>
      <c r="B140" s="60">
        <v>180.06153846153845</v>
      </c>
      <c r="C140" s="50">
        <v>1</v>
      </c>
      <c r="D140" s="60">
        <v>61.169230769230765</v>
      </c>
      <c r="E140" s="51">
        <v>0</v>
      </c>
      <c r="F140" s="51">
        <v>0.56000000000000005</v>
      </c>
      <c r="G140" s="51">
        <v>0.44</v>
      </c>
      <c r="H140" s="51">
        <v>0</v>
      </c>
      <c r="I140" s="57">
        <f>IFERROR(B140/A140,"")</f>
        <v>8.5743589743589741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28</v>
      </c>
      <c r="B141" s="60">
        <v>235.7076923076923</v>
      </c>
      <c r="C141" s="50">
        <v>2</v>
      </c>
      <c r="D141" s="60">
        <v>56.91538461538461</v>
      </c>
      <c r="E141" s="51">
        <v>0</v>
      </c>
      <c r="F141" s="51">
        <v>0.56000000000000005</v>
      </c>
      <c r="G141" s="51">
        <v>0.44</v>
      </c>
      <c r="H141" s="51">
        <v>0</v>
      </c>
      <c r="I141" s="57">
        <f t="shared" ref="I141:I159" si="6">IF(A141&lt;&gt;0,(B141-(B140-D140))/(A141-A140),"")</f>
        <v>16.687912087912089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30</v>
      </c>
      <c r="B142" s="60">
        <v>214.99230769230769</v>
      </c>
      <c r="C142" s="50" t="s">
        <v>324</v>
      </c>
      <c r="D142" s="60">
        <v>0</v>
      </c>
      <c r="E142" s="51">
        <v>0</v>
      </c>
      <c r="F142" s="51">
        <v>0</v>
      </c>
      <c r="G142" s="51">
        <v>0</v>
      </c>
      <c r="H142" s="51">
        <v>0</v>
      </c>
      <c r="I142" s="57">
        <f t="shared" si="6"/>
        <v>18.099999999999994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35</v>
      </c>
      <c r="B143" s="60">
        <v>305.49230769230769</v>
      </c>
      <c r="C143" s="50">
        <v>3</v>
      </c>
      <c r="D143" s="60">
        <v>70.5</v>
      </c>
      <c r="E143" s="51">
        <v>0.7</v>
      </c>
      <c r="F143" s="51">
        <v>0.16800000000000001</v>
      </c>
      <c r="G143" s="51">
        <v>0.13200000000000001</v>
      </c>
      <c r="H143" s="51">
        <v>0</v>
      </c>
      <c r="I143" s="57">
        <f t="shared" si="6"/>
        <v>18.100000000000001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42</v>
      </c>
      <c r="B144" s="60">
        <v>362.59999999999997</v>
      </c>
      <c r="C144" s="50">
        <v>4</v>
      </c>
      <c r="D144" s="60">
        <v>80.669230769230765</v>
      </c>
      <c r="E144" s="51">
        <v>0.7</v>
      </c>
      <c r="F144" s="51">
        <v>0.16800000000000001</v>
      </c>
      <c r="G144" s="51">
        <v>0.13200000000000001</v>
      </c>
      <c r="H144" s="51">
        <v>0</v>
      </c>
      <c r="I144" s="57">
        <f t="shared" si="6"/>
        <v>18.229670329670324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49</v>
      </c>
      <c r="B145" s="60">
        <v>404.56923076923078</v>
      </c>
      <c r="C145" s="50">
        <v>5</v>
      </c>
      <c r="D145" s="60">
        <v>90.453846153846158</v>
      </c>
      <c r="E145" s="51">
        <v>0.7</v>
      </c>
      <c r="F145" s="51">
        <v>0.16800000000000001</v>
      </c>
      <c r="G145" s="51">
        <v>0.13200000000000001</v>
      </c>
      <c r="H145" s="51">
        <v>0</v>
      </c>
      <c r="I145" s="57">
        <f t="shared" si="6"/>
        <v>17.519780219780223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56</v>
      </c>
      <c r="B146" s="60">
        <v>427.7076923076923</v>
      </c>
      <c r="C146" s="50">
        <v>6</v>
      </c>
      <c r="D146" s="60">
        <v>75.869230769230768</v>
      </c>
      <c r="E146" s="51">
        <v>0.7</v>
      </c>
      <c r="F146" s="51">
        <v>0.16800000000000001</v>
      </c>
      <c r="G146" s="51">
        <v>0.13200000000000001</v>
      </c>
      <c r="H146" s="51">
        <v>0</v>
      </c>
      <c r="I146" s="57">
        <f t="shared" si="6"/>
        <v>16.227472527472521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63</v>
      </c>
      <c r="B147" s="60">
        <v>455.71538461538466</v>
      </c>
      <c r="C147" s="50">
        <v>7</v>
      </c>
      <c r="D147" s="60">
        <v>79.723076923076917</v>
      </c>
      <c r="E147" s="51">
        <v>0.7</v>
      </c>
      <c r="F147" s="51">
        <v>0.16800000000000001</v>
      </c>
      <c r="G147" s="51">
        <v>0.13200000000000001</v>
      </c>
      <c r="H147" s="51">
        <v>0</v>
      </c>
      <c r="I147" s="57">
        <f>IF(A147&lt;&gt;0,(B147-(B146-D146))/(A147-A146),"")</f>
        <v>14.839560439560453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70</v>
      </c>
      <c r="B148" s="60">
        <v>469.06923076923073</v>
      </c>
      <c r="C148" s="50">
        <v>8</v>
      </c>
      <c r="D148" s="60">
        <v>469.06923076923073</v>
      </c>
      <c r="E148" s="51">
        <v>0.7</v>
      </c>
      <c r="F148" s="51">
        <v>0.16800000000000001</v>
      </c>
      <c r="G148" s="51">
        <v>0.13200000000000001</v>
      </c>
      <c r="H148" s="51">
        <v>0</v>
      </c>
      <c r="I148" s="57">
        <f t="shared" si="6"/>
        <v>13.296703296703283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Cèdre de l'Atlas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30</v>
      </c>
      <c r="B166" s="60">
        <v>216.79230769230767</v>
      </c>
      <c r="C166" s="60" t="s">
        <v>324</v>
      </c>
      <c r="D166" s="60">
        <v>0</v>
      </c>
      <c r="E166" s="51">
        <v>0.7</v>
      </c>
      <c r="F166" s="51">
        <v>0.16800000000000001</v>
      </c>
      <c r="G166" s="51">
        <v>0.13200000000000001</v>
      </c>
      <c r="H166" s="51">
        <v>0</v>
      </c>
      <c r="I166" s="49">
        <f>IFERROR(B166/A166,"")</f>
        <v>7.2264102564102561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42</v>
      </c>
      <c r="B167" s="60">
        <v>410.3692307692308</v>
      </c>
      <c r="C167" s="60">
        <v>1</v>
      </c>
      <c r="D167" s="60">
        <v>179.84615384615384</v>
      </c>
      <c r="E167" s="51">
        <v>0</v>
      </c>
      <c r="F167" s="51">
        <v>0.56000000000000005</v>
      </c>
      <c r="G167" s="51">
        <v>0.44</v>
      </c>
      <c r="H167" s="51">
        <v>0</v>
      </c>
      <c r="I167" s="49">
        <f t="shared" ref="I167:I185" si="7">IF(A167&lt;&gt;0,(B167-(B166-D166))/(A167-A166),"")</f>
        <v>16.131410256410259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49</v>
      </c>
      <c r="B168" s="60">
        <v>339.85384615384612</v>
      </c>
      <c r="C168" s="60">
        <v>2</v>
      </c>
      <c r="D168" s="60">
        <v>94.476923076923072</v>
      </c>
      <c r="E168" s="51">
        <v>0.7</v>
      </c>
      <c r="F168" s="51">
        <v>0.16800000000000001</v>
      </c>
      <c r="G168" s="51">
        <v>0.13200000000000001</v>
      </c>
      <c r="H168" s="51">
        <v>0</v>
      </c>
      <c r="I168" s="49">
        <f t="shared" si="7"/>
        <v>15.618681318681309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56</v>
      </c>
      <c r="B169" s="60">
        <v>348.05384615384617</v>
      </c>
      <c r="C169" s="60">
        <v>3</v>
      </c>
      <c r="D169" s="60">
        <v>72.769230769230759</v>
      </c>
      <c r="E169" s="51">
        <v>0.7</v>
      </c>
      <c r="F169" s="51">
        <v>0.16800000000000001</v>
      </c>
      <c r="G169" s="51">
        <v>0.13200000000000001</v>
      </c>
      <c r="H169" s="51">
        <v>0</v>
      </c>
      <c r="I169" s="49">
        <f t="shared" si="7"/>
        <v>14.668131868131875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63</v>
      </c>
      <c r="B170" s="60">
        <v>375.17692307692306</v>
      </c>
      <c r="C170" s="60">
        <v>4</v>
      </c>
      <c r="D170" s="60">
        <v>71.123076923076923</v>
      </c>
      <c r="E170" s="51">
        <v>0.7</v>
      </c>
      <c r="F170" s="51">
        <v>0.16800000000000001</v>
      </c>
      <c r="G170" s="51">
        <v>0.13200000000000001</v>
      </c>
      <c r="H170" s="51">
        <v>0</v>
      </c>
      <c r="I170" s="49">
        <f t="shared" si="7"/>
        <v>14.270329670329668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71</v>
      </c>
      <c r="B171" s="60">
        <v>413.95384615384614</v>
      </c>
      <c r="C171" s="60">
        <v>5</v>
      </c>
      <c r="D171" s="60">
        <v>80.399999999999991</v>
      </c>
      <c r="E171" s="51">
        <v>0.7</v>
      </c>
      <c r="F171" s="51">
        <v>0.16800000000000001</v>
      </c>
      <c r="G171" s="51">
        <v>0.13200000000000001</v>
      </c>
      <c r="H171" s="51">
        <v>0</v>
      </c>
      <c r="I171" s="49">
        <f t="shared" si="7"/>
        <v>13.737499999999997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79</v>
      </c>
      <c r="B172" s="60">
        <v>436.86153846153843</v>
      </c>
      <c r="C172" s="60">
        <v>6</v>
      </c>
      <c r="D172" s="60">
        <v>77.338461538461544</v>
      </c>
      <c r="E172" s="51">
        <v>0.7</v>
      </c>
      <c r="F172" s="51">
        <v>0.16800000000000001</v>
      </c>
      <c r="G172" s="51">
        <v>0.13200000000000001</v>
      </c>
      <c r="H172" s="51">
        <v>0</v>
      </c>
      <c r="I172" s="49">
        <f t="shared" si="7"/>
        <v>12.913461538461533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87</v>
      </c>
      <c r="B173" s="50">
        <v>456.51538461538462</v>
      </c>
      <c r="C173" s="50">
        <v>7</v>
      </c>
      <c r="D173" s="50">
        <v>77.330769230769235</v>
      </c>
      <c r="E173" s="51">
        <v>0.7</v>
      </c>
      <c r="F173" s="51">
        <v>0.16800000000000001</v>
      </c>
      <c r="G173" s="51">
        <v>0.13200000000000001</v>
      </c>
      <c r="H173" s="51">
        <v>0</v>
      </c>
      <c r="I173" s="49">
        <f t="shared" si="7"/>
        <v>12.124038461538468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95</v>
      </c>
      <c r="B174" s="50">
        <v>469.12307692307689</v>
      </c>
      <c r="C174" s="50">
        <v>8</v>
      </c>
      <c r="D174" s="50">
        <v>234.42307692307691</v>
      </c>
      <c r="E174" s="51">
        <v>0.7</v>
      </c>
      <c r="F174" s="51">
        <v>0.16800000000000001</v>
      </c>
      <c r="G174" s="51">
        <v>0.13200000000000001</v>
      </c>
      <c r="H174" s="51">
        <v>0</v>
      </c>
      <c r="I174" s="49">
        <f t="shared" si="7"/>
        <v>11.242307692307691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105</v>
      </c>
      <c r="B175" s="50">
        <v>309.71538461538461</v>
      </c>
      <c r="C175" s="50">
        <v>9</v>
      </c>
      <c r="D175" s="50">
        <v>309.71538461538461</v>
      </c>
      <c r="E175" s="51">
        <v>0.7</v>
      </c>
      <c r="F175" s="51">
        <v>0.16800000000000001</v>
      </c>
      <c r="G175" s="51">
        <v>0.13200000000000001</v>
      </c>
      <c r="H175" s="51">
        <v>0</v>
      </c>
      <c r="I175" s="49">
        <f t="shared" si="7"/>
        <v>7.5015384615384617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Pin taeda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17</v>
      </c>
      <c r="B192" s="60">
        <v>126.33076923076922</v>
      </c>
      <c r="C192" s="60">
        <v>1</v>
      </c>
      <c r="D192" s="60">
        <v>42.084615384615383</v>
      </c>
      <c r="E192" s="51">
        <v>0</v>
      </c>
      <c r="F192" s="51">
        <v>0.56000000000000005</v>
      </c>
      <c r="G192" s="51">
        <v>0.44</v>
      </c>
      <c r="H192" s="51">
        <v>0</v>
      </c>
      <c r="I192" s="49">
        <f>IFERROR(B192/A192,"")</f>
        <v>7.4312217194570129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23</v>
      </c>
      <c r="B193" s="60">
        <v>173.80769230769229</v>
      </c>
      <c r="C193" s="60">
        <v>2</v>
      </c>
      <c r="D193" s="60">
        <v>54.099999999999994</v>
      </c>
      <c r="E193" s="51">
        <v>0</v>
      </c>
      <c r="F193" s="51">
        <v>0.56000000000000005</v>
      </c>
      <c r="G193" s="51">
        <v>0.44</v>
      </c>
      <c r="H193" s="51">
        <v>0</v>
      </c>
      <c r="I193" s="49">
        <f t="shared" ref="I193:I211" si="8">IF(A193&lt;&gt;0,(B193-(B192-D192))/(A193-A192),"")</f>
        <v>14.926923076923075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29</v>
      </c>
      <c r="B194" s="60">
        <v>210.14615384615385</v>
      </c>
      <c r="C194" s="60">
        <v>3</v>
      </c>
      <c r="D194" s="60">
        <v>47.661538461538463</v>
      </c>
      <c r="E194" s="51">
        <v>0.7</v>
      </c>
      <c r="F194" s="51">
        <v>0.16800000000000001</v>
      </c>
      <c r="G194" s="51">
        <v>0.13200000000000001</v>
      </c>
      <c r="H194" s="51">
        <v>0</v>
      </c>
      <c r="I194" s="49">
        <f t="shared" si="8"/>
        <v>15.073076923076925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36</v>
      </c>
      <c r="B195" s="60">
        <v>262.57692307692309</v>
      </c>
      <c r="C195" s="60">
        <v>4</v>
      </c>
      <c r="D195" s="60">
        <v>64.553846153846152</v>
      </c>
      <c r="E195" s="51">
        <v>0.7</v>
      </c>
      <c r="F195" s="51">
        <v>0.16800000000000001</v>
      </c>
      <c r="G195" s="51">
        <v>0.13200000000000001</v>
      </c>
      <c r="H195" s="51">
        <v>0</v>
      </c>
      <c r="I195" s="49">
        <f t="shared" si="8"/>
        <v>14.298901098901101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44</v>
      </c>
      <c r="B196" s="60">
        <v>303.15384615384613</v>
      </c>
      <c r="C196" s="60">
        <v>5</v>
      </c>
      <c r="D196" s="60">
        <v>64.476923076923072</v>
      </c>
      <c r="E196" s="51">
        <v>0.7</v>
      </c>
      <c r="F196" s="51">
        <v>0.16800000000000001</v>
      </c>
      <c r="G196" s="51">
        <v>0.13200000000000001</v>
      </c>
      <c r="H196" s="51">
        <v>0</v>
      </c>
      <c r="I196" s="49">
        <f t="shared" si="8"/>
        <v>13.14134615384615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52</v>
      </c>
      <c r="B197" s="60">
        <v>331.81538461538463</v>
      </c>
      <c r="C197" s="60">
        <v>6</v>
      </c>
      <c r="D197" s="60">
        <v>61.784615384615378</v>
      </c>
      <c r="E197" s="51">
        <v>0.7</v>
      </c>
      <c r="F197" s="51">
        <v>0.16800000000000001</v>
      </c>
      <c r="G197" s="51">
        <v>0.13200000000000001</v>
      </c>
      <c r="H197" s="51">
        <v>0</v>
      </c>
      <c r="I197" s="49">
        <f t="shared" si="8"/>
        <v>11.642307692307696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60</v>
      </c>
      <c r="B198" s="60">
        <v>353.5</v>
      </c>
      <c r="C198" s="60">
        <v>7</v>
      </c>
      <c r="D198" s="60">
        <v>353.5</v>
      </c>
      <c r="E198" s="51">
        <v>0.7</v>
      </c>
      <c r="F198" s="51">
        <v>0.16800000000000001</v>
      </c>
      <c r="G198" s="51">
        <v>0.13200000000000001</v>
      </c>
      <c r="H198" s="51">
        <v>0</v>
      </c>
      <c r="I198" s="49">
        <f t="shared" si="8"/>
        <v>10.433653846153845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Cormier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30</v>
      </c>
      <c r="B218" s="60">
        <v>121.88461538461537</v>
      </c>
      <c r="C218" s="50" t="s">
        <v>324</v>
      </c>
      <c r="D218" s="60">
        <v>0</v>
      </c>
      <c r="E218" s="63">
        <v>0</v>
      </c>
      <c r="F218" s="63">
        <v>0</v>
      </c>
      <c r="G218" s="63">
        <v>0</v>
      </c>
      <c r="H218" s="63">
        <v>0</v>
      </c>
      <c r="I218" s="53">
        <f>IFERROR(B218/A218,"")</f>
        <v>4.0628205128205126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35</v>
      </c>
      <c r="B219" s="60">
        <v>162.16666666666669</v>
      </c>
      <c r="C219" s="50">
        <v>1</v>
      </c>
      <c r="D219" s="60">
        <v>60.602564102564102</v>
      </c>
      <c r="E219" s="63">
        <v>0</v>
      </c>
      <c r="F219" s="63">
        <v>0</v>
      </c>
      <c r="G219" s="63">
        <v>0</v>
      </c>
      <c r="H219" s="63">
        <v>1</v>
      </c>
      <c r="I219" s="53">
        <f t="shared" ref="I219:I237" si="9">IF(A219&lt;&gt;0,(B219-(B218-D218))/(A219-A218),"")</f>
        <v>8.0564102564102633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41</v>
      </c>
      <c r="B220" s="60">
        <v>157.44871794871796</v>
      </c>
      <c r="C220" s="50">
        <v>2</v>
      </c>
      <c r="D220" s="60">
        <v>38.512820512820511</v>
      </c>
      <c r="E220" s="63">
        <v>0</v>
      </c>
      <c r="F220" s="63">
        <v>0</v>
      </c>
      <c r="G220" s="63">
        <v>0</v>
      </c>
      <c r="H220" s="63">
        <v>1</v>
      </c>
      <c r="I220" s="53">
        <f t="shared" si="9"/>
        <v>9.3141025641025621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48</v>
      </c>
      <c r="B221" s="55">
        <v>184.35256410256409</v>
      </c>
      <c r="C221" s="55">
        <v>3</v>
      </c>
      <c r="D221" s="55">
        <v>48.025641025641022</v>
      </c>
      <c r="E221" s="63">
        <v>0</v>
      </c>
      <c r="F221" s="63">
        <v>0</v>
      </c>
      <c r="G221" s="63">
        <v>0</v>
      </c>
      <c r="H221" s="63">
        <v>1</v>
      </c>
      <c r="I221" s="53">
        <f t="shared" si="9"/>
        <v>9.3452380952380913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55</v>
      </c>
      <c r="B222" s="55">
        <v>198.44230769230768</v>
      </c>
      <c r="C222" s="55">
        <v>4</v>
      </c>
      <c r="D222" s="55">
        <v>45.147435897435898</v>
      </c>
      <c r="E222" s="63">
        <v>0</v>
      </c>
      <c r="F222" s="63">
        <v>0</v>
      </c>
      <c r="G222" s="63">
        <v>0</v>
      </c>
      <c r="H222" s="63">
        <v>1</v>
      </c>
      <c r="I222" s="53">
        <f t="shared" si="9"/>
        <v>8.8736263736263741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63</v>
      </c>
      <c r="B223" s="55">
        <v>220.28846153846152</v>
      </c>
      <c r="C223" s="55">
        <v>5</v>
      </c>
      <c r="D223" s="55">
        <v>41.724358974358978</v>
      </c>
      <c r="E223" s="63">
        <v>0.7</v>
      </c>
      <c r="F223" s="63">
        <v>0</v>
      </c>
      <c r="G223" s="63">
        <v>0</v>
      </c>
      <c r="H223" s="63">
        <v>0.3</v>
      </c>
      <c r="I223" s="53">
        <f t="shared" si="9"/>
        <v>8.374198717948719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71</v>
      </c>
      <c r="B224" s="55">
        <v>243.36538461538464</v>
      </c>
      <c r="C224" s="55">
        <v>6</v>
      </c>
      <c r="D224" s="55">
        <v>39.935897435897431</v>
      </c>
      <c r="E224" s="63">
        <v>0.7</v>
      </c>
      <c r="F224" s="63">
        <v>0</v>
      </c>
      <c r="G224" s="63">
        <v>0</v>
      </c>
      <c r="H224" s="63">
        <v>0.3</v>
      </c>
      <c r="I224" s="53">
        <f t="shared" si="9"/>
        <v>8.1001602564102626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>
        <v>80</v>
      </c>
      <c r="B225" s="55">
        <v>274.01282051282055</v>
      </c>
      <c r="C225" s="55">
        <v>7</v>
      </c>
      <c r="D225" s="55">
        <v>45.608974358974358</v>
      </c>
      <c r="E225" s="63">
        <v>0.7</v>
      </c>
      <c r="F225" s="63">
        <v>0</v>
      </c>
      <c r="G225" s="63">
        <v>0</v>
      </c>
      <c r="H225" s="63">
        <v>0.3</v>
      </c>
      <c r="I225" s="53">
        <f t="shared" si="9"/>
        <v>7.8425925925925934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>
        <v>89</v>
      </c>
      <c r="B226" s="55">
        <v>295.85897435897436</v>
      </c>
      <c r="C226" s="55">
        <v>8</v>
      </c>
      <c r="D226" s="55">
        <v>49.391025641025635</v>
      </c>
      <c r="E226" s="63">
        <v>0.7</v>
      </c>
      <c r="F226" s="63">
        <v>0</v>
      </c>
      <c r="G226" s="63">
        <v>0</v>
      </c>
      <c r="H226" s="63">
        <v>0.3</v>
      </c>
      <c r="I226" s="53">
        <f t="shared" si="9"/>
        <v>7.4950142450142421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>
        <v>99</v>
      </c>
      <c r="B227" s="55">
        <v>318.25</v>
      </c>
      <c r="C227" s="55">
        <v>9</v>
      </c>
      <c r="D227" s="55">
        <v>48.019230769230766</v>
      </c>
      <c r="E227" s="63">
        <v>0.7</v>
      </c>
      <c r="F227" s="63">
        <v>0</v>
      </c>
      <c r="G227" s="63">
        <v>0</v>
      </c>
      <c r="H227" s="63">
        <v>0.3</v>
      </c>
      <c r="I227" s="53">
        <f t="shared" si="9"/>
        <v>7.1782051282051267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>
        <v>109</v>
      </c>
      <c r="B228" s="55">
        <v>340.16666666666663</v>
      </c>
      <c r="C228" s="55">
        <v>10</v>
      </c>
      <c r="D228" s="55">
        <v>51.28846153846154</v>
      </c>
      <c r="E228" s="63">
        <v>0.9</v>
      </c>
      <c r="F228" s="63">
        <v>0</v>
      </c>
      <c r="G228" s="63">
        <v>0</v>
      </c>
      <c r="H228" s="63">
        <v>0.1</v>
      </c>
      <c r="I228" s="53">
        <f t="shared" si="9"/>
        <v>6.9935897435897401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>
        <v>119</v>
      </c>
      <c r="B229" s="55">
        <v>357.33974358974359</v>
      </c>
      <c r="C229" s="55">
        <v>11</v>
      </c>
      <c r="D229" s="55">
        <v>150.02564102564102</v>
      </c>
      <c r="E229" s="63">
        <v>0.9</v>
      </c>
      <c r="F229" s="63">
        <v>0</v>
      </c>
      <c r="G229" s="63">
        <v>0</v>
      </c>
      <c r="H229" s="63">
        <v>0.1</v>
      </c>
      <c r="I229" s="53">
        <f t="shared" si="9"/>
        <v>6.8461538461538511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>
        <v>123</v>
      </c>
      <c r="B230" s="55">
        <v>222.63461538461539</v>
      </c>
      <c r="C230" s="55">
        <v>12</v>
      </c>
      <c r="D230" s="55">
        <v>77.17307692307692</v>
      </c>
      <c r="E230" s="64">
        <v>0.9</v>
      </c>
      <c r="F230" s="64">
        <v>0</v>
      </c>
      <c r="G230" s="64">
        <v>0</v>
      </c>
      <c r="H230" s="64">
        <v>0.1</v>
      </c>
      <c r="I230" s="53">
        <f t="shared" si="9"/>
        <v>3.8301282051282044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>
        <v>127</v>
      </c>
      <c r="B231" s="60">
        <v>154.80128205128204</v>
      </c>
      <c r="C231" s="88">
        <v>13</v>
      </c>
      <c r="D231" s="60">
        <v>49.916666666666671</v>
      </c>
      <c r="E231" s="54">
        <v>0.9</v>
      </c>
      <c r="F231" s="54">
        <v>0</v>
      </c>
      <c r="G231" s="54">
        <v>0</v>
      </c>
      <c r="H231" s="54">
        <v>0.1</v>
      </c>
      <c r="I231" s="53">
        <f t="shared" si="9"/>
        <v>2.3349358974358978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>
        <v>131</v>
      </c>
      <c r="B232" s="50">
        <v>110.91025641025641</v>
      </c>
      <c r="C232" s="50">
        <v>14</v>
      </c>
      <c r="D232" s="50">
        <v>110.91025641025641</v>
      </c>
      <c r="E232" s="54">
        <v>0.9</v>
      </c>
      <c r="F232" s="54">
        <v>0</v>
      </c>
      <c r="G232" s="54">
        <v>0</v>
      </c>
      <c r="H232" s="54">
        <v>0.1</v>
      </c>
      <c r="I232" s="53">
        <f t="shared" si="9"/>
        <v>1.5064102564102591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20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Pin maritime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Chêne sessile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Douglas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Chêne pubescent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Séquoia toujours vert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>Cèdre de l'Atlas</v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>Pin taeda</v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>Cormier</v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266.02599413192075</v>
      </c>
      <c r="T3" s="59">
        <f>IF('Données projet'!E9&gt;30,$R$33-$H$33,LOOKUP('Données projet'!$E$9,$A$3:$A$203,R3:R203)-LOOKUP('Données projet'!$E$9,$A$3:$A$203,$H$3:$H$203))</f>
        <v>332.94146254783254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282.13645166362238</v>
      </c>
      <c r="AO3" s="59">
        <f>IF('Données projet'!E10&gt;30,$AM$33-$H$33,LOOKUP('Données projet'!$E$10,$A$3:$A$203,AM3:AM203)-LOOKUP('Données projet'!$E$10,$A$3:$A$203,$H$3:$H$203))</f>
        <v>210.5345332979457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254.6443970237226</v>
      </c>
      <c r="BJ3" s="59">
        <f>IF('Données projet'!E11&gt;30,$BH$33-$H$33,LOOKUP('Données projet'!$E$11,$A$3:$A$203,BH3:BH203)-LOOKUP('Données projet'!$E$11,$A$3:$A$203,$H$3:$H$203))</f>
        <v>231.81667808018062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264.08050363622294</v>
      </c>
      <c r="CE3" s="59">
        <f>IF('Données projet'!E12&gt;30,$CC$33-$H$33,LOOKUP('Données projet'!$E$12,$A$3:$A$203,CC3:CC203)-LOOKUP('Données projet'!$E$12,$A$3:$A$203,$H$3:$H$203))</f>
        <v>164.48884512322883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194.7221767407824</v>
      </c>
      <c r="CZ3" s="59">
        <f>IF('Données projet'!E13&gt;30,$CX$33-$H$33,LOOKUP('Données projet'!$E$13,$A$3:$A$203,CX3:CX203)-LOOKUP('Données projet'!$E$13,$A$3:$A$203,$H$3:$H$203))</f>
        <v>177.6550559568646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207.25176714718668</v>
      </c>
      <c r="DU3" s="59">
        <f>IF('Données projet'!E14&gt;30,$DS$33-$H$33,LOOKUP('Données projet'!$E$14,$A$3:$A$203,DS3:DS203)-LOOKUP('Données projet'!$E$14,$A$3:$A$203,$H$3:$H$203))</f>
        <v>191.53228014642559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200.15574321350221</v>
      </c>
      <c r="EP3" s="59">
        <f>IF('Données projet'!E15&gt;30,$EN$33-$H$33,LOOKUP('Données projet'!$E$15,$A$3:$A$203,EN3:EN203)-LOOKUP('Données projet'!$E$15,$A$3:$A$203,$H$3:$H$203))</f>
        <v>200.70728852570426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347.17049316703486</v>
      </c>
      <c r="FK3" s="59">
        <f>IF('Données projet'!E16&gt;30,$FI$33-$H$33,LOOKUP('Données projet'!$E$16,$A$3:$A$203,FI3:FI203)-LOOKUP('Données projet'!$E$16,$A$3:$A$203,$H$3:$H$203))</f>
        <v>255.45365487683489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7">
        <f t="shared" ref="H4:H67" si="1">(B4+E4+F4)*44/12+(C4+D4)*0.475*44/12</f>
        <v>294.55877568277907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295.46414744933242</v>
      </c>
      <c r="S4" s="59">
        <f ca="1">AVERAGE(OFFSET($R$3,0,0,'Données projet'!$E$9+1,1))-AVERAGE(OFFSET($H$3,0,0,'Données projet'!$E$9+1,1))</f>
        <v>266.02599413192075</v>
      </c>
      <c r="T4" s="59">
        <f>$T$3</f>
        <v>332.94146254783254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4.0628205128205126</v>
      </c>
      <c r="AI4" s="13">
        <f>IF('Données projet'!$A$62&gt;35,AI3+AH4-AQ3,IF(A4&lt;'Données projet'!$A$62,$AF$205^A4,IF(A4='Données projet'!$A$62,'Données projet'!$B$62,AI3+AH4-AQ3)))</f>
        <v>1.1736311550444201</v>
      </c>
      <c r="AJ4" s="13">
        <f>AI4*VLOOKUP('Données projet'!$B$10,Paramètres!$A$1:$I$89,3,0)*VLOOKUP('Données projet'!$B$10,Paramètres!$A$1:$I$89,5,0)</f>
        <v>1.0619014690841913</v>
      </c>
      <c r="AK4" s="13">
        <f>EXP(-1.0587+0.8836*LN(AJ4)+0.284)</f>
        <v>0.48595950732890802</v>
      </c>
      <c r="AL4" s="20">
        <f t="shared" ref="AL4:AL67" si="4">(AJ4+AK4)*0.475*44/12</f>
        <v>2.6958578672528142</v>
      </c>
      <c r="AM4" s="59">
        <f t="shared" ref="AM4:AM67" si="5">AL4+(AD4+AE4)*44/12</f>
        <v>296.02919120058613</v>
      </c>
      <c r="AN4" s="59">
        <f ca="1">AVERAGE(OFFSET($AM$3,0,0,'Données projet'!$E$10+1,1))-AVERAGE(OFFSET($H$3,0,0,'Données projet'!$E$10+1,1))</f>
        <v>282.13645166362238</v>
      </c>
      <c r="AO4" s="59">
        <f>$AO$3</f>
        <v>210.5345332979457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8.5743589743589741</v>
      </c>
      <c r="BD4" s="12">
        <f>IF('Données projet'!$A$88&gt;35,BD3+BC4-BL3,IF(A4&lt;'Données projet'!$A$88,$BA$205^A4,IF(A4='Données projet'!$A$88,'Données projet'!$B$88,BD3+BC4-BL3)))</f>
        <v>1.2805631431945952</v>
      </c>
      <c r="BE4" s="13">
        <f>BD4*VLOOKUP('Données projet'!$B$11,Paramètres!$A$1:$I$89,3,0)*VLOOKUP('Données projet'!$B$11,Paramètres!$A$1:$I$89,5,0)</f>
        <v>0.71583479704577868</v>
      </c>
      <c r="BF4" s="13">
        <f>EXP(-1.0587+0.8836*LN(BE4)+0.284)</f>
        <v>0.34297673370795467</v>
      </c>
      <c r="BG4" s="20">
        <f t="shared" ref="BG4:BG67" si="7">(BE4+BF4)*0.475*44/12</f>
        <v>1.8440967493960854</v>
      </c>
      <c r="BH4" s="59">
        <f t="shared" ref="BH4:BH67" si="8">BG4+(AY4+AZ4)*44/12</f>
        <v>295.17743008272942</v>
      </c>
      <c r="BI4" s="59">
        <f ca="1">AVERAGE(OFFSET($BH$3,0,0,'Données projet'!$E$11+1,1))-AVERAGE(OFFSET($H$3,0,0,'Données projet'!$E$11+1,1))</f>
        <v>254.6443970237226</v>
      </c>
      <c r="BJ4" s="59">
        <f>$BJ$3</f>
        <v>231.81667808018062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2.9235042735042733</v>
      </c>
      <c r="BY4" s="12">
        <f>IF('Données projet'!$A$114&gt;35,BY3+BX4-CG3,IF(A4&lt;'Données projet'!$A$114,$BV$205^A4,IF(A4='Données projet'!$A$114,'Données projet'!$B$114,BY3+BX4-CG3)))</f>
        <v>1.1608269964373037</v>
      </c>
      <c r="BZ4" s="13">
        <f>BY4*VLOOKUP('Données projet'!$B$12,Paramètres!$A$1:$I$89,3,0)*VLOOKUP('Données projet'!$B$12,Paramètres!$A$1:$I$89,5,0)</f>
        <v>1.1770785743874259</v>
      </c>
      <c r="CA4" s="13">
        <f>EXP(-1.0587+0.8836*LN(BZ4)+0.284)</f>
        <v>0.53225011573313319</v>
      </c>
      <c r="CB4" s="20">
        <f t="shared" ref="CB4:CB67" si="10">(BZ4+CA4)*0.475*44/12</f>
        <v>2.9770808019599735</v>
      </c>
      <c r="CC4" s="59">
        <f t="shared" ref="CC4:CC67" si="11">CB4+(BT4+BU4)*44/12</f>
        <v>296.31041413529329</v>
      </c>
      <c r="CD4" s="59">
        <f ca="1">AVERAGE(OFFSET($CC$3,0,0,'Données projet'!$E$12+1,1))-AVERAGE(OFFSET($H$3,0,0,'Données projet'!$E$12+1,1))</f>
        <v>264.08050363622294</v>
      </c>
      <c r="CE4" s="59">
        <f>$CE$3</f>
        <v>164.48884512322883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8.5743589743589741</v>
      </c>
      <c r="CT4" s="12">
        <f>IF('Données projet'!$A$140&gt;35,CT3+CS4-DB3,IF(A4&lt;'Données projet'!$A$140,$CQ$205^A4,IF(A4='Données projet'!$A$140,'Données projet'!$B$140,CT3+CS4-DB3)))</f>
        <v>1.2805631431945952</v>
      </c>
      <c r="CU4" s="17">
        <f>CT4*VLOOKUP('Données projet'!$B$13,Paramètres!$A$1:$I$89,3,0)*VLOOKUP('Données projet'!$B$13,Paramètres!$A$1:$I$89,5,0)</f>
        <v>0.5660089092920112</v>
      </c>
      <c r="CV4" s="13">
        <f>EXP(-1.0587+0.8836*LN(CU4)+0.284)</f>
        <v>0.27870624739420802</v>
      </c>
      <c r="CW4" s="20">
        <f t="shared" ref="CW4:CW67" si="13">(CU4+CV4)*0.475*44/12</f>
        <v>1.4712122312284983</v>
      </c>
      <c r="CX4" s="59">
        <f t="shared" ref="CX4:CX67" si="14">CW4+(CO4+CP4)*44/12</f>
        <v>294.80454556456181</v>
      </c>
      <c r="CY4" s="59">
        <f ca="1">AVERAGE(OFFSET($CX$3,0,0,'Données projet'!$E$13+1,1))-AVERAGE(OFFSET($H$3,0,0,'Données projet'!$E$13+1,1))</f>
        <v>194.7221767407824</v>
      </c>
      <c r="CZ4" s="59">
        <f>$CZ$3</f>
        <v>177.6550559568646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7.2264102564102561</v>
      </c>
      <c r="DO4" s="12">
        <f>IF('Données projet'!$A$166&gt;35,DO3+DN4-DW3,IF(A4&lt;'Données projet'!$A$166,$DL$205^A4,IF(A4='Données projet'!$A$166,'Données projet'!$B$166,DO3+DN4-DW3)))</f>
        <v>1.1963772029987372</v>
      </c>
      <c r="DP4" s="17">
        <f>DO4*VLOOKUP('Données projet'!$B$14,Paramètres!$A$1:$I$89,3,0)*VLOOKUP('Données projet'!$B$14,Paramètres!$A$1:$I$89,5,0)</f>
        <v>0.55990453100340898</v>
      </c>
      <c r="DQ4" s="13">
        <f>EXP(-1.0587+0.8836*LN(DP4)+0.284)</f>
        <v>0.2760486193577778</v>
      </c>
      <c r="DR4" s="20">
        <f t="shared" ref="DR4:DR67" si="16">(DP4+DQ4)*0.475*44/12</f>
        <v>1.4559517368790669</v>
      </c>
      <c r="DS4" s="59">
        <f t="shared" ref="DS4:DS67" si="17">DR4+(DJ4+DK4)*44/12</f>
        <v>294.78928507021237</v>
      </c>
      <c r="DT4" s="59">
        <f ca="1">AVERAGE(OFFSET($DS$3,0,0,'Données projet'!$E$14+1,1))-AVERAGE(OFFSET($H$3,0,0,'Données projet'!$E$14+1,1))</f>
        <v>207.25176714718668</v>
      </c>
      <c r="DU4" s="59">
        <f>$DU$3</f>
        <v>191.53228014642559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7.4312217194570129</v>
      </c>
      <c r="EJ4" s="12">
        <f>IF('Données projet'!$A$192&gt;35,EJ3+EI4-ER3,IF(A4&lt;'Données projet'!$A$192,$EG$205^A4,IF(A4='Données projet'!$A$192,'Données projet'!$B$192,EJ3+EI4-ER3)))</f>
        <v>1.3292852468636394</v>
      </c>
      <c r="EK4" s="17">
        <f>EJ4*VLOOKUP('Données projet'!$B$15,Paramètres!$A$1:$I$89,3,0)*VLOOKUP('Données projet'!$B$15,Paramètres!$A$1:$I$89,5,0)</f>
        <v>0.79491257762445644</v>
      </c>
      <c r="EL4" s="13">
        <f>EXP(-1.0587+0.8836*LN(EK4)+0.284)</f>
        <v>0.37624805113513943</v>
      </c>
      <c r="EM4" s="20">
        <f t="shared" ref="EM4:EM67" si="19">(EK4+EL4)*0.475*44/12</f>
        <v>2.0397714284229629</v>
      </c>
      <c r="EN4" s="59">
        <f t="shared" ref="EN4:EN67" si="20">EM4+(EE4+EF4)*44/12</f>
        <v>295.37310476175628</v>
      </c>
      <c r="EO4" s="59">
        <f ca="1">AVERAGE(OFFSET($EN$3,0,0,'Données projet'!$E$15+1,1))-AVERAGE(OFFSET($H$3,0,0,'Données projet'!$E$15+1,1))</f>
        <v>200.15574321350221</v>
      </c>
      <c r="EP4" s="59">
        <f>$EP$3</f>
        <v>200.70728852570426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4.0628205128205126</v>
      </c>
      <c r="FE4" s="12">
        <f>IF('Données projet'!$A$218&gt;35,FE3+FD4-FM3,IF(A4&lt;'Données projet'!$A$218,$FB$205^A4,IF(A4='Données projet'!$A$218,'Données projet'!$B$218,FE3+FD4-FM3)))</f>
        <v>1.1736311550444201</v>
      </c>
      <c r="FF4" s="17">
        <f>FE4*VLOOKUP('Données projet'!$B$16,Paramètres!$A$1:$I$89,3,0)*VLOOKUP('Données projet'!$B$16,Paramètres!$A$1:$I$89,5,0)</f>
        <v>1.2632965752898135</v>
      </c>
      <c r="FG4" s="13">
        <f>EXP(-1.0587+0.8836*LN(FF4)+0.284)</f>
        <v>0.56655511466244612</v>
      </c>
      <c r="FH4" s="20">
        <f t="shared" ref="FH4:FH67" si="22">(FF4+FG4)*0.475*44/12</f>
        <v>3.1869916933335189</v>
      </c>
      <c r="FI4" s="59">
        <f t="shared" ref="FI4:FI67" si="23">FH4+(EZ4+FA4)*44/12</f>
        <v>296.52032502666685</v>
      </c>
      <c r="FJ4" s="59">
        <f ca="1">AVERAGE(OFFSET($FI$3,0,0,'Données projet'!$E$16+1,1))-AVERAGE(OFFSET($H$3,0,0,'Données projet'!$E$16+1,1))</f>
        <v>347.17049316703486</v>
      </c>
      <c r="FK4" s="59">
        <f>$FK$3</f>
        <v>255.45365487683489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7">
        <f t="shared" si="1"/>
        <v>295.7206040443981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296.26147722539025</v>
      </c>
      <c r="S5" s="59">
        <f ca="1">AVERAGE(OFFSET($R$3,0,0,'Données projet'!$E$9+1,1))-AVERAGE(OFFSET($H$3,0,0,'Données projet'!$E$9+1,1))</f>
        <v>266.02599413192075</v>
      </c>
      <c r="T5" s="59">
        <f t="shared" ref="T5:T68" si="34">$T$3</f>
        <v>332.94146254783254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4.0628205128205126</v>
      </c>
      <c r="AI5" s="13">
        <f>IF('Données projet'!$A$62&gt;35,AI4+AH5-AQ4,IF(A5&lt;'Données projet'!$A$62,$AF$205^A5,IF(A5='Données projet'!$A$62,'Données projet'!$B$62,AI4+AH5-AQ4)))</f>
        <v>1.3774100880908995</v>
      </c>
      <c r="AJ5" s="13">
        <f>AI5*VLOOKUP('Données projet'!$B$10,Paramètres!$A$1:$I$89,3,0)*VLOOKUP('Données projet'!$B$10,Paramètres!$A$1:$I$89,5,0)</f>
        <v>1.2462806477046457</v>
      </c>
      <c r="AK5" s="13">
        <f t="shared" ref="AK5:AK68" si="35">EXP(-1.0587+0.8836*LN(AJ5)+0.284)</f>
        <v>0.55980687933617612</v>
      </c>
      <c r="AL5" s="20">
        <f t="shared" si="4"/>
        <v>3.1456024429294316</v>
      </c>
      <c r="AM5" s="59">
        <f t="shared" si="5"/>
        <v>296.47893577626274</v>
      </c>
      <c r="AN5" s="59">
        <f ca="1">AVERAGE(OFFSET($AM$3,0,0,'Données projet'!$E$10+1,1))-AVERAGE(OFFSET($H$3,0,0,'Données projet'!$E$10+1,1))</f>
        <v>282.13645166362238</v>
      </c>
      <c r="AO5" s="59">
        <f t="shared" ref="AO5:AO68" si="36">$AO$3</f>
        <v>210.5345332979457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8.5743589743589741</v>
      </c>
      <c r="BD5" s="12">
        <f>IF('Données projet'!$A$88&gt;35,BD4+BC5-BL4,IF(A5&lt;'Données projet'!$A$88,$BA$205^A5,IF(A5='Données projet'!$A$88,'Données projet'!$B$88,BD4+BC5-BL4)))</f>
        <v>1.6398419637084214</v>
      </c>
      <c r="BE5" s="13">
        <f>BD5*VLOOKUP('Données projet'!$B$11,Paramètres!$A$1:$I$89,3,0)*VLOOKUP('Données projet'!$B$11,Paramètres!$A$1:$I$89,5,0)</f>
        <v>0.91667165771300751</v>
      </c>
      <c r="BF5" s="13">
        <f t="shared" ref="BF5:BF68" si="37">EXP(-1.0587+0.8836*LN(BE5)+0.284)</f>
        <v>0.42674081455780177</v>
      </c>
      <c r="BG5" s="20">
        <f t="shared" si="7"/>
        <v>2.3397767225383261</v>
      </c>
      <c r="BH5" s="59">
        <f t="shared" si="8"/>
        <v>295.67311005587163</v>
      </c>
      <c r="BI5" s="59">
        <f ca="1">AVERAGE(OFFSET($BH$3,0,0,'Données projet'!$E$11+1,1))-AVERAGE(OFFSET($H$3,0,0,'Données projet'!$E$11+1,1))</f>
        <v>254.6443970237226</v>
      </c>
      <c r="BJ5" s="59">
        <f t="shared" ref="BJ5:BJ68" si="38">$BJ$3</f>
        <v>231.81667808018062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2.9235042735042733</v>
      </c>
      <c r="BY5" s="12">
        <f>IF('Données projet'!$A$114&gt;35,BY4+BX5-CG4,IF(A5&lt;'Données projet'!$A$114,$BV$205^A5,IF(A5='Données projet'!$A$114,'Données projet'!$B$114,BY4+BX5-CG4)))</f>
        <v>1.3475193156576519</v>
      </c>
      <c r="BZ5" s="13">
        <f>BY5*VLOOKUP('Données projet'!$B$12,Paramètres!$A$1:$I$89,3,0)*VLOOKUP('Données projet'!$B$12,Paramètres!$A$1:$I$89,5,0)</f>
        <v>1.3663845860768591</v>
      </c>
      <c r="CA5" s="13">
        <f t="shared" ref="CA5:CA68" si="39">EXP(-1.0587+0.8836*LN(BZ5)+0.284)</f>
        <v>0.60721756676800354</v>
      </c>
      <c r="CB5" s="20">
        <f t="shared" si="10"/>
        <v>3.4373570828714688</v>
      </c>
      <c r="CC5" s="59">
        <f t="shared" si="11"/>
        <v>296.77069041620479</v>
      </c>
      <c r="CD5" s="59">
        <f ca="1">AVERAGE(OFFSET($CC$3,0,0,'Données projet'!$E$12+1,1))-AVERAGE(OFFSET($H$3,0,0,'Données projet'!$E$12+1,1))</f>
        <v>264.08050363622294</v>
      </c>
      <c r="CE5" s="59">
        <f t="shared" ref="CE5:CE68" si="40">$CE$3</f>
        <v>164.48884512322883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8.5743589743589741</v>
      </c>
      <c r="CT5" s="12">
        <f>IF('Données projet'!$A$140&gt;35,CT4+CS5-DB4,IF(A5&lt;'Données projet'!$A$140,$CQ$205^A5,IF(A5='Données projet'!$A$140,'Données projet'!$B$140,CT4+CS5-DB4)))</f>
        <v>1.6398419637084214</v>
      </c>
      <c r="CU5" s="17">
        <f>CT5*VLOOKUP('Données projet'!$B$13,Paramètres!$A$1:$I$89,3,0)*VLOOKUP('Données projet'!$B$13,Paramètres!$A$1:$I$89,5,0)</f>
        <v>0.72481014795912235</v>
      </c>
      <c r="CV5" s="13">
        <f t="shared" ref="CV5:CV68" si="41">EXP(-1.0587+0.8836*LN(CU5)+0.284)</f>
        <v>0.34677375852738224</v>
      </c>
      <c r="CW5" s="20">
        <f t="shared" si="13"/>
        <v>1.8663419704639954</v>
      </c>
      <c r="CX5" s="59">
        <f t="shared" si="14"/>
        <v>295.19967530379733</v>
      </c>
      <c r="CY5" s="59">
        <f ca="1">AVERAGE(OFFSET($CX$3,0,0,'Données projet'!$E$13+1,1))-AVERAGE(OFFSET($H$3,0,0,'Données projet'!$E$13+1,1))</f>
        <v>194.7221767407824</v>
      </c>
      <c r="CZ5" s="59">
        <f t="shared" ref="CZ5:CZ68" si="42">$CZ$3</f>
        <v>177.6550559568646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7.2264102564102561</v>
      </c>
      <c r="DO5" s="12">
        <f>IF('Données projet'!$A$166&gt;35,DO4+DN5-DW4,IF(A5&lt;'Données projet'!$A$166,$DL$205^A5,IF(A5='Données projet'!$A$166,'Données projet'!$B$166,DO4+DN5-DW4)))</f>
        <v>1.4313184118550817</v>
      </c>
      <c r="DP5" s="17">
        <f>DO5*VLOOKUP('Données projet'!$B$14,Paramètres!$A$1:$I$89,3,0)*VLOOKUP('Données projet'!$B$14,Paramètres!$A$1:$I$89,5,0)</f>
        <v>0.66985701674817832</v>
      </c>
      <c r="DQ5" s="13">
        <f t="shared" ref="DQ5:DQ68" si="43">EXP(-1.0587+0.8836*LN(DP5)+0.284)</f>
        <v>0.32343711768198868</v>
      </c>
      <c r="DR5" s="20">
        <f t="shared" si="16"/>
        <v>1.729987284132541</v>
      </c>
      <c r="DS5" s="59">
        <f t="shared" si="17"/>
        <v>295.06332061746588</v>
      </c>
      <c r="DT5" s="59">
        <f ca="1">AVERAGE(OFFSET($DS$3,0,0,'Données projet'!$E$14+1,1))-AVERAGE(OFFSET($H$3,0,0,'Données projet'!$E$14+1,1))</f>
        <v>207.25176714718668</v>
      </c>
      <c r="DU5" s="59">
        <f t="shared" ref="DU5:DU68" si="44">$DU$3</f>
        <v>191.53228014642559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7.4312217194570129</v>
      </c>
      <c r="EJ5" s="12">
        <f>IF('Données projet'!$A$192&gt;35,EJ4+EI5-ER4,IF(A5&lt;'Données projet'!$A$192,$EG$205^A5,IF(A5='Données projet'!$A$192,'Données projet'!$B$192,EJ4+EI5-ER4)))</f>
        <v>1.7669992675293267</v>
      </c>
      <c r="EK5" s="17">
        <f>EJ5*VLOOKUP('Données projet'!$B$15,Paramètres!$A$1:$I$89,3,0)*VLOOKUP('Données projet'!$B$15,Paramètres!$A$1:$I$89,5,0)</f>
        <v>1.0566655619825374</v>
      </c>
      <c r="EL5" s="13">
        <f t="shared" ref="EL5:EL68" si="45">EXP(-1.0587+0.8836*LN(EK5)+0.284)</f>
        <v>0.48384169076702271</v>
      </c>
      <c r="EM5" s="20">
        <f t="shared" si="19"/>
        <v>2.6830501318721502</v>
      </c>
      <c r="EN5" s="59">
        <f t="shared" si="20"/>
        <v>296.01638346520548</v>
      </c>
      <c r="EO5" s="59">
        <f ca="1">AVERAGE(OFFSET($EN$3,0,0,'Données projet'!$E$15+1,1))-AVERAGE(OFFSET($H$3,0,0,'Données projet'!$E$15+1,1))</f>
        <v>200.15574321350221</v>
      </c>
      <c r="EP5" s="59">
        <f t="shared" ref="EP5:EP68" si="46">$EP$3</f>
        <v>200.70728852570426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4.0628205128205126</v>
      </c>
      <c r="FE5" s="12">
        <f>IF('Données projet'!$A$218&gt;35,FE4+FD5-FM4,IF(A5&lt;'Données projet'!$A$218,$FB$205^A5,IF(A5='Données projet'!$A$218,'Données projet'!$B$218,FE4+FD5-FM4)))</f>
        <v>1.3774100880908995</v>
      </c>
      <c r="FF5" s="17">
        <f>FE5*VLOOKUP('Données projet'!$B$16,Paramètres!$A$1:$I$89,3,0)*VLOOKUP('Données projet'!$B$16,Paramètres!$A$1:$I$89,5,0)</f>
        <v>1.482644218821044</v>
      </c>
      <c r="FG5" s="13">
        <f t="shared" ref="FG5:FG68" si="47">EXP(-1.0587+0.8836*LN(FF5)+0.284)</f>
        <v>0.65264995524919645</v>
      </c>
      <c r="FH5" s="20">
        <f t="shared" si="22"/>
        <v>3.7189706865056689</v>
      </c>
      <c r="FI5" s="59">
        <f t="shared" si="23"/>
        <v>297.05230401983897</v>
      </c>
      <c r="FJ5" s="59">
        <f ca="1">AVERAGE(OFFSET($FI$3,0,0,'Données projet'!$E$16+1,1))-AVERAGE(OFFSET($H$3,0,0,'Données projet'!$E$16+1,1))</f>
        <v>347.17049316703486</v>
      </c>
      <c r="FK5" s="59">
        <f t="shared" ref="FK5:FK68" si="48">$FK$3</f>
        <v>255.45365487683489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7">
        <f t="shared" si="1"/>
        <v>296.86188828117156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297.35843416345045</v>
      </c>
      <c r="S6" s="59">
        <f ca="1">AVERAGE(OFFSET($R$3,0,0,'Données projet'!$E$9+1,1))-AVERAGE(OFFSET($H$3,0,0,'Données projet'!$E$9+1,1))</f>
        <v>266.02599413192075</v>
      </c>
      <c r="T6" s="59">
        <f t="shared" si="34"/>
        <v>332.94146254783254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4.0628205128205126</v>
      </c>
      <c r="AI6" s="13">
        <f>IF('Données projet'!$A$62&gt;35,AI5+AH6-AQ5,IF(A6&lt;'Données projet'!$A$62,$AF$205^A6,IF(A6='Données projet'!$A$62,'Données projet'!$B$62,AI5+AH6-AQ5)))</f>
        <v>1.6165713926559588</v>
      </c>
      <c r="AJ6" s="13">
        <f>AI6*VLOOKUP('Données projet'!$B$10,Paramètres!$A$1:$I$89,3,0)*VLOOKUP('Données projet'!$B$10,Paramètres!$A$1:$I$89,5,0)</f>
        <v>1.4626737960751115</v>
      </c>
      <c r="AK6" s="13">
        <f t="shared" si="35"/>
        <v>0.64487624467855742</v>
      </c>
      <c r="AL6" s="20">
        <f t="shared" si="4"/>
        <v>3.6706496543126392</v>
      </c>
      <c r="AM6" s="59">
        <f t="shared" si="5"/>
        <v>297.00398298764594</v>
      </c>
      <c r="AN6" s="59">
        <f ca="1">AVERAGE(OFFSET($AM$3,0,0,'Données projet'!$E$10+1,1))-AVERAGE(OFFSET($H$3,0,0,'Données projet'!$E$10+1,1))</f>
        <v>282.13645166362238</v>
      </c>
      <c r="AO6" s="59">
        <f t="shared" si="36"/>
        <v>210.5345332979457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8.5743589743589741</v>
      </c>
      <c r="BD6" s="12">
        <f>IF('Données projet'!$A$88&gt;35,BD5+BC6-BL5,IF(A6&lt;'Données projet'!$A$88,$BA$205^A6,IF(A6='Données projet'!$A$88,'Données projet'!$B$88,BD5+BC6-BL5)))</f>
        <v>2.0999211793888533</v>
      </c>
      <c r="BE6" s="13">
        <f>BD6*VLOOKUP('Données projet'!$B$11,Paramètres!$A$1:$I$89,3,0)*VLOOKUP('Données projet'!$B$11,Paramètres!$A$1:$I$89,5,0)</f>
        <v>1.173855939278369</v>
      </c>
      <c r="BF6" s="13">
        <f t="shared" si="37"/>
        <v>0.53096232167316981</v>
      </c>
      <c r="BG6" s="20">
        <f t="shared" si="7"/>
        <v>2.9692251378239298</v>
      </c>
      <c r="BH6" s="59">
        <f t="shared" si="8"/>
        <v>296.30255847115723</v>
      </c>
      <c r="BI6" s="59">
        <f ca="1">AVERAGE(OFFSET($BH$3,0,0,'Données projet'!$E$11+1,1))-AVERAGE(OFFSET($H$3,0,0,'Données projet'!$E$11+1,1))</f>
        <v>254.6443970237226</v>
      </c>
      <c r="BJ6" s="59">
        <f t="shared" si="38"/>
        <v>231.81667808018062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2.9235042735042733</v>
      </c>
      <c r="BY6" s="12">
        <f>IF('Données projet'!$A$114&gt;35,BY5+BX6-CG5,IF(A6&lt;'Données projet'!$A$114,$BV$205^A6,IF(A6='Données projet'!$A$114,'Données projet'!$B$114,BY5+BX6-CG5)))</f>
        <v>1.5642367998361231</v>
      </c>
      <c r="BZ6" s="13">
        <f>BY6*VLOOKUP('Données projet'!$B$12,Paramètres!$A$1:$I$89,3,0)*VLOOKUP('Données projet'!$B$12,Paramètres!$A$1:$I$89,5,0)</f>
        <v>1.5861361150338289</v>
      </c>
      <c r="CA6" s="13">
        <f t="shared" si="39"/>
        <v>0.69274418641277524</v>
      </c>
      <c r="CB6" s="20">
        <f t="shared" si="10"/>
        <v>3.969049858352836</v>
      </c>
      <c r="CC6" s="59">
        <f t="shared" si="11"/>
        <v>297.30238319168615</v>
      </c>
      <c r="CD6" s="59">
        <f ca="1">AVERAGE(OFFSET($CC$3,0,0,'Données projet'!$E$12+1,1))-AVERAGE(OFFSET($H$3,0,0,'Données projet'!$E$12+1,1))</f>
        <v>264.08050363622294</v>
      </c>
      <c r="CE6" s="59">
        <f t="shared" si="40"/>
        <v>164.48884512322883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8.5743589743589741</v>
      </c>
      <c r="CT6" s="12">
        <f>IF('Données projet'!$A$140&gt;35,CT5+CS6-DB5,IF(A6&lt;'Données projet'!$A$140,$CQ$205^A6,IF(A6='Données projet'!$A$140,'Données projet'!$B$140,CT5+CS6-DB5)))</f>
        <v>2.0999211793888533</v>
      </c>
      <c r="CU6" s="17">
        <f>CT6*VLOOKUP('Données projet'!$B$13,Paramètres!$A$1:$I$89,3,0)*VLOOKUP('Données projet'!$B$13,Paramètres!$A$1:$I$89,5,0)</f>
        <v>0.92816516128987325</v>
      </c>
      <c r="CV6" s="13">
        <f t="shared" si="41"/>
        <v>0.4314651742740454</v>
      </c>
      <c r="CW6" s="20">
        <f t="shared" si="13"/>
        <v>2.3680228344404912</v>
      </c>
      <c r="CX6" s="59">
        <f t="shared" si="14"/>
        <v>295.70135616777378</v>
      </c>
      <c r="CY6" s="59">
        <f ca="1">AVERAGE(OFFSET($CX$3,0,0,'Données projet'!$E$13+1,1))-AVERAGE(OFFSET($H$3,0,0,'Données projet'!$E$13+1,1))</f>
        <v>194.7221767407824</v>
      </c>
      <c r="CZ6" s="59">
        <f t="shared" si="42"/>
        <v>177.6550559568646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7.2264102564102561</v>
      </c>
      <c r="DO6" s="12">
        <f>IF('Données projet'!$A$166&gt;35,DO5+DN6-DW5,IF(A6&lt;'Données projet'!$A$166,$DL$205^A6,IF(A6='Données projet'!$A$166,'Données projet'!$B$166,DO5+DN6-DW5)))</f>
        <v>1.7123967181757771</v>
      </c>
      <c r="DP6" s="17">
        <f>DO6*VLOOKUP('Données projet'!$B$14,Paramètres!$A$1:$I$89,3,0)*VLOOKUP('Données projet'!$B$14,Paramètres!$A$1:$I$89,5,0)</f>
        <v>0.80140166410626379</v>
      </c>
      <c r="DQ6" s="13">
        <f t="shared" si="43"/>
        <v>0.37896066764546593</v>
      </c>
      <c r="DR6" s="20">
        <f t="shared" si="16"/>
        <v>2.0557977278009294</v>
      </c>
      <c r="DS6" s="59">
        <f t="shared" si="17"/>
        <v>295.38913106113426</v>
      </c>
      <c r="DT6" s="59">
        <f ca="1">AVERAGE(OFFSET($DS$3,0,0,'Données projet'!$E$14+1,1))-AVERAGE(OFFSET($H$3,0,0,'Données projet'!$E$14+1,1))</f>
        <v>207.25176714718668</v>
      </c>
      <c r="DU6" s="59">
        <f t="shared" si="44"/>
        <v>191.53228014642559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7.4312217194570129</v>
      </c>
      <c r="EJ6" s="12">
        <f>IF('Données projet'!$A$192&gt;35,EJ5+EI6-ER5,IF(A6&lt;'Données projet'!$A$192,$EG$205^A6,IF(A6='Données projet'!$A$192,'Données projet'!$B$192,EJ5+EI6-ER5)))</f>
        <v>2.3488460575455909</v>
      </c>
      <c r="EK6" s="17">
        <f>EJ6*VLOOKUP('Données projet'!$B$15,Paramètres!$A$1:$I$89,3,0)*VLOOKUP('Données projet'!$B$15,Paramètres!$A$1:$I$89,5,0)</f>
        <v>1.4046099424122636</v>
      </c>
      <c r="EL6" s="13">
        <f t="shared" si="45"/>
        <v>0.62220330714804695</v>
      </c>
      <c r="EM6" s="20">
        <f t="shared" si="19"/>
        <v>3.5300330763175403</v>
      </c>
      <c r="EN6" s="59">
        <f t="shared" si="20"/>
        <v>296.86336640965084</v>
      </c>
      <c r="EO6" s="59">
        <f ca="1">AVERAGE(OFFSET($EN$3,0,0,'Données projet'!$E$15+1,1))-AVERAGE(OFFSET($H$3,0,0,'Données projet'!$E$15+1,1))</f>
        <v>200.15574321350221</v>
      </c>
      <c r="EP6" s="59">
        <f t="shared" si="46"/>
        <v>200.70728852570426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4.0628205128205126</v>
      </c>
      <c r="FE6" s="12">
        <f>IF('Données projet'!$A$218&gt;35,FE5+FD6-FM5,IF(A6&lt;'Données projet'!$A$218,$FB$205^A6,IF(A6='Données projet'!$A$218,'Données projet'!$B$218,FE5+FD6-FM5)))</f>
        <v>1.6165713926559588</v>
      </c>
      <c r="FF6" s="17">
        <f>FE6*VLOOKUP('Données projet'!$B$16,Paramètres!$A$1:$I$89,3,0)*VLOOKUP('Données projet'!$B$16,Paramètres!$A$1:$I$89,5,0)</f>
        <v>1.7400774470548741</v>
      </c>
      <c r="FG6" s="13">
        <f t="shared" si="47"/>
        <v>0.75182793882385246</v>
      </c>
      <c r="FH6" s="20">
        <f t="shared" si="22"/>
        <v>4.3400685470721152</v>
      </c>
      <c r="FI6" s="59">
        <f t="shared" si="23"/>
        <v>297.67340188040544</v>
      </c>
      <c r="FJ6" s="59">
        <f ca="1">AVERAGE(OFFSET($FI$3,0,0,'Données projet'!$E$16+1,1))-AVERAGE(OFFSET($H$3,0,0,'Données projet'!$E$16+1,1))</f>
        <v>347.17049316703486</v>
      </c>
      <c r="FK6" s="59">
        <f t="shared" si="48"/>
        <v>255.45365487683489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7">
        <f t="shared" si="1"/>
        <v>297.99050864138115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298.86806534670143</v>
      </c>
      <c r="S7" s="59">
        <f ca="1">AVERAGE(OFFSET($R$3,0,0,'Données projet'!$E$9+1,1))-AVERAGE(OFFSET($H$3,0,0,'Données projet'!$E$9+1,1))</f>
        <v>266.02599413192075</v>
      </c>
      <c r="T7" s="59">
        <f t="shared" si="34"/>
        <v>332.94146254783254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4.0628205128205126</v>
      </c>
      <c r="AI7" s="13">
        <f>IF('Données projet'!$A$62&gt;35,AI6+AH7-AQ6,IF(A7&lt;'Données projet'!$A$62,$AF$205^A7,IF(A7='Données projet'!$A$62,'Données projet'!$B$62,AI6+AH7-AQ6)))</f>
        <v>1.8972585507745794</v>
      </c>
      <c r="AJ7" s="13">
        <f>AI7*VLOOKUP('Données projet'!$B$10,Paramètres!$A$1:$I$89,3,0)*VLOOKUP('Données projet'!$B$10,Paramètres!$A$1:$I$89,5,0)</f>
        <v>1.7166395367408394</v>
      </c>
      <c r="AK7" s="13">
        <f t="shared" si="35"/>
        <v>0.74287291975378222</v>
      </c>
      <c r="AL7" s="20">
        <f t="shared" si="4"/>
        <v>4.283650861728133</v>
      </c>
      <c r="AM7" s="59">
        <f t="shared" si="5"/>
        <v>297.61698419506143</v>
      </c>
      <c r="AN7" s="59">
        <f ca="1">AVERAGE(OFFSET($AM$3,0,0,'Données projet'!$E$10+1,1))-AVERAGE(OFFSET($H$3,0,0,'Données projet'!$E$10+1,1))</f>
        <v>282.13645166362238</v>
      </c>
      <c r="AO7" s="59">
        <f t="shared" si="36"/>
        <v>210.5345332979457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8.5743589743589741</v>
      </c>
      <c r="BD7" s="12">
        <f>IF('Données projet'!$A$88&gt;35,BD6+BC7-BL6,IF(A7&lt;'Données projet'!$A$88,$BA$205^A7,IF(A7='Données projet'!$A$88,'Données projet'!$B$88,BD6+BC7-BL6)))</f>
        <v>2.6890816659390917</v>
      </c>
      <c r="BE7" s="13">
        <f>BD7*VLOOKUP('Données projet'!$B$11,Paramètres!$A$1:$I$89,3,0)*VLOOKUP('Données projet'!$B$11,Paramètres!$A$1:$I$89,5,0)</f>
        <v>1.5031966512599522</v>
      </c>
      <c r="BF7" s="13">
        <f t="shared" si="37"/>
        <v>0.66063750505958863</v>
      </c>
      <c r="BG7" s="20">
        <f t="shared" si="7"/>
        <v>3.7686778222565338</v>
      </c>
      <c r="BH7" s="59">
        <f t="shared" si="8"/>
        <v>297.10201115558982</v>
      </c>
      <c r="BI7" s="59">
        <f ca="1">AVERAGE(OFFSET($BH$3,0,0,'Données projet'!$E$11+1,1))-AVERAGE(OFFSET($H$3,0,0,'Données projet'!$E$11+1,1))</f>
        <v>254.6443970237226</v>
      </c>
      <c r="BJ7" s="59">
        <f t="shared" si="38"/>
        <v>231.81667808018062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2.9235042735042733</v>
      </c>
      <c r="BY7" s="12">
        <f>IF('Données projet'!$A$114&gt;35,BY6+BX7-CG6,IF(A7&lt;'Données projet'!$A$114,$BV$205^A7,IF(A7='Données projet'!$A$114,'Données projet'!$B$114,BY6+BX7-CG6)))</f>
        <v>1.8158083060704666</v>
      </c>
      <c r="BZ7" s="13">
        <f>BY7*VLOOKUP('Données projet'!$B$12,Paramètres!$A$1:$I$89,3,0)*VLOOKUP('Données projet'!$B$12,Paramètres!$A$1:$I$89,5,0)</f>
        <v>1.8412296223554532</v>
      </c>
      <c r="CA7" s="13">
        <f t="shared" si="39"/>
        <v>0.7903172340072443</v>
      </c>
      <c r="CB7" s="20">
        <f t="shared" si="10"/>
        <v>4.5832774414983648</v>
      </c>
      <c r="CC7" s="59">
        <f t="shared" si="11"/>
        <v>297.91661077483167</v>
      </c>
      <c r="CD7" s="59">
        <f ca="1">AVERAGE(OFFSET($CC$3,0,0,'Données projet'!$E$12+1,1))-AVERAGE(OFFSET($H$3,0,0,'Données projet'!$E$12+1,1))</f>
        <v>264.08050363622294</v>
      </c>
      <c r="CE7" s="59">
        <f t="shared" si="40"/>
        <v>164.48884512322883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8.5743589743589741</v>
      </c>
      <c r="CT7" s="12">
        <f>IF('Données projet'!$A$140&gt;35,CT6+CS7-DB6,IF(A7&lt;'Données projet'!$A$140,$CQ$205^A7,IF(A7='Données projet'!$A$140,'Données projet'!$B$140,CT6+CS7-DB6)))</f>
        <v>2.6890816659390917</v>
      </c>
      <c r="CU7" s="17">
        <f>CT7*VLOOKUP('Données projet'!$B$13,Paramètres!$A$1:$I$89,3,0)*VLOOKUP('Données projet'!$B$13,Paramètres!$A$1:$I$89,5,0)</f>
        <v>1.1885740963450786</v>
      </c>
      <c r="CV7" s="13">
        <f t="shared" si="41"/>
        <v>0.53684049624139163</v>
      </c>
      <c r="CW7" s="20">
        <f t="shared" si="13"/>
        <v>3.0050970820881022</v>
      </c>
      <c r="CX7" s="59">
        <f t="shared" si="14"/>
        <v>296.33843041542144</v>
      </c>
      <c r="CY7" s="59">
        <f ca="1">AVERAGE(OFFSET($CX$3,0,0,'Données projet'!$E$13+1,1))-AVERAGE(OFFSET($H$3,0,0,'Données projet'!$E$13+1,1))</f>
        <v>194.7221767407824</v>
      </c>
      <c r="CZ7" s="59">
        <f t="shared" si="42"/>
        <v>177.6550559568646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7.2264102564102561</v>
      </c>
      <c r="DO7" s="12">
        <f>IF('Données projet'!$A$166&gt;35,DO6+DN7-DW6,IF(A7&lt;'Données projet'!$A$166,$DL$205^A7,IF(A7='Données projet'!$A$166,'Données projet'!$B$166,DO6+DN7-DW6)))</f>
        <v>2.0486723961153532</v>
      </c>
      <c r="DP7" s="17">
        <f>DO7*VLOOKUP('Données projet'!$B$14,Paramètres!$A$1:$I$89,3,0)*VLOOKUP('Données projet'!$B$14,Paramètres!$A$1:$I$89,5,0)</f>
        <v>0.95877868138198519</v>
      </c>
      <c r="DQ7" s="13">
        <f t="shared" si="43"/>
        <v>0.44401579092570115</v>
      </c>
      <c r="DR7" s="20">
        <f t="shared" si="16"/>
        <v>2.4432003726025537</v>
      </c>
      <c r="DS7" s="59">
        <f t="shared" si="17"/>
        <v>295.77653370593589</v>
      </c>
      <c r="DT7" s="59">
        <f ca="1">AVERAGE(OFFSET($DS$3,0,0,'Données projet'!$E$14+1,1))-AVERAGE(OFFSET($H$3,0,0,'Données projet'!$E$14+1,1))</f>
        <v>207.25176714718668</v>
      </c>
      <c r="DU7" s="59">
        <f t="shared" si="44"/>
        <v>191.53228014642559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7.4312217194570129</v>
      </c>
      <c r="EJ7" s="12">
        <f>IF('Données projet'!$A$192&gt;35,EJ6+EI7-ER6,IF(A7&lt;'Données projet'!$A$192,$EG$205^A7,IF(A7='Données projet'!$A$192,'Données projet'!$B$192,EJ6+EI7-ER6)))</f>
        <v>3.1222864114491768</v>
      </c>
      <c r="EK7" s="17">
        <f>EJ7*VLOOKUP('Données projet'!$B$15,Paramètres!$A$1:$I$89,3,0)*VLOOKUP('Données projet'!$B$15,Paramètres!$A$1:$I$89,5,0)</f>
        <v>1.8671272740466078</v>
      </c>
      <c r="EL7" s="13">
        <f t="shared" si="45"/>
        <v>0.80013145376589556</v>
      </c>
      <c r="EM7" s="20">
        <f t="shared" si="19"/>
        <v>4.6454756176067766</v>
      </c>
      <c r="EN7" s="59">
        <f t="shared" si="20"/>
        <v>297.97880895094011</v>
      </c>
      <c r="EO7" s="59">
        <f ca="1">AVERAGE(OFFSET($EN$3,0,0,'Données projet'!$E$15+1,1))-AVERAGE(OFFSET($H$3,0,0,'Données projet'!$E$15+1,1))</f>
        <v>200.15574321350221</v>
      </c>
      <c r="EP7" s="59">
        <f t="shared" si="46"/>
        <v>200.70728852570426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4.0628205128205126</v>
      </c>
      <c r="FE7" s="12">
        <f>IF('Données projet'!$A$218&gt;35,FE6+FD7-FM6,IF(A7&lt;'Données projet'!$A$218,$FB$205^A7,IF(A7='Données projet'!$A$218,'Données projet'!$B$218,FE6+FD7-FM6)))</f>
        <v>1.8972585507745794</v>
      </c>
      <c r="FF7" s="17">
        <f>FE7*VLOOKUP('Données projet'!$B$16,Paramètres!$A$1:$I$89,3,0)*VLOOKUP('Données projet'!$B$16,Paramètres!$A$1:$I$89,5,0)</f>
        <v>2.0422091040537573</v>
      </c>
      <c r="FG7" s="13">
        <f t="shared" si="47"/>
        <v>0.86607720578223124</v>
      </c>
      <c r="FH7" s="20">
        <f t="shared" si="22"/>
        <v>5.0652653229643461</v>
      </c>
      <c r="FI7" s="59">
        <f t="shared" si="23"/>
        <v>298.39859865629768</v>
      </c>
      <c r="FJ7" s="59">
        <f ca="1">AVERAGE(OFFSET($FI$3,0,0,'Données projet'!$E$16+1,1))-AVERAGE(OFFSET($H$3,0,0,'Données projet'!$E$16+1,1))</f>
        <v>347.17049316703486</v>
      </c>
      <c r="FK7" s="59">
        <f t="shared" si="48"/>
        <v>255.45365487683489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7">
        <f t="shared" si="1"/>
        <v>299.11003671187973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300.94622843123187</v>
      </c>
      <c r="S8" s="59">
        <f ca="1">AVERAGE(OFFSET($R$3,0,0,'Données projet'!$E$9+1,1))-AVERAGE(OFFSET($H$3,0,0,'Données projet'!$E$9+1,1))</f>
        <v>266.02599413192075</v>
      </c>
      <c r="T8" s="59">
        <f t="shared" si="34"/>
        <v>332.94146254783254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4.0628205128205126</v>
      </c>
      <c r="AI8" s="13">
        <f>IF('Données projet'!$A$62&gt;35,AI7+AH8-AQ7,IF(A8&lt;'Données projet'!$A$62,$AF$205^A8,IF(A8='Données projet'!$A$62,'Données projet'!$B$62,AI7+AH8-AQ7)))</f>
        <v>2.2266817443634719</v>
      </c>
      <c r="AJ8" s="13">
        <f>AI8*VLOOKUP('Données projet'!$B$10,Paramètres!$A$1:$I$89,3,0)*VLOOKUP('Données projet'!$B$10,Paramètres!$A$1:$I$89,5,0)</f>
        <v>2.0147016423000692</v>
      </c>
      <c r="AK8" s="13">
        <f t="shared" si="35"/>
        <v>0.85576136422669402</v>
      </c>
      <c r="AL8" s="20">
        <f t="shared" si="4"/>
        <v>4.999389736367446</v>
      </c>
      <c r="AM8" s="59">
        <f t="shared" si="5"/>
        <v>298.33272306970076</v>
      </c>
      <c r="AN8" s="59">
        <f ca="1">AVERAGE(OFFSET($AM$3,0,0,'Données projet'!$E$10+1,1))-AVERAGE(OFFSET($H$3,0,0,'Données projet'!$E$10+1,1))</f>
        <v>282.13645166362238</v>
      </c>
      <c r="AO8" s="59">
        <f t="shared" si="36"/>
        <v>210.5345332979457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8.5743589743589741</v>
      </c>
      <c r="BD8" s="12">
        <f>IF('Données projet'!$A$88&gt;35,BD7+BC8-BL7,IF(A8&lt;'Données projet'!$A$88,$BA$205^A8,IF(A8='Données projet'!$A$88,'Données projet'!$B$88,BD7+BC8-BL7)))</f>
        <v>3.4435388704419219</v>
      </c>
      <c r="BE8" s="13">
        <f>BD8*VLOOKUP('Données projet'!$B$11,Paramètres!$A$1:$I$89,3,0)*VLOOKUP('Données projet'!$B$11,Paramètres!$A$1:$I$89,5,0)</f>
        <v>1.9249382285770344</v>
      </c>
      <c r="BF8" s="13">
        <f t="shared" si="37"/>
        <v>0.8219828324466435</v>
      </c>
      <c r="BG8" s="20">
        <f t="shared" si="7"/>
        <v>4.7842208479495723</v>
      </c>
      <c r="BH8" s="59">
        <f t="shared" si="8"/>
        <v>298.11755418128291</v>
      </c>
      <c r="BI8" s="59">
        <f ca="1">AVERAGE(OFFSET($BH$3,0,0,'Données projet'!$E$11+1,1))-AVERAGE(OFFSET($H$3,0,0,'Données projet'!$E$11+1,1))</f>
        <v>254.6443970237226</v>
      </c>
      <c r="BJ8" s="59">
        <f t="shared" si="38"/>
        <v>231.81667808018062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2.9235042735042733</v>
      </c>
      <c r="BY8" s="12">
        <f>IF('Données projet'!$A$114&gt;35,BY7+BX8-CG7,IF(A8&lt;'Données projet'!$A$114,$BV$205^A8,IF(A8='Données projet'!$A$114,'Données projet'!$B$114,BY7+BX8-CG7)))</f>
        <v>2.1078393020416879</v>
      </c>
      <c r="BZ8" s="13">
        <f>BY8*VLOOKUP('Données projet'!$B$12,Paramètres!$A$1:$I$89,3,0)*VLOOKUP('Données projet'!$B$12,Paramètres!$A$1:$I$89,5,0)</f>
        <v>2.1373490522702716</v>
      </c>
      <c r="CA8" s="13">
        <f t="shared" si="39"/>
        <v>0.90163344943134527</v>
      </c>
      <c r="CB8" s="20">
        <f t="shared" si="10"/>
        <v>5.2928945237969822</v>
      </c>
      <c r="CC8" s="59">
        <f t="shared" si="11"/>
        <v>298.62622785713029</v>
      </c>
      <c r="CD8" s="59">
        <f ca="1">AVERAGE(OFFSET($CC$3,0,0,'Données projet'!$E$12+1,1))-AVERAGE(OFFSET($H$3,0,0,'Données projet'!$E$12+1,1))</f>
        <v>264.08050363622294</v>
      </c>
      <c r="CE8" s="59">
        <f t="shared" si="40"/>
        <v>164.48884512322883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8.5743589743589741</v>
      </c>
      <c r="CT8" s="12">
        <f>IF('Données projet'!$A$140&gt;35,CT7+CS8-DB7,IF(A8&lt;'Données projet'!$A$140,$CQ$205^A8,IF(A8='Données projet'!$A$140,'Données projet'!$B$140,CT7+CS8-DB7)))</f>
        <v>3.4435388704419219</v>
      </c>
      <c r="CU8" s="17">
        <f>CT8*VLOOKUP('Données projet'!$B$13,Paramètres!$A$1:$I$89,3,0)*VLOOKUP('Données projet'!$B$13,Paramètres!$A$1:$I$89,5,0)</f>
        <v>1.5220441807353295</v>
      </c>
      <c r="CV8" s="13">
        <f t="shared" si="41"/>
        <v>0.66795128689031724</v>
      </c>
      <c r="CW8" s="20">
        <f t="shared" si="13"/>
        <v>3.8142421061146679</v>
      </c>
      <c r="CX8" s="59">
        <f t="shared" si="14"/>
        <v>297.14757543944796</v>
      </c>
      <c r="CY8" s="59">
        <f ca="1">AVERAGE(OFFSET($CX$3,0,0,'Données projet'!$E$13+1,1))-AVERAGE(OFFSET($H$3,0,0,'Données projet'!$E$13+1,1))</f>
        <v>194.7221767407824</v>
      </c>
      <c r="CZ8" s="59">
        <f t="shared" si="42"/>
        <v>177.6550559568646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7.2264102564102561</v>
      </c>
      <c r="DO8" s="12">
        <f>IF('Données projet'!$A$166&gt;35,DO7+DN8-DW7,IF(A8&lt;'Données projet'!$A$166,$DL$205^A8,IF(A8='Données projet'!$A$166,'Données projet'!$B$166,DO7+DN8-DW7)))</f>
        <v>2.4509849511252071</v>
      </c>
      <c r="DP8" s="17">
        <f>DO8*VLOOKUP('Données projet'!$B$14,Paramètres!$A$1:$I$89,3,0)*VLOOKUP('Données projet'!$B$14,Paramètres!$A$1:$I$89,5,0)</f>
        <v>1.1470609571265968</v>
      </c>
      <c r="DQ8" s="13">
        <f t="shared" si="43"/>
        <v>0.52023874619045773</v>
      </c>
      <c r="DR8" s="20">
        <f t="shared" si="16"/>
        <v>2.9038803166105365</v>
      </c>
      <c r="DS8" s="59">
        <f t="shared" si="17"/>
        <v>296.23721364994384</v>
      </c>
      <c r="DT8" s="59">
        <f ca="1">AVERAGE(OFFSET($DS$3,0,0,'Données projet'!$E$14+1,1))-AVERAGE(OFFSET($H$3,0,0,'Données projet'!$E$14+1,1))</f>
        <v>207.25176714718668</v>
      </c>
      <c r="DU8" s="59">
        <f t="shared" si="44"/>
        <v>191.53228014642559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7.4312217194570129</v>
      </c>
      <c r="EJ8" s="12">
        <f>IF('Données projet'!$A$192&gt;35,EJ7+EI8-ER7,IF(A8&lt;'Données projet'!$A$192,$EG$205^A8,IF(A8='Données projet'!$A$192,'Données projet'!$B$192,EJ7+EI8-ER7)))</f>
        <v>4.1504092632222056</v>
      </c>
      <c r="EK8" s="17">
        <f>EJ8*VLOOKUP('Données projet'!$B$15,Paramètres!$A$1:$I$89,3,0)*VLOOKUP('Données projet'!$B$15,Paramètres!$A$1:$I$89,5,0)</f>
        <v>2.4819447394068792</v>
      </c>
      <c r="EL8" s="13">
        <f t="shared" si="45"/>
        <v>1.0289407593154982</v>
      </c>
      <c r="EM8" s="20">
        <f t="shared" si="19"/>
        <v>6.1147922436081394</v>
      </c>
      <c r="EN8" s="59">
        <f t="shared" si="20"/>
        <v>299.44812557694144</v>
      </c>
      <c r="EO8" s="59">
        <f ca="1">AVERAGE(OFFSET($EN$3,0,0,'Données projet'!$E$15+1,1))-AVERAGE(OFFSET($H$3,0,0,'Données projet'!$E$15+1,1))</f>
        <v>200.15574321350221</v>
      </c>
      <c r="EP8" s="59">
        <f t="shared" si="46"/>
        <v>200.70728852570426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4.0628205128205126</v>
      </c>
      <c r="FE8" s="12">
        <f>IF('Données projet'!$A$218&gt;35,FE7+FD8-FM7,IF(A8&lt;'Données projet'!$A$218,$FB$205^A8,IF(A8='Données projet'!$A$218,'Données projet'!$B$218,FE7+FD8-FM7)))</f>
        <v>2.2266817443634719</v>
      </c>
      <c r="FF8" s="17">
        <f>FE8*VLOOKUP('Données projet'!$B$16,Paramètres!$A$1:$I$89,3,0)*VLOOKUP('Données projet'!$B$16,Paramètres!$A$1:$I$89,5,0)</f>
        <v>2.396800229632841</v>
      </c>
      <c r="FG8" s="13">
        <f t="shared" si="47"/>
        <v>0.99768801828379172</v>
      </c>
      <c r="FH8" s="20">
        <f t="shared" si="22"/>
        <v>5.9120670317881361</v>
      </c>
      <c r="FI8" s="59">
        <f t="shared" si="23"/>
        <v>299.24540036512144</v>
      </c>
      <c r="FJ8" s="59">
        <f ca="1">AVERAGE(OFFSET($FI$3,0,0,'Données projet'!$E$16+1,1))-AVERAGE(OFFSET($H$3,0,0,'Données projet'!$E$16+1,1))</f>
        <v>347.17049316703486</v>
      </c>
      <c r="FK8" s="59">
        <f t="shared" si="48"/>
        <v>255.45365487683489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7">
        <f t="shared" si="1"/>
        <v>300.22250987492617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303.80785956999739</v>
      </c>
      <c r="S9" s="59">
        <f ca="1">AVERAGE(OFFSET($R$3,0,0,'Données projet'!$E$9+1,1))-AVERAGE(OFFSET($H$3,0,0,'Données projet'!$E$9+1,1))</f>
        <v>266.02599413192075</v>
      </c>
      <c r="T9" s="59">
        <f t="shared" si="34"/>
        <v>332.94146254783254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4.0628205128205126</v>
      </c>
      <c r="AI9" s="13">
        <f>IF('Données projet'!$A$62&gt;35,AI8+AH9-AQ8,IF(A9&lt;'Données projet'!$A$62,$AF$205^A9,IF(A9='Données projet'!$A$62,'Données projet'!$B$62,AI8+AH9-AQ8)))</f>
        <v>2.6133030675536255</v>
      </c>
      <c r="AJ9" s="13">
        <f>AI9*VLOOKUP('Données projet'!$B$10,Paramètres!$A$1:$I$89,3,0)*VLOOKUP('Données projet'!$B$10,Paramètres!$A$1:$I$89,5,0)</f>
        <v>2.3645166155225201</v>
      </c>
      <c r="AK9" s="13">
        <f t="shared" si="35"/>
        <v>0.98580456095486013</v>
      </c>
      <c r="AL9" s="20">
        <f t="shared" si="4"/>
        <v>5.8351427156981037</v>
      </c>
      <c r="AM9" s="59">
        <f t="shared" si="5"/>
        <v>299.16847604903143</v>
      </c>
      <c r="AN9" s="59">
        <f ca="1">AVERAGE(OFFSET($AM$3,0,0,'Données projet'!$E$10+1,1))-AVERAGE(OFFSET($H$3,0,0,'Données projet'!$E$10+1,1))</f>
        <v>282.13645166362238</v>
      </c>
      <c r="AO9" s="59">
        <f t="shared" si="36"/>
        <v>210.5345332979457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8.5743589743589741</v>
      </c>
      <c r="BD9" s="12">
        <f>IF('Données projet'!$A$88&gt;35,BD8+BC9-BL8,IF(A9&lt;'Données projet'!$A$88,$BA$205^A9,IF(A9='Données projet'!$A$88,'Données projet'!$B$88,BD8+BC9-BL8)))</f>
        <v>4.4096689596458729</v>
      </c>
      <c r="BE9" s="13">
        <f>BD9*VLOOKUP('Données projet'!$B$11,Paramètres!$A$1:$I$89,3,0)*VLOOKUP('Données projet'!$B$11,Paramètres!$A$1:$I$89,5,0)</f>
        <v>2.4650049484420431</v>
      </c>
      <c r="BF9" s="13">
        <f t="shared" si="37"/>
        <v>1.0227329990537903</v>
      </c>
      <c r="BG9" s="20">
        <f t="shared" si="7"/>
        <v>6.0744769252219095</v>
      </c>
      <c r="BH9" s="59">
        <f t="shared" si="8"/>
        <v>299.40781025855523</v>
      </c>
      <c r="BI9" s="59">
        <f ca="1">AVERAGE(OFFSET($BH$3,0,0,'Données projet'!$E$11+1,1))-AVERAGE(OFFSET($H$3,0,0,'Données projet'!$E$11+1,1))</f>
        <v>254.6443970237226</v>
      </c>
      <c r="BJ9" s="59">
        <f t="shared" si="38"/>
        <v>231.81667808018062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2.9235042735042733</v>
      </c>
      <c r="BY9" s="12">
        <f>IF('Données projet'!$A$114&gt;35,BY8+BX9-CG8,IF(A9&lt;'Données projet'!$A$114,$BV$205^A9,IF(A9='Données projet'!$A$114,'Données projet'!$B$114,BY8+BX9-CG8)))</f>
        <v>2.4468367659615553</v>
      </c>
      <c r="BZ9" s="13">
        <f>BY9*VLOOKUP('Données projet'!$B$12,Paramètres!$A$1:$I$89,3,0)*VLOOKUP('Données projet'!$B$12,Paramètres!$A$1:$I$89,5,0)</f>
        <v>2.4810924806850174</v>
      </c>
      <c r="CA9" s="13">
        <f t="shared" si="39"/>
        <v>1.0286285584479797</v>
      </c>
      <c r="CB9" s="20">
        <f t="shared" si="10"/>
        <v>6.1127641431566362</v>
      </c>
      <c r="CC9" s="59">
        <f t="shared" si="11"/>
        <v>299.44609747648997</v>
      </c>
      <c r="CD9" s="59">
        <f ca="1">AVERAGE(OFFSET($CC$3,0,0,'Données projet'!$E$12+1,1))-AVERAGE(OFFSET($H$3,0,0,'Données projet'!$E$12+1,1))</f>
        <v>264.08050363622294</v>
      </c>
      <c r="CE9" s="59">
        <f t="shared" si="40"/>
        <v>164.48884512322883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8.5743589743589741</v>
      </c>
      <c r="CT9" s="12">
        <f>IF('Données projet'!$A$140&gt;35,CT8+CS9-DB8,IF(A9&lt;'Données projet'!$A$140,$CQ$205^A9,IF(A9='Données projet'!$A$140,'Données projet'!$B$140,CT8+CS9-DB8)))</f>
        <v>4.4096689596458729</v>
      </c>
      <c r="CU9" s="17">
        <f>CT9*VLOOKUP('Données projet'!$B$13,Paramètres!$A$1:$I$89,3,0)*VLOOKUP('Données projet'!$B$13,Paramètres!$A$1:$I$89,5,0)</f>
        <v>1.949073680163476</v>
      </c>
      <c r="CV9" s="13">
        <f t="shared" si="41"/>
        <v>0.8310828351850239</v>
      </c>
      <c r="CW9" s="20">
        <f t="shared" si="13"/>
        <v>4.8421059308986374</v>
      </c>
      <c r="CX9" s="59">
        <f t="shared" si="14"/>
        <v>298.17543926423195</v>
      </c>
      <c r="CY9" s="59">
        <f ca="1">AVERAGE(OFFSET($CX$3,0,0,'Données projet'!$E$13+1,1))-AVERAGE(OFFSET($H$3,0,0,'Données projet'!$E$13+1,1))</f>
        <v>194.7221767407824</v>
      </c>
      <c r="CZ9" s="59">
        <f t="shared" si="42"/>
        <v>177.6550559568646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7.2264102564102561</v>
      </c>
      <c r="DO9" s="12">
        <f>IF('Données projet'!$A$166&gt;35,DO8+DN9-DW8,IF(A9&lt;'Données projet'!$A$166,$DL$205^A9,IF(A9='Données projet'!$A$166,'Données projet'!$B$166,DO8+DN9-DW8)))</f>
        <v>2.9323025204191722</v>
      </c>
      <c r="DP9" s="17">
        <f>DO9*VLOOKUP('Données projet'!$B$14,Paramètres!$A$1:$I$89,3,0)*VLOOKUP('Données projet'!$B$14,Paramètres!$A$1:$I$89,5,0)</f>
        <v>1.3723175795561726</v>
      </c>
      <c r="DQ9" s="13">
        <f t="shared" si="43"/>
        <v>0.60954668407977464</v>
      </c>
      <c r="DR9" s="20">
        <f t="shared" si="16"/>
        <v>3.4517469258326074</v>
      </c>
      <c r="DS9" s="59">
        <f t="shared" si="17"/>
        <v>296.78508025916591</v>
      </c>
      <c r="DT9" s="59">
        <f ca="1">AVERAGE(OFFSET($DS$3,0,0,'Données projet'!$E$14+1,1))-AVERAGE(OFFSET($H$3,0,0,'Données projet'!$E$14+1,1))</f>
        <v>207.25176714718668</v>
      </c>
      <c r="DU9" s="59">
        <f t="shared" si="44"/>
        <v>191.53228014642559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7.4312217194570129</v>
      </c>
      <c r="EJ9" s="12">
        <f>IF('Données projet'!$A$192&gt;35,EJ8+EI9-ER8,IF(A9&lt;'Données projet'!$A$192,$EG$205^A9,IF(A9='Données projet'!$A$192,'Données projet'!$B$192,EJ8+EI9-ER8)))</f>
        <v>5.5170778020474653</v>
      </c>
      <c r="EK9" s="17">
        <f>EJ9*VLOOKUP('Données projet'!$B$15,Paramètres!$A$1:$I$89,3,0)*VLOOKUP('Données projet'!$B$15,Paramètres!$A$1:$I$89,5,0)</f>
        <v>3.2992125256243843</v>
      </c>
      <c r="EL9" s="13">
        <f t="shared" si="45"/>
        <v>1.3231814362474952</v>
      </c>
      <c r="EM9" s="20">
        <f t="shared" si="19"/>
        <v>8.0506694835935235</v>
      </c>
      <c r="EN9" s="59">
        <f t="shared" si="20"/>
        <v>301.38400281692685</v>
      </c>
      <c r="EO9" s="59">
        <f ca="1">AVERAGE(OFFSET($EN$3,0,0,'Données projet'!$E$15+1,1))-AVERAGE(OFFSET($H$3,0,0,'Données projet'!$E$15+1,1))</f>
        <v>200.15574321350221</v>
      </c>
      <c r="EP9" s="59">
        <f t="shared" si="46"/>
        <v>200.70728852570426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4.0628205128205126</v>
      </c>
      <c r="FE9" s="12">
        <f>IF('Données projet'!$A$218&gt;35,FE8+FD9-FM8,IF(A9&lt;'Données projet'!$A$218,$FB$205^A9,IF(A9='Données projet'!$A$218,'Données projet'!$B$218,FE8+FD9-FM8)))</f>
        <v>2.6133030675536255</v>
      </c>
      <c r="FF9" s="17">
        <f>FE9*VLOOKUP('Données projet'!$B$16,Paramètres!$A$1:$I$89,3,0)*VLOOKUP('Données projet'!$B$16,Paramètres!$A$1:$I$89,5,0)</f>
        <v>2.8129594219147225</v>
      </c>
      <c r="FG9" s="13">
        <f t="shared" si="47"/>
        <v>1.14929867127495</v>
      </c>
      <c r="FH9" s="20">
        <f t="shared" si="22"/>
        <v>6.9009328456386783</v>
      </c>
      <c r="FI9" s="59">
        <f t="shared" si="23"/>
        <v>300.23426617897201</v>
      </c>
      <c r="FJ9" s="59">
        <f ca="1">AVERAGE(OFFSET($FI$3,0,0,'Données projet'!$E$16+1,1))-AVERAGE(OFFSET($H$3,0,0,'Données projet'!$E$16+1,1))</f>
        <v>347.17049316703486</v>
      </c>
      <c r="FK9" s="59">
        <f t="shared" si="48"/>
        <v>255.45365487683489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7">
        <f t="shared" si="1"/>
        <v>301.3292415520861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307.74944257915922</v>
      </c>
      <c r="S10" s="59">
        <f ca="1">AVERAGE(OFFSET($R$3,0,0,'Données projet'!$E$9+1,1))-AVERAGE(OFFSET($H$3,0,0,'Données projet'!$E$9+1,1))</f>
        <v>266.02599413192075</v>
      </c>
      <c r="T10" s="59">
        <f t="shared" si="34"/>
        <v>332.94146254783254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4.0628205128205126</v>
      </c>
      <c r="AI10" s="13">
        <f>IF('Données projet'!$A$62&gt;35,AI9+AH10-AQ9,IF(A10&lt;'Données projet'!$A$62,$AF$205^A10,IF(A10='Données projet'!$A$62,'Données projet'!$B$62,AI9+AH10-AQ9)))</f>
        <v>3.067053897654088</v>
      </c>
      <c r="AJ10" s="13">
        <f>AI10*VLOOKUP('Données projet'!$B$10,Paramètres!$A$1:$I$89,3,0)*VLOOKUP('Données projet'!$B$10,Paramètres!$A$1:$I$89,5,0)</f>
        <v>2.775070366597419</v>
      </c>
      <c r="AK10" s="13">
        <f t="shared" si="35"/>
        <v>1.1356093801659046</v>
      </c>
      <c r="AL10" s="20">
        <f t="shared" si="4"/>
        <v>6.811100558946122</v>
      </c>
      <c r="AM10" s="59">
        <f t="shared" si="5"/>
        <v>300.14443389227944</v>
      </c>
      <c r="AN10" s="59">
        <f ca="1">AVERAGE(OFFSET($AM$3,0,0,'Données projet'!$E$10+1,1))-AVERAGE(OFFSET($H$3,0,0,'Données projet'!$E$10+1,1))</f>
        <v>282.13645166362238</v>
      </c>
      <c r="AO10" s="59">
        <f t="shared" si="36"/>
        <v>210.5345332979457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8.5743589743589741</v>
      </c>
      <c r="BD10" s="12">
        <f>IF('Données projet'!$A$88&gt;35,BD9+BC10-BL9,IF(A10&lt;'Données projet'!$A$88,$BA$205^A10,IF(A10='Données projet'!$A$88,'Données projet'!$B$88,BD9+BC10-BL9)))</f>
        <v>5.6468595434117601</v>
      </c>
      <c r="BE10" s="13">
        <f>BD10*VLOOKUP('Données projet'!$B$11,Paramètres!$A$1:$I$89,3,0)*VLOOKUP('Données projet'!$B$11,Paramètres!$A$1:$I$89,5,0)</f>
        <v>3.1565944847671736</v>
      </c>
      <c r="BF10" s="13">
        <f t="shared" si="37"/>
        <v>1.2725117193021875</v>
      </c>
      <c r="BG10" s="20">
        <f t="shared" si="7"/>
        <v>7.7140266387541381</v>
      </c>
      <c r="BH10" s="59">
        <f t="shared" si="8"/>
        <v>301.04735997208746</v>
      </c>
      <c r="BI10" s="59">
        <f ca="1">AVERAGE(OFFSET($BH$3,0,0,'Données projet'!$E$11+1,1))-AVERAGE(OFFSET($H$3,0,0,'Données projet'!$E$11+1,1))</f>
        <v>254.6443970237226</v>
      </c>
      <c r="BJ10" s="59">
        <f t="shared" si="38"/>
        <v>231.81667808018062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2.9235042735042733</v>
      </c>
      <c r="BY10" s="12">
        <f>IF('Données projet'!$A$114&gt;35,BY9+BX10-CG9,IF(A10&lt;'Données projet'!$A$114,$BV$205^A10,IF(A10='Données projet'!$A$114,'Données projet'!$B$114,BY9+BX10-CG9)))</f>
        <v>2.8403541738035183</v>
      </c>
      <c r="BZ10" s="13">
        <f>BY10*VLOOKUP('Données projet'!$B$12,Paramètres!$A$1:$I$89,3,0)*VLOOKUP('Données projet'!$B$12,Paramètres!$A$1:$I$89,5,0)</f>
        <v>2.8801191322367679</v>
      </c>
      <c r="CA10" s="13">
        <f t="shared" si="39"/>
        <v>1.1735109338746152</v>
      </c>
      <c r="CB10" s="20">
        <f t="shared" si="10"/>
        <v>7.0600723651439914</v>
      </c>
      <c r="CC10" s="59">
        <f t="shared" si="11"/>
        <v>300.3934056984773</v>
      </c>
      <c r="CD10" s="59">
        <f ca="1">AVERAGE(OFFSET($CC$3,0,0,'Données projet'!$E$12+1,1))-AVERAGE(OFFSET($H$3,0,0,'Données projet'!$E$12+1,1))</f>
        <v>264.08050363622294</v>
      </c>
      <c r="CE10" s="59">
        <f t="shared" si="40"/>
        <v>164.48884512322883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8.5743589743589741</v>
      </c>
      <c r="CT10" s="12">
        <f>IF('Données projet'!$A$140&gt;35,CT9+CS10-DB9,IF(A10&lt;'Données projet'!$A$140,$CQ$205^A10,IF(A10='Données projet'!$A$140,'Données projet'!$B$140,CT9+CS10-DB9)))</f>
        <v>5.6468595434117601</v>
      </c>
      <c r="CU10" s="17">
        <f>CT10*VLOOKUP('Données projet'!$B$13,Paramètres!$A$1:$I$89,3,0)*VLOOKUP('Données projet'!$B$13,Paramètres!$A$1:$I$89,5,0)</f>
        <v>2.4959119181879985</v>
      </c>
      <c r="CV10" s="13">
        <f t="shared" si="41"/>
        <v>1.0340554655636074</v>
      </c>
      <c r="CW10" s="20">
        <f t="shared" si="13"/>
        <v>6.1480265267007121</v>
      </c>
      <c r="CX10" s="59">
        <f t="shared" si="14"/>
        <v>299.48135986003405</v>
      </c>
      <c r="CY10" s="59">
        <f ca="1">AVERAGE(OFFSET($CX$3,0,0,'Données projet'!$E$13+1,1))-AVERAGE(OFFSET($H$3,0,0,'Données projet'!$E$13+1,1))</f>
        <v>194.7221767407824</v>
      </c>
      <c r="CZ10" s="59">
        <f t="shared" si="42"/>
        <v>177.6550559568646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7.2264102564102561</v>
      </c>
      <c r="DO10" s="12">
        <f>IF('Données projet'!$A$166&gt;35,DO9+DN10-DW9,IF(A10&lt;'Données projet'!$A$166,$DL$205^A10,IF(A10='Données projet'!$A$166,'Données projet'!$B$166,DO9+DN10-DW9)))</f>
        <v>3.5081398877252363</v>
      </c>
      <c r="DP10" s="17">
        <f>DO10*VLOOKUP('Données projet'!$B$14,Paramètres!$A$1:$I$89,3,0)*VLOOKUP('Données projet'!$B$14,Paramètres!$A$1:$I$89,5,0)</f>
        <v>1.6418094674554107</v>
      </c>
      <c r="DQ10" s="13">
        <f t="shared" si="43"/>
        <v>0.71418586714920729</v>
      </c>
      <c r="DR10" s="20">
        <f t="shared" si="16"/>
        <v>4.1033585411030424</v>
      </c>
      <c r="DS10" s="59">
        <f t="shared" si="17"/>
        <v>297.43669187443635</v>
      </c>
      <c r="DT10" s="59">
        <f ca="1">AVERAGE(OFFSET($DS$3,0,0,'Données projet'!$E$14+1,1))-AVERAGE(OFFSET($H$3,0,0,'Données projet'!$E$14+1,1))</f>
        <v>207.25176714718668</v>
      </c>
      <c r="DU10" s="59">
        <f t="shared" si="44"/>
        <v>191.53228014642559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7.4312217194570129</v>
      </c>
      <c r="EJ10" s="12">
        <f>IF('Données projet'!$A$192&gt;35,EJ9+EI10-ER9,IF(A10&lt;'Données projet'!$A$192,$EG$205^A10,IF(A10='Données projet'!$A$192,'Données projet'!$B$192,EJ9+EI10-ER9)))</f>
        <v>7.3337701280605696</v>
      </c>
      <c r="EK10" s="17">
        <f>EJ10*VLOOKUP('Données projet'!$B$15,Paramètres!$A$1:$I$89,3,0)*VLOOKUP('Données projet'!$B$15,Paramètres!$A$1:$I$89,5,0)</f>
        <v>4.3855945365802205</v>
      </c>
      <c r="EL10" s="13">
        <f t="shared" si="45"/>
        <v>1.7015645433219191</v>
      </c>
      <c r="EM10" s="20">
        <f t="shared" si="19"/>
        <v>10.601802064162893</v>
      </c>
      <c r="EN10" s="59">
        <f t="shared" si="20"/>
        <v>303.9351353974962</v>
      </c>
      <c r="EO10" s="59">
        <f ca="1">AVERAGE(OFFSET($EN$3,0,0,'Données projet'!$E$15+1,1))-AVERAGE(OFFSET($H$3,0,0,'Données projet'!$E$15+1,1))</f>
        <v>200.15574321350221</v>
      </c>
      <c r="EP10" s="59">
        <f t="shared" si="46"/>
        <v>200.70728852570426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4.0628205128205126</v>
      </c>
      <c r="FE10" s="12">
        <f>IF('Données projet'!$A$218&gt;35,FE9+FD10-FM9,IF(A10&lt;'Données projet'!$A$218,$FB$205^A10,IF(A10='Données projet'!$A$218,'Données projet'!$B$218,FE9+FD10-FM9)))</f>
        <v>3.067053897654088</v>
      </c>
      <c r="FF10" s="17">
        <f>FE10*VLOOKUP('Données projet'!$B$16,Paramètres!$A$1:$I$89,3,0)*VLOOKUP('Données projet'!$B$16,Paramètres!$A$1:$I$89,5,0)</f>
        <v>3.3013768154348599</v>
      </c>
      <c r="FG10" s="13">
        <f t="shared" si="47"/>
        <v>1.3239483802426903</v>
      </c>
      <c r="FH10" s="20">
        <f t="shared" si="22"/>
        <v>8.0557747158050663</v>
      </c>
      <c r="FI10" s="59">
        <f t="shared" si="23"/>
        <v>301.38910804913837</v>
      </c>
      <c r="FJ10" s="59">
        <f ca="1">AVERAGE(OFFSET($FI$3,0,0,'Données projet'!$E$16+1,1))-AVERAGE(OFFSET($H$3,0,0,'Données projet'!$E$16+1,1))</f>
        <v>347.17049316703486</v>
      </c>
      <c r="FK10" s="59">
        <f t="shared" si="48"/>
        <v>255.45365487683489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7">
        <f t="shared" si="1"/>
        <v>302.43114659333395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313.18005000683712</v>
      </c>
      <c r="S11" s="59">
        <f ca="1">AVERAGE(OFFSET($R$3,0,0,'Données projet'!$E$9+1,1))-AVERAGE(OFFSET($H$3,0,0,'Données projet'!$E$9+1,1))</f>
        <v>266.02599413192075</v>
      </c>
      <c r="T11" s="59">
        <f t="shared" si="34"/>
        <v>332.94146254783254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4.0628205128205126</v>
      </c>
      <c r="AI11" s="13">
        <f>IF('Données projet'!$A$62&gt;35,AI10+AH11-AQ10,IF(A11&lt;'Données projet'!$A$62,$AF$205^A11,IF(A11='Données projet'!$A$62,'Données projet'!$B$62,AI10+AH11-AQ10)))</f>
        <v>3.5995900084872572</v>
      </c>
      <c r="AJ11" s="13">
        <f>AI11*VLOOKUP('Données projet'!$B$10,Paramètres!$A$1:$I$89,3,0)*VLOOKUP('Données projet'!$B$10,Paramètres!$A$1:$I$89,5,0)</f>
        <v>3.2569090396792704</v>
      </c>
      <c r="AK11" s="13">
        <f t="shared" si="35"/>
        <v>1.3081788372653314</v>
      </c>
      <c r="AL11" s="20">
        <f t="shared" si="4"/>
        <v>7.9508613856785146</v>
      </c>
      <c r="AM11" s="59">
        <f t="shared" si="5"/>
        <v>301.28419471901185</v>
      </c>
      <c r="AN11" s="59">
        <f ca="1">AVERAGE(OFFSET($AM$3,0,0,'Données projet'!$E$10+1,1))-AVERAGE(OFFSET($H$3,0,0,'Données projet'!$E$10+1,1))</f>
        <v>282.13645166362238</v>
      </c>
      <c r="AO11" s="59">
        <f t="shared" si="36"/>
        <v>210.5345332979457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8.5743589743589741</v>
      </c>
      <c r="BD11" s="12">
        <f>IF('Données projet'!$A$88&gt;35,BD10+BC11-BL10,IF(A11&lt;'Données projet'!$A$88,$BA$205^A11,IF(A11='Données projet'!$A$88,'Données projet'!$B$88,BD10+BC11-BL10)))</f>
        <v>7.2311602060897604</v>
      </c>
      <c r="BE11" s="13">
        <f>BD11*VLOOKUP('Données projet'!$B$11,Paramètres!$A$1:$I$89,3,0)*VLOOKUP('Données projet'!$B$11,Paramètres!$A$1:$I$89,5,0)</f>
        <v>4.0422185552041761</v>
      </c>
      <c r="BF11" s="13">
        <f t="shared" si="37"/>
        <v>1.5832930757681005</v>
      </c>
      <c r="BG11" s="20">
        <f t="shared" si="7"/>
        <v>9.7977660906100486</v>
      </c>
      <c r="BH11" s="59">
        <f t="shared" si="8"/>
        <v>303.13109942394334</v>
      </c>
      <c r="BI11" s="59">
        <f ca="1">AVERAGE(OFFSET($BH$3,0,0,'Données projet'!$E$11+1,1))-AVERAGE(OFFSET($H$3,0,0,'Données projet'!$E$11+1,1))</f>
        <v>254.6443970237226</v>
      </c>
      <c r="BJ11" s="59">
        <f t="shared" si="38"/>
        <v>231.81667808018062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2.9235042735042733</v>
      </c>
      <c r="BY11" s="12">
        <f>IF('Données projet'!$A$114&gt;35,BY10+BX11-CG10,IF(A11&lt;'Données projet'!$A$114,$BV$205^A11,IF(A11='Données projet'!$A$114,'Données projet'!$B$114,BY10+BX11-CG10)))</f>
        <v>3.2971598043944974</v>
      </c>
      <c r="BZ11" s="13">
        <f>BY11*VLOOKUP('Données projet'!$B$12,Paramètres!$A$1:$I$89,3,0)*VLOOKUP('Données projet'!$B$12,Paramètres!$A$1:$I$89,5,0)</f>
        <v>3.3433200416560207</v>
      </c>
      <c r="CA11" s="13">
        <f t="shared" si="39"/>
        <v>1.3387999979323115</v>
      </c>
      <c r="CB11" s="20">
        <f t="shared" si="10"/>
        <v>8.1546924022830094</v>
      </c>
      <c r="CC11" s="59">
        <f t="shared" si="11"/>
        <v>301.4880257356163</v>
      </c>
      <c r="CD11" s="59">
        <f ca="1">AVERAGE(OFFSET($CC$3,0,0,'Données projet'!$E$12+1,1))-AVERAGE(OFFSET($H$3,0,0,'Données projet'!$E$12+1,1))</f>
        <v>264.08050363622294</v>
      </c>
      <c r="CE11" s="59">
        <f t="shared" si="40"/>
        <v>164.48884512322883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8.5743589743589741</v>
      </c>
      <c r="CT11" s="12">
        <f>IF('Données projet'!$A$140&gt;35,CT10+CS11-DB10,IF(A11&lt;'Données projet'!$A$140,$CQ$205^A11,IF(A11='Données projet'!$A$140,'Données projet'!$B$140,CT10+CS11-DB10)))</f>
        <v>7.2311602060897604</v>
      </c>
      <c r="CU11" s="17">
        <f>CT11*VLOOKUP('Données projet'!$B$13,Paramètres!$A$1:$I$89,3,0)*VLOOKUP('Données projet'!$B$13,Paramètres!$A$1:$I$89,5,0)</f>
        <v>3.1961728110916745</v>
      </c>
      <c r="CV11" s="13">
        <f t="shared" si="41"/>
        <v>1.2865994346086056</v>
      </c>
      <c r="CW11" s="20">
        <f t="shared" si="13"/>
        <v>7.807494994594653</v>
      </c>
      <c r="CX11" s="59">
        <f t="shared" si="14"/>
        <v>301.14082832792798</v>
      </c>
      <c r="CY11" s="59">
        <f ca="1">AVERAGE(OFFSET($CX$3,0,0,'Données projet'!$E$13+1,1))-AVERAGE(OFFSET($H$3,0,0,'Données projet'!$E$13+1,1))</f>
        <v>194.7221767407824</v>
      </c>
      <c r="CZ11" s="59">
        <f t="shared" si="42"/>
        <v>177.6550559568646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7.2264102564102561</v>
      </c>
      <c r="DO11" s="12">
        <f>IF('Données projet'!$A$166&gt;35,DO10+DN11-DW10,IF(A11&lt;'Données projet'!$A$166,$DL$205^A11,IF(A11='Données projet'!$A$166,'Données projet'!$B$166,DO10+DN11-DW10)))</f>
        <v>4.1970585866050225</v>
      </c>
      <c r="DP11" s="17">
        <f>DO11*VLOOKUP('Données projet'!$B$14,Paramètres!$A$1:$I$89,3,0)*VLOOKUP('Données projet'!$B$14,Paramètres!$A$1:$I$89,5,0)</f>
        <v>1.9642234185311505</v>
      </c>
      <c r="DQ11" s="13">
        <f t="shared" si="43"/>
        <v>0.83678816759654573</v>
      </c>
      <c r="DR11" s="20">
        <f t="shared" si="16"/>
        <v>4.8784285125057369</v>
      </c>
      <c r="DS11" s="59">
        <f t="shared" si="17"/>
        <v>298.21176184583908</v>
      </c>
      <c r="DT11" s="59">
        <f ca="1">AVERAGE(OFFSET($DS$3,0,0,'Données projet'!$E$14+1,1))-AVERAGE(OFFSET($H$3,0,0,'Données projet'!$E$14+1,1))</f>
        <v>207.25176714718668</v>
      </c>
      <c r="DU11" s="59">
        <f t="shared" si="44"/>
        <v>191.53228014642559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7.4312217194570129</v>
      </c>
      <c r="EJ11" s="12">
        <f>IF('Données projet'!$A$192&gt;35,EJ10+EI11-ER10,IF(A11&lt;'Données projet'!$A$192,$EG$205^A11,IF(A11='Données projet'!$A$192,'Données projet'!$B$192,EJ10+EI11-ER10)))</f>
        <v>9.748672435120179</v>
      </c>
      <c r="EK11" s="17">
        <f>EJ11*VLOOKUP('Données projet'!$B$15,Paramètres!$A$1:$I$89,3,0)*VLOOKUP('Données projet'!$B$15,Paramètres!$A$1:$I$89,5,0)</f>
        <v>5.8297061162018684</v>
      </c>
      <c r="EL11" s="13">
        <f t="shared" si="45"/>
        <v>2.1881518405377438</v>
      </c>
      <c r="EM11" s="20">
        <f t="shared" si="19"/>
        <v>13.96443594132149</v>
      </c>
      <c r="EN11" s="59">
        <f t="shared" si="20"/>
        <v>307.2977692746548</v>
      </c>
      <c r="EO11" s="59">
        <f ca="1">AVERAGE(OFFSET($EN$3,0,0,'Données projet'!$E$15+1,1))-AVERAGE(OFFSET($H$3,0,0,'Données projet'!$E$15+1,1))</f>
        <v>200.15574321350221</v>
      </c>
      <c r="EP11" s="59">
        <f t="shared" si="46"/>
        <v>200.70728852570426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4.0628205128205126</v>
      </c>
      <c r="FE11" s="12">
        <f>IF('Données projet'!$A$218&gt;35,FE10+FD11-FM10,IF(A11&lt;'Données projet'!$A$218,$FB$205^A11,IF(A11='Données projet'!$A$218,'Données projet'!$B$218,FE10+FD11-FM10)))</f>
        <v>3.5995900084872572</v>
      </c>
      <c r="FF11" s="17">
        <f>FE11*VLOOKUP('Données projet'!$B$16,Paramètres!$A$1:$I$89,3,0)*VLOOKUP('Données projet'!$B$16,Paramètres!$A$1:$I$89,5,0)</f>
        <v>3.8745986851356835</v>
      </c>
      <c r="FG11" s="13">
        <f t="shared" si="47"/>
        <v>1.5251382058962688</v>
      </c>
      <c r="FH11" s="20">
        <f t="shared" si="22"/>
        <v>9.4045417518806484</v>
      </c>
      <c r="FI11" s="59">
        <f t="shared" si="23"/>
        <v>302.73787508521394</v>
      </c>
      <c r="FJ11" s="59">
        <f ca="1">AVERAGE(OFFSET($FI$3,0,0,'Données projet'!$E$16+1,1))-AVERAGE(OFFSET($H$3,0,0,'Données projet'!$E$16+1,1))</f>
        <v>347.17049316703486</v>
      </c>
      <c r="FK11" s="59">
        <f t="shared" si="48"/>
        <v>255.45365487683489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7">
        <f t="shared" si="1"/>
        <v>303.52889742503874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320.66423539355503</v>
      </c>
      <c r="S12" s="59">
        <f ca="1">AVERAGE(OFFSET($R$3,0,0,'Données projet'!$E$9+1,1))-AVERAGE(OFFSET($H$3,0,0,'Données projet'!$E$9+1,1))</f>
        <v>266.02599413192075</v>
      </c>
      <c r="T12" s="59">
        <f t="shared" si="34"/>
        <v>332.94146254783254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4.0628205128205126</v>
      </c>
      <c r="AI12" s="13">
        <f>IF('Données projet'!$A$62&gt;35,AI11+AH12-AQ11,IF(A12&lt;'Données projet'!$A$62,$AF$205^A12,IF(A12='Données projet'!$A$62,'Données projet'!$B$62,AI11+AH12-AQ11)))</f>
        <v>4.2245909793472531</v>
      </c>
      <c r="AJ12" s="13">
        <f>AI12*VLOOKUP('Données projet'!$B$10,Paramètres!$A$1:$I$89,3,0)*VLOOKUP('Données projet'!$B$10,Paramètres!$A$1:$I$89,5,0)</f>
        <v>3.822409918113395</v>
      </c>
      <c r="AK12" s="13">
        <f t="shared" si="35"/>
        <v>1.5069722918446318</v>
      </c>
      <c r="AL12" s="20">
        <f t="shared" si="4"/>
        <v>9.2820073490102306</v>
      </c>
      <c r="AM12" s="59">
        <f t="shared" si="5"/>
        <v>302.61534068234357</v>
      </c>
      <c r="AN12" s="59">
        <f ca="1">AVERAGE(OFFSET($AM$3,0,0,'Données projet'!$E$10+1,1))-AVERAGE(OFFSET($H$3,0,0,'Données projet'!$E$10+1,1))</f>
        <v>282.13645166362238</v>
      </c>
      <c r="AO12" s="59">
        <f t="shared" si="36"/>
        <v>210.5345332979457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8.5743589743589741</v>
      </c>
      <c r="BD12" s="12">
        <f>IF('Données projet'!$A$88&gt;35,BD11+BC12-BL11,IF(A12&lt;'Données projet'!$A$88,$BA$205^A12,IF(A12='Données projet'!$A$88,'Données projet'!$B$88,BD11+BC12-BL11)))</f>
        <v>9.2599572424539804</v>
      </c>
      <c r="BE12" s="13">
        <f>BD12*VLOOKUP('Données projet'!$B$11,Paramètres!$A$1:$I$89,3,0)*VLOOKUP('Données projet'!$B$11,Paramètres!$A$1:$I$89,5,0)</f>
        <v>5.1763160985317747</v>
      </c>
      <c r="BF12" s="13">
        <f t="shared" si="37"/>
        <v>1.969975541875469</v>
      </c>
      <c r="BG12" s="20">
        <f t="shared" si="7"/>
        <v>12.446457940375948</v>
      </c>
      <c r="BH12" s="59">
        <f t="shared" si="8"/>
        <v>305.77979127370924</v>
      </c>
      <c r="BI12" s="59">
        <f ca="1">AVERAGE(OFFSET($BH$3,0,0,'Données projet'!$E$11+1,1))-AVERAGE(OFFSET($H$3,0,0,'Données projet'!$E$11+1,1))</f>
        <v>254.6443970237226</v>
      </c>
      <c r="BJ12" s="59">
        <f t="shared" si="38"/>
        <v>231.81667808018062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2.9235042735042733</v>
      </c>
      <c r="BY12" s="12">
        <f>IF('Données projet'!$A$114&gt;35,BY11+BX12-CG11,IF(A12&lt;'Données projet'!$A$114,$BV$205^A12,IF(A12='Données projet'!$A$114,'Données projet'!$B$114,BY11+BX12-CG11)))</f>
        <v>3.8274321125090722</v>
      </c>
      <c r="BZ12" s="13">
        <f>BY12*VLOOKUP('Données projet'!$B$12,Paramètres!$A$1:$I$89,3,0)*VLOOKUP('Données projet'!$B$12,Paramètres!$A$1:$I$89,5,0)</f>
        <v>3.8810161620841996</v>
      </c>
      <c r="CA12" s="13">
        <f t="shared" si="39"/>
        <v>1.5273700335672085</v>
      </c>
      <c r="CB12" s="20">
        <f t="shared" si="10"/>
        <v>9.4196059574262012</v>
      </c>
      <c r="CC12" s="59">
        <f t="shared" si="11"/>
        <v>302.75293929075951</v>
      </c>
      <c r="CD12" s="59">
        <f ca="1">AVERAGE(OFFSET($CC$3,0,0,'Données projet'!$E$12+1,1))-AVERAGE(OFFSET($H$3,0,0,'Données projet'!$E$12+1,1))</f>
        <v>264.08050363622294</v>
      </c>
      <c r="CE12" s="59">
        <f t="shared" si="40"/>
        <v>164.48884512322883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8.5743589743589741</v>
      </c>
      <c r="CT12" s="12">
        <f>IF('Données projet'!$A$140&gt;35,CT11+CS12-DB11,IF(A12&lt;'Données projet'!$A$140,$CQ$205^A12,IF(A12='Données projet'!$A$140,'Données projet'!$B$140,CT11+CS12-DB11)))</f>
        <v>9.2599572424539804</v>
      </c>
      <c r="CU12" s="17">
        <f>CT12*VLOOKUP('Données projet'!$B$13,Paramètres!$A$1:$I$89,3,0)*VLOOKUP('Données projet'!$B$13,Paramètres!$A$1:$I$89,5,0)</f>
        <v>4.0929011011646601</v>
      </c>
      <c r="CV12" s="13">
        <f t="shared" si="41"/>
        <v>1.6008213874997013</v>
      </c>
      <c r="CW12" s="20">
        <f t="shared" si="13"/>
        <v>9.9165666677570972</v>
      </c>
      <c r="CX12" s="59">
        <f t="shared" si="14"/>
        <v>303.2499000010904</v>
      </c>
      <c r="CY12" s="59">
        <f ca="1">AVERAGE(OFFSET($CX$3,0,0,'Données projet'!$E$13+1,1))-AVERAGE(OFFSET($H$3,0,0,'Données projet'!$E$13+1,1))</f>
        <v>194.7221767407824</v>
      </c>
      <c r="CZ12" s="59">
        <f t="shared" si="42"/>
        <v>177.6550559568646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7.2264102564102561</v>
      </c>
      <c r="DO12" s="12">
        <f>IF('Données projet'!$A$166&gt;35,DO11+DN12-DW11,IF(A12&lt;'Données projet'!$A$166,$DL$205^A12,IF(A12='Données projet'!$A$166,'Données projet'!$B$166,DO11+DN12-DW11)))</f>
        <v>5.0212652126643498</v>
      </c>
      <c r="DP12" s="17">
        <f>DO12*VLOOKUP('Données projet'!$B$14,Paramètres!$A$1:$I$89,3,0)*VLOOKUP('Données projet'!$B$14,Paramètres!$A$1:$I$89,5,0)</f>
        <v>2.349952119526916</v>
      </c>
      <c r="DQ12" s="13">
        <f t="shared" si="43"/>
        <v>0.98043726379605944</v>
      </c>
      <c r="DR12" s="20">
        <f t="shared" si="16"/>
        <v>5.8004281759541811</v>
      </c>
      <c r="DS12" s="59">
        <f t="shared" si="17"/>
        <v>299.13376150928752</v>
      </c>
      <c r="DT12" s="59">
        <f ca="1">AVERAGE(OFFSET($DS$3,0,0,'Données projet'!$E$14+1,1))-AVERAGE(OFFSET($H$3,0,0,'Données projet'!$E$14+1,1))</f>
        <v>207.25176714718668</v>
      </c>
      <c r="DU12" s="59">
        <f t="shared" si="44"/>
        <v>191.53228014642559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7.4312217194570129</v>
      </c>
      <c r="EJ12" s="12">
        <f>IF('Données projet'!$A$192&gt;35,EJ11+EI12-ER11,IF(A12&lt;'Données projet'!$A$192,$EG$205^A12,IF(A12='Données projet'!$A$192,'Données projet'!$B$192,EJ11+EI12-ER11)))</f>
        <v>12.958766444511483</v>
      </c>
      <c r="EK12" s="17">
        <f>EJ12*VLOOKUP('Données projet'!$B$15,Paramètres!$A$1:$I$89,3,0)*VLOOKUP('Données projet'!$B$15,Paramètres!$A$1:$I$89,5,0)</f>
        <v>7.7493423338178671</v>
      </c>
      <c r="EL12" s="13">
        <f t="shared" si="45"/>
        <v>2.8138859005026107</v>
      </c>
      <c r="EM12" s="20">
        <f t="shared" si="19"/>
        <v>18.397622508108167</v>
      </c>
      <c r="EN12" s="59">
        <f t="shared" si="20"/>
        <v>311.73095584144147</v>
      </c>
      <c r="EO12" s="59">
        <f ca="1">AVERAGE(OFFSET($EN$3,0,0,'Données projet'!$E$15+1,1))-AVERAGE(OFFSET($H$3,0,0,'Données projet'!$E$15+1,1))</f>
        <v>200.15574321350221</v>
      </c>
      <c r="EP12" s="59">
        <f t="shared" si="46"/>
        <v>200.70728852570426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4.0628205128205126</v>
      </c>
      <c r="FE12" s="12">
        <f>IF('Données projet'!$A$218&gt;35,FE11+FD12-FM11,IF(A12&lt;'Données projet'!$A$218,$FB$205^A12,IF(A12='Données projet'!$A$218,'Données projet'!$B$218,FE11+FD12-FM11)))</f>
        <v>4.2245909793472531</v>
      </c>
      <c r="FF12" s="17">
        <f>FE12*VLOOKUP('Données projet'!$B$16,Paramètres!$A$1:$I$89,3,0)*VLOOKUP('Données projet'!$B$16,Paramètres!$A$1:$I$89,5,0)</f>
        <v>4.5473497301693833</v>
      </c>
      <c r="FG12" s="13">
        <f t="shared" si="47"/>
        <v>1.756901237084566</v>
      </c>
      <c r="FH12" s="20">
        <f t="shared" si="22"/>
        <v>10.979903767967294</v>
      </c>
      <c r="FI12" s="59">
        <f t="shared" si="23"/>
        <v>304.31323710130061</v>
      </c>
      <c r="FJ12" s="59">
        <f ca="1">AVERAGE(OFFSET($FI$3,0,0,'Données projet'!$E$16+1,1))-AVERAGE(OFFSET($H$3,0,0,'Données projet'!$E$16+1,1))</f>
        <v>347.17049316703486</v>
      </c>
      <c r="FK12" s="59">
        <f t="shared" si="48"/>
        <v>255.45365487683489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7">
        <f t="shared" si="1"/>
        <v>304.62300827926947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330.98131371856442</v>
      </c>
      <c r="S13" s="59">
        <f ca="1">AVERAGE(OFFSET($R$3,0,0,'Données projet'!$E$9+1,1))-AVERAGE(OFFSET($H$3,0,0,'Données projet'!$E$9+1,1))</f>
        <v>266.02599413192075</v>
      </c>
      <c r="T13" s="59">
        <f t="shared" si="34"/>
        <v>332.94146254783254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4.0628205128205126</v>
      </c>
      <c r="AI13" s="13">
        <f>IF('Données projet'!$A$62&gt;35,AI12+AH13-AQ12,IF(A13&lt;'Données projet'!$A$62,$AF$205^A13,IF(A13='Données projet'!$A$62,'Données projet'!$B$62,AI12+AH13-AQ12)))</f>
        <v>4.9581115906815549</v>
      </c>
      <c r="AJ13" s="13">
        <f>AI13*VLOOKUP('Données projet'!$B$10,Paramètres!$A$1:$I$89,3,0)*VLOOKUP('Données projet'!$B$10,Paramètres!$A$1:$I$89,5,0)</f>
        <v>4.4860993672486709</v>
      </c>
      <c r="AK13" s="13">
        <f t="shared" si="35"/>
        <v>1.7359747946502311</v>
      </c>
      <c r="AL13" s="20">
        <f t="shared" si="4"/>
        <v>10.836779165307254</v>
      </c>
      <c r="AM13" s="59">
        <f t="shared" si="5"/>
        <v>304.17011249864055</v>
      </c>
      <c r="AN13" s="59">
        <f ca="1">AVERAGE(OFFSET($AM$3,0,0,'Données projet'!$E$10+1,1))-AVERAGE(OFFSET($H$3,0,0,'Données projet'!$E$10+1,1))</f>
        <v>282.13645166362238</v>
      </c>
      <c r="AO13" s="59">
        <f t="shared" si="36"/>
        <v>210.5345332979457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8.5743589743589741</v>
      </c>
      <c r="BD13" s="12">
        <f>IF('Données projet'!$A$88&gt;35,BD12+BC13-BL12,IF(A13&lt;'Données projet'!$A$88,$BA$205^A13,IF(A13='Données projet'!$A$88,'Données projet'!$B$88,BD12+BC13-BL12)))</f>
        <v>11.857959952244427</v>
      </c>
      <c r="BE13" s="13">
        <f>BD13*VLOOKUP('Données projet'!$B$11,Paramètres!$A$1:$I$89,3,0)*VLOOKUP('Données projet'!$B$11,Paramètres!$A$1:$I$89,5,0)</f>
        <v>6.6285996133046341</v>
      </c>
      <c r="BF13" s="13">
        <f t="shared" si="37"/>
        <v>2.4510961962647757</v>
      </c>
      <c r="BG13" s="20">
        <f t="shared" si="7"/>
        <v>15.813803535000055</v>
      </c>
      <c r="BH13" s="59">
        <f t="shared" si="8"/>
        <v>309.14713686833335</v>
      </c>
      <c r="BI13" s="59">
        <f ca="1">AVERAGE(OFFSET($BH$3,0,0,'Données projet'!$E$11+1,1))-AVERAGE(OFFSET($H$3,0,0,'Données projet'!$E$11+1,1))</f>
        <v>254.6443970237226</v>
      </c>
      <c r="BJ13" s="59">
        <f t="shared" si="38"/>
        <v>231.81667808018062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2.9235042735042733</v>
      </c>
      <c r="BY13" s="12">
        <f>IF('Données projet'!$A$114&gt;35,BY12+BX13-CG12,IF(A13&lt;'Données projet'!$A$114,$BV$205^A13,IF(A13='Données projet'!$A$114,'Données projet'!$B$114,BY12+BX13-CG12)))</f>
        <v>4.4429865232315908</v>
      </c>
      <c r="BZ13" s="13">
        <f>BY13*VLOOKUP('Données projet'!$B$12,Paramètres!$A$1:$I$89,3,0)*VLOOKUP('Données projet'!$B$12,Paramètres!$A$1:$I$89,5,0)</f>
        <v>4.5051883345568333</v>
      </c>
      <c r="CA13" s="13">
        <f t="shared" si="39"/>
        <v>1.7425001665984783</v>
      </c>
      <c r="CB13" s="20">
        <f t="shared" si="10"/>
        <v>10.881390806178834</v>
      </c>
      <c r="CC13" s="59">
        <f t="shared" si="11"/>
        <v>304.21472413951216</v>
      </c>
      <c r="CD13" s="59">
        <f ca="1">AVERAGE(OFFSET($CC$3,0,0,'Données projet'!$E$12+1,1))-AVERAGE(OFFSET($H$3,0,0,'Données projet'!$E$12+1,1))</f>
        <v>264.08050363622294</v>
      </c>
      <c r="CE13" s="59">
        <f t="shared" si="40"/>
        <v>164.48884512322883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8.5743589743589741</v>
      </c>
      <c r="CT13" s="12">
        <f>IF('Données projet'!$A$140&gt;35,CT12+CS13-DB12,IF(A13&lt;'Données projet'!$A$140,$CQ$205^A13,IF(A13='Données projet'!$A$140,'Données projet'!$B$140,CT12+CS13-DB12)))</f>
        <v>11.857959952244427</v>
      </c>
      <c r="CU13" s="17">
        <f>CT13*VLOOKUP('Données projet'!$B$13,Paramètres!$A$1:$I$89,3,0)*VLOOKUP('Données projet'!$B$13,Paramètres!$A$1:$I$89,5,0)</f>
        <v>5.2412182988920373</v>
      </c>
      <c r="CV13" s="13">
        <f t="shared" si="41"/>
        <v>1.9917847355933602</v>
      </c>
      <c r="CW13" s="20">
        <f t="shared" si="13"/>
        <v>12.597480285062067</v>
      </c>
      <c r="CX13" s="59">
        <f t="shared" si="14"/>
        <v>305.9308136183954</v>
      </c>
      <c r="CY13" s="59">
        <f ca="1">AVERAGE(OFFSET($CX$3,0,0,'Données projet'!$E$13+1,1))-AVERAGE(OFFSET($H$3,0,0,'Données projet'!$E$13+1,1))</f>
        <v>194.7221767407824</v>
      </c>
      <c r="CZ13" s="59">
        <f t="shared" si="42"/>
        <v>177.6550559568646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7.2264102564102561</v>
      </c>
      <c r="DO13" s="12">
        <f>IF('Données projet'!$A$166&gt;35,DO12+DN13-DW12,IF(A13&lt;'Données projet'!$A$166,$DL$205^A13,IF(A13='Données projet'!$A$166,'Données projet'!$B$166,DO12+DN13-DW12)))</f>
        <v>6.0073272306422343</v>
      </c>
      <c r="DP13" s="17">
        <f>DO13*VLOOKUP('Données projet'!$B$14,Paramètres!$A$1:$I$89,3,0)*VLOOKUP('Données projet'!$B$14,Paramètres!$A$1:$I$89,5,0)</f>
        <v>2.8114291439405656</v>
      </c>
      <c r="DQ13" s="13">
        <f t="shared" si="43"/>
        <v>1.1487462006075717</v>
      </c>
      <c r="DR13" s="20">
        <f t="shared" si="16"/>
        <v>6.8973053917546716</v>
      </c>
      <c r="DS13" s="59">
        <f t="shared" si="17"/>
        <v>300.230638725088</v>
      </c>
      <c r="DT13" s="59">
        <f ca="1">AVERAGE(OFFSET($DS$3,0,0,'Données projet'!$E$14+1,1))-AVERAGE(OFFSET($H$3,0,0,'Données projet'!$E$14+1,1))</f>
        <v>207.25176714718668</v>
      </c>
      <c r="DU13" s="59">
        <f t="shared" si="44"/>
        <v>191.53228014642559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7.4312217194570129</v>
      </c>
      <c r="EJ13" s="12">
        <f>IF('Données projet'!$A$192&gt;35,EJ12+EI13-ER12,IF(A13&lt;'Données projet'!$A$192,$EG$205^A13,IF(A13='Données projet'!$A$192,'Données projet'!$B$192,EJ12+EI13-ER12)))</f>
        <v>17.225897052240693</v>
      </c>
      <c r="EK13" s="17">
        <f>EJ13*VLOOKUP('Données projet'!$B$15,Paramètres!$A$1:$I$89,3,0)*VLOOKUP('Données projet'!$B$15,Paramètres!$A$1:$I$89,5,0)</f>
        <v>10.301086437239935</v>
      </c>
      <c r="EL13" s="13">
        <f t="shared" si="45"/>
        <v>3.6185577775542006</v>
      </c>
      <c r="EM13" s="20">
        <f t="shared" si="19"/>
        <v>24.243380340766453</v>
      </c>
      <c r="EN13" s="59">
        <f t="shared" si="20"/>
        <v>317.57671367409978</v>
      </c>
      <c r="EO13" s="59">
        <f ca="1">AVERAGE(OFFSET($EN$3,0,0,'Données projet'!$E$15+1,1))-AVERAGE(OFFSET($H$3,0,0,'Données projet'!$E$15+1,1))</f>
        <v>200.15574321350221</v>
      </c>
      <c r="EP13" s="59">
        <f t="shared" si="46"/>
        <v>200.70728852570426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4.0628205128205126</v>
      </c>
      <c r="FE13" s="12">
        <f>IF('Données projet'!$A$218&gt;35,FE12+FD13-FM12,IF(A13&lt;'Données projet'!$A$218,$FB$205^A13,IF(A13='Données projet'!$A$218,'Données projet'!$B$218,FE12+FD13-FM12)))</f>
        <v>4.9581115906815549</v>
      </c>
      <c r="FF13" s="17">
        <f>FE13*VLOOKUP('Données projet'!$B$16,Paramètres!$A$1:$I$89,3,0)*VLOOKUP('Données projet'!$B$16,Paramètres!$A$1:$I$89,5,0)</f>
        <v>5.3369113162096253</v>
      </c>
      <c r="FG13" s="13">
        <f t="shared" si="47"/>
        <v>2.023883438848963</v>
      </c>
      <c r="FH13" s="20">
        <f t="shared" si="22"/>
        <v>12.820050865060374</v>
      </c>
      <c r="FI13" s="59">
        <f t="shared" si="23"/>
        <v>306.15338419839367</v>
      </c>
      <c r="FJ13" s="59">
        <f ca="1">AVERAGE(OFFSET($FI$3,0,0,'Données projet'!$E$16+1,1))-AVERAGE(OFFSET($H$3,0,0,'Données projet'!$E$16+1,1))</f>
        <v>347.17049316703486</v>
      </c>
      <c r="FK13" s="59">
        <f t="shared" si="48"/>
        <v>255.45365487683489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7">
        <f t="shared" si="1"/>
        <v>305.71388459023444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345.20730819565421</v>
      </c>
      <c r="S14" s="59">
        <f ca="1">AVERAGE(OFFSET($R$3,0,0,'Données projet'!$E$9+1,1))-AVERAGE(OFFSET($H$3,0,0,'Données projet'!$E$9+1,1))</f>
        <v>266.02599413192075</v>
      </c>
      <c r="T14" s="59">
        <f t="shared" si="34"/>
        <v>332.94146254783254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4.0628205128205126</v>
      </c>
      <c r="AI14" s="13">
        <f>IF('Données projet'!$A$62&gt;35,AI13+AH14-AQ13,IF(A14&lt;'Données projet'!$A$62,$AF$205^A14,IF(A14='Données projet'!$A$62,'Données projet'!$B$62,AI13+AH14-AQ13)))</f>
        <v>5.8189942330107201</v>
      </c>
      <c r="AJ14" s="13">
        <f>AI14*VLOOKUP('Données projet'!$B$10,Paramètres!$A$1:$I$89,3,0)*VLOOKUP('Données projet'!$B$10,Paramètres!$A$1:$I$89,5,0)</f>
        <v>5.2650259820280993</v>
      </c>
      <c r="AK14" s="13">
        <f t="shared" si="35"/>
        <v>1.9997769726555885</v>
      </c>
      <c r="AL14" s="20">
        <f t="shared" si="4"/>
        <v>12.65286514607409</v>
      </c>
      <c r="AM14" s="59">
        <f t="shared" si="5"/>
        <v>305.98619847940739</v>
      </c>
      <c r="AN14" s="59">
        <f ca="1">AVERAGE(OFFSET($AM$3,0,0,'Données projet'!$E$10+1,1))-AVERAGE(OFFSET($H$3,0,0,'Données projet'!$E$10+1,1))</f>
        <v>282.13645166362238</v>
      </c>
      <c r="AO14" s="59">
        <f t="shared" si="36"/>
        <v>210.5345332979457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8.5743589743589741</v>
      </c>
      <c r="BD14" s="12">
        <f>IF('Données projet'!$A$88&gt;35,BD13+BC14-BL13,IF(A14&lt;'Données projet'!$A$88,$BA$205^A14,IF(A14='Données projet'!$A$88,'Données projet'!$B$88,BD13+BC14-BL13)))</f>
        <v>15.184866468321752</v>
      </c>
      <c r="BE14" s="13">
        <f>BD14*VLOOKUP('Données projet'!$B$11,Paramètres!$A$1:$I$89,3,0)*VLOOKUP('Données projet'!$B$11,Paramètres!$A$1:$I$89,5,0)</f>
        <v>8.4883403557918609</v>
      </c>
      <c r="BF14" s="13">
        <f t="shared" si="37"/>
        <v>3.0497193673907232</v>
      </c>
      <c r="BG14" s="20">
        <f t="shared" si="7"/>
        <v>20.095454017876332</v>
      </c>
      <c r="BH14" s="59">
        <f t="shared" si="8"/>
        <v>313.42878735120962</v>
      </c>
      <c r="BI14" s="59">
        <f ca="1">AVERAGE(OFFSET($BH$3,0,0,'Données projet'!$E$11+1,1))-AVERAGE(OFFSET($H$3,0,0,'Données projet'!$E$11+1,1))</f>
        <v>254.6443970237226</v>
      </c>
      <c r="BJ14" s="59">
        <f t="shared" si="38"/>
        <v>231.81667808018062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2.9235042735042733</v>
      </c>
      <c r="BY14" s="12">
        <f>IF('Données projet'!$A$114&gt;35,BY13+BX14-CG13,IF(A14&lt;'Données projet'!$A$114,$BV$205^A14,IF(A14='Données projet'!$A$114,'Données projet'!$B$114,BY13+BX14-CG13)))</f>
        <v>5.1575387009743459</v>
      </c>
      <c r="BZ14" s="13">
        <f>BY14*VLOOKUP('Données projet'!$B$12,Paramètres!$A$1:$I$89,3,0)*VLOOKUP('Données projet'!$B$12,Paramètres!$A$1:$I$89,5,0)</f>
        <v>5.2297442427879863</v>
      </c>
      <c r="CA14" s="13">
        <f t="shared" si="39"/>
        <v>1.9879313878539038</v>
      </c>
      <c r="CB14" s="20">
        <f t="shared" si="10"/>
        <v>12.570785056701292</v>
      </c>
      <c r="CC14" s="59">
        <f t="shared" si="11"/>
        <v>305.90411839003463</v>
      </c>
      <c r="CD14" s="59">
        <f ca="1">AVERAGE(OFFSET($CC$3,0,0,'Données projet'!$E$12+1,1))-AVERAGE(OFFSET($H$3,0,0,'Données projet'!$E$12+1,1))</f>
        <v>264.08050363622294</v>
      </c>
      <c r="CE14" s="59">
        <f t="shared" si="40"/>
        <v>164.48884512322883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8.5743589743589741</v>
      </c>
      <c r="CT14" s="12">
        <f>IF('Données projet'!$A$140&gt;35,CT13+CS14-DB13,IF(A14&lt;'Données projet'!$A$140,$CQ$205^A14,IF(A14='Données projet'!$A$140,'Données projet'!$B$140,CT13+CS14-DB13)))</f>
        <v>15.184866468321752</v>
      </c>
      <c r="CU14" s="17">
        <f>CT14*VLOOKUP('Données projet'!$B$13,Paramètres!$A$1:$I$89,3,0)*VLOOKUP('Données projet'!$B$13,Paramètres!$A$1:$I$89,5,0)</f>
        <v>6.711710978998215</v>
      </c>
      <c r="CV14" s="13">
        <f t="shared" si="41"/>
        <v>2.4782317777119607</v>
      </c>
      <c r="CW14" s="20">
        <f t="shared" si="13"/>
        <v>16.005816967936891</v>
      </c>
      <c r="CX14" s="59">
        <f t="shared" si="14"/>
        <v>309.33915030127019</v>
      </c>
      <c r="CY14" s="59">
        <f ca="1">AVERAGE(OFFSET($CX$3,0,0,'Données projet'!$E$13+1,1))-AVERAGE(OFFSET($H$3,0,0,'Données projet'!$E$13+1,1))</f>
        <v>194.7221767407824</v>
      </c>
      <c r="CZ14" s="59">
        <f t="shared" si="42"/>
        <v>177.6550559568646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7.2264102564102561</v>
      </c>
      <c r="DO14" s="12">
        <f>IF('Données projet'!$A$166&gt;35,DO13+DN14-DW13,IF(A14&lt;'Données projet'!$A$166,$DL$205^A14,IF(A14='Données projet'!$A$166,'Données projet'!$B$166,DO13+DN14-DW13)))</f>
        <v>7.1870293496939057</v>
      </c>
      <c r="DP14" s="17">
        <f>DO14*VLOOKUP('Données projet'!$B$14,Paramètres!$A$1:$I$89,3,0)*VLOOKUP('Données projet'!$B$14,Paramètres!$A$1:$I$89,5,0)</f>
        <v>3.3635297356567477</v>
      </c>
      <c r="DQ14" s="13">
        <f t="shared" si="43"/>
        <v>1.3459482642479659</v>
      </c>
      <c r="DR14" s="20">
        <f t="shared" si="16"/>
        <v>8.2023408498340427</v>
      </c>
      <c r="DS14" s="59">
        <f t="shared" si="17"/>
        <v>301.53567418316737</v>
      </c>
      <c r="DT14" s="59">
        <f ca="1">AVERAGE(OFFSET($DS$3,0,0,'Données projet'!$E$14+1,1))-AVERAGE(OFFSET($H$3,0,0,'Données projet'!$E$14+1,1))</f>
        <v>207.25176714718668</v>
      </c>
      <c r="DU14" s="59">
        <f t="shared" si="44"/>
        <v>191.53228014642559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7.4312217194570129</v>
      </c>
      <c r="EJ14" s="12">
        <f>IF('Données projet'!$A$192&gt;35,EJ13+EI14-ER13,IF(A14&lt;'Données projet'!$A$192,$EG$205^A14,IF(A14='Données projet'!$A$192,'Données projet'!$B$192,EJ13+EI14-ER13)))</f>
        <v>22.89813081553541</v>
      </c>
      <c r="EK14" s="17">
        <f>EJ14*VLOOKUP('Données projet'!$B$15,Paramètres!$A$1:$I$89,3,0)*VLOOKUP('Données projet'!$B$15,Paramètres!$A$1:$I$89,5,0)</f>
        <v>13.693082227690176</v>
      </c>
      <c r="EL14" s="13">
        <f t="shared" si="45"/>
        <v>4.6533373606794726</v>
      </c>
      <c r="EM14" s="20">
        <f t="shared" si="19"/>
        <v>31.953347449743802</v>
      </c>
      <c r="EN14" s="59">
        <f t="shared" si="20"/>
        <v>325.28668078307714</v>
      </c>
      <c r="EO14" s="59">
        <f ca="1">AVERAGE(OFFSET($EN$3,0,0,'Données projet'!$E$15+1,1))-AVERAGE(OFFSET($H$3,0,0,'Données projet'!$E$15+1,1))</f>
        <v>200.15574321350221</v>
      </c>
      <c r="EP14" s="59">
        <f t="shared" si="46"/>
        <v>200.70728852570426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4.0628205128205126</v>
      </c>
      <c r="FE14" s="12">
        <f>IF('Données projet'!$A$218&gt;35,FE13+FD14-FM13,IF(A14&lt;'Données projet'!$A$218,$FB$205^A14,IF(A14='Données projet'!$A$218,'Données projet'!$B$218,FE13+FD14-FM13)))</f>
        <v>5.8189942330107201</v>
      </c>
      <c r="FF14" s="17">
        <f>FE14*VLOOKUP('Données projet'!$B$16,Paramètres!$A$1:$I$89,3,0)*VLOOKUP('Données projet'!$B$16,Paramètres!$A$1:$I$89,5,0)</f>
        <v>6.2635653924127377</v>
      </c>
      <c r="FG14" s="13">
        <f t="shared" si="47"/>
        <v>2.3314367863069263</v>
      </c>
      <c r="FH14" s="20">
        <f t="shared" si="22"/>
        <v>14.969628794603414</v>
      </c>
      <c r="FI14" s="59">
        <f t="shared" si="23"/>
        <v>308.30296212793672</v>
      </c>
      <c r="FJ14" s="59">
        <f ca="1">AVERAGE(OFFSET($FI$3,0,0,'Données projet'!$E$16+1,1))-AVERAGE(OFFSET($H$3,0,0,'Données projet'!$E$16+1,1))</f>
        <v>347.17049316703486</v>
      </c>
      <c r="FK14" s="59">
        <f t="shared" si="48"/>
        <v>255.45365487683489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7">
        <f t="shared" si="1"/>
        <v>306.80185384876341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364.82825243951993</v>
      </c>
      <c r="S15" s="59">
        <f ca="1">AVERAGE(OFFSET($R$3,0,0,'Données projet'!$E$9+1,1))-AVERAGE(OFFSET($H$3,0,0,'Données projet'!$E$9+1,1))</f>
        <v>266.02599413192075</v>
      </c>
      <c r="T15" s="59">
        <f t="shared" si="34"/>
        <v>332.94146254783254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4.0628205128205126</v>
      </c>
      <c r="AI15" s="13">
        <f>IF('Données projet'!$A$62&gt;35,AI14+AH15-AQ14,IF(A15&lt;'Données projet'!$A$62,$AF$205^A15,IF(A15='Données projet'!$A$62,'Données projet'!$B$62,AI14+AH15-AQ14)))</f>
        <v>6.8293529228851897</v>
      </c>
      <c r="AJ15" s="13">
        <f>AI15*VLOOKUP('Données projet'!$B$10,Paramètres!$A$1:$I$89,3,0)*VLOOKUP('Données projet'!$B$10,Paramètres!$A$1:$I$89,5,0)</f>
        <v>6.1791985246265195</v>
      </c>
      <c r="AK15" s="13">
        <f t="shared" si="35"/>
        <v>2.3036670536275285</v>
      </c>
      <c r="AL15" s="20">
        <f t="shared" si="4"/>
        <v>14.774324215459131</v>
      </c>
      <c r="AM15" s="59">
        <f t="shared" si="5"/>
        <v>308.10765754879242</v>
      </c>
      <c r="AN15" s="59">
        <f ca="1">AVERAGE(OFFSET($AM$3,0,0,'Données projet'!$E$10+1,1))-AVERAGE(OFFSET($H$3,0,0,'Données projet'!$E$10+1,1))</f>
        <v>282.13645166362238</v>
      </c>
      <c r="AO15" s="59">
        <f t="shared" si="36"/>
        <v>210.5345332979457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8.5743589743589741</v>
      </c>
      <c r="BD15" s="12">
        <f>IF('Données projet'!$A$88&gt;35,BD14+BC15-BL14,IF(A15&lt;'Données projet'!$A$88,$BA$205^A15,IF(A15='Données projet'!$A$88,'Données projet'!$B$88,BD14+BC15-BL14)))</f>
        <v>19.445180333664318</v>
      </c>
      <c r="BE15" s="13">
        <f>BD15*VLOOKUP('Données projet'!$B$11,Paramètres!$A$1:$I$89,3,0)*VLOOKUP('Données projet'!$B$11,Paramètres!$A$1:$I$89,5,0)</f>
        <v>10.869855806518354</v>
      </c>
      <c r="BF15" s="13">
        <f t="shared" si="37"/>
        <v>3.7945423088704313</v>
      </c>
      <c r="BG15" s="20">
        <f t="shared" si="7"/>
        <v>25.540493384302135</v>
      </c>
      <c r="BH15" s="59">
        <f t="shared" si="8"/>
        <v>318.87382671763544</v>
      </c>
      <c r="BI15" s="59">
        <f ca="1">AVERAGE(OFFSET($BH$3,0,0,'Données projet'!$E$11+1,1))-AVERAGE(OFFSET($H$3,0,0,'Données projet'!$E$11+1,1))</f>
        <v>254.6443970237226</v>
      </c>
      <c r="BJ15" s="59">
        <f t="shared" si="38"/>
        <v>231.81667808018062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2.9235042735042733</v>
      </c>
      <c r="BY15" s="12">
        <f>IF('Données projet'!$A$114&gt;35,BY14+BX15-CG14,IF(A15&lt;'Données projet'!$A$114,$BV$205^A15,IF(A15='Données projet'!$A$114,'Données projet'!$B$114,BY14+BX15-CG14)))</f>
        <v>5.9870101592612031</v>
      </c>
      <c r="BZ15" s="13">
        <f>BY15*VLOOKUP('Données projet'!$B$12,Paramètres!$A$1:$I$89,3,0)*VLOOKUP('Données projet'!$B$12,Paramètres!$A$1:$I$89,5,0)</f>
        <v>6.0708283014908604</v>
      </c>
      <c r="CA15" s="13">
        <f t="shared" si="39"/>
        <v>2.2679316068756354</v>
      </c>
      <c r="CB15" s="20">
        <f t="shared" si="10"/>
        <v>14.523340173738314</v>
      </c>
      <c r="CC15" s="59">
        <f t="shared" si="11"/>
        <v>307.8566735070716</v>
      </c>
      <c r="CD15" s="59">
        <f ca="1">AVERAGE(OFFSET($CC$3,0,0,'Données projet'!$E$12+1,1))-AVERAGE(OFFSET($H$3,0,0,'Données projet'!$E$12+1,1))</f>
        <v>264.08050363622294</v>
      </c>
      <c r="CE15" s="59">
        <f t="shared" si="40"/>
        <v>164.48884512322883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8.5743589743589741</v>
      </c>
      <c r="CT15" s="12">
        <f>IF('Données projet'!$A$140&gt;35,CT14+CS15-DB14,IF(A15&lt;'Données projet'!$A$140,$CQ$205^A15,IF(A15='Données projet'!$A$140,'Données projet'!$B$140,CT14+CS15-DB14)))</f>
        <v>19.445180333664318</v>
      </c>
      <c r="CU15" s="17">
        <f>CT15*VLOOKUP('Données projet'!$B$13,Paramètres!$A$1:$I$89,3,0)*VLOOKUP('Données projet'!$B$13,Paramètres!$A$1:$I$89,5,0)</f>
        <v>8.5947697074796299</v>
      </c>
      <c r="CV15" s="13">
        <f t="shared" si="41"/>
        <v>3.083482182742892</v>
      </c>
      <c r="CW15" s="20">
        <f t="shared" si="13"/>
        <v>20.33962204213756</v>
      </c>
      <c r="CX15" s="59">
        <f t="shared" si="14"/>
        <v>313.67295537547085</v>
      </c>
      <c r="CY15" s="59">
        <f ca="1">AVERAGE(OFFSET($CX$3,0,0,'Données projet'!$E$13+1,1))-AVERAGE(OFFSET($H$3,0,0,'Données projet'!$E$13+1,1))</f>
        <v>194.7221767407824</v>
      </c>
      <c r="CZ15" s="59">
        <f t="shared" si="42"/>
        <v>177.6550559568646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7.2264102564102561</v>
      </c>
      <c r="DO15" s="12">
        <f>IF('Données projet'!$A$166&gt;35,DO14+DN15-DW14,IF(A15&lt;'Données projet'!$A$166,$DL$205^A15,IF(A15='Données projet'!$A$166,'Données projet'!$B$166,DO14+DN15-DW14)))</f>
        <v>8.5983980712566286</v>
      </c>
      <c r="DP15" s="17">
        <f>DO15*VLOOKUP('Données projet'!$B$14,Paramètres!$A$1:$I$89,3,0)*VLOOKUP('Données projet'!$B$14,Paramètres!$A$1:$I$89,5,0)</f>
        <v>4.0240502973481025</v>
      </c>
      <c r="DQ15" s="13">
        <f t="shared" si="43"/>
        <v>1.5770034573990057</v>
      </c>
      <c r="DR15" s="20">
        <f t="shared" si="16"/>
        <v>9.7551686228512136</v>
      </c>
      <c r="DS15" s="59">
        <f t="shared" si="17"/>
        <v>303.08850195618453</v>
      </c>
      <c r="DT15" s="59">
        <f ca="1">AVERAGE(OFFSET($DS$3,0,0,'Données projet'!$E$14+1,1))-AVERAGE(OFFSET($H$3,0,0,'Données projet'!$E$14+1,1))</f>
        <v>207.25176714718668</v>
      </c>
      <c r="DU15" s="59">
        <f t="shared" si="44"/>
        <v>191.53228014642559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7.4312217194570129</v>
      </c>
      <c r="EJ15" s="12">
        <f>IF('Données projet'!$A$192&gt;35,EJ14+EI15-ER14,IF(A15&lt;'Données projet'!$A$192,$EG$205^A15,IF(A15='Données projet'!$A$192,'Données projet'!$B$192,EJ14+EI15-ER14)))</f>
        <v>30.438147473844893</v>
      </c>
      <c r="EK15" s="17">
        <f>EJ15*VLOOKUP('Données projet'!$B$15,Paramètres!$A$1:$I$89,3,0)*VLOOKUP('Données projet'!$B$15,Paramètres!$A$1:$I$89,5,0)</f>
        <v>18.202012189359248</v>
      </c>
      <c r="EL15" s="13">
        <f t="shared" si="45"/>
        <v>5.984027317903192</v>
      </c>
      <c r="EM15" s="20">
        <f t="shared" si="19"/>
        <v>42.124018808482084</v>
      </c>
      <c r="EN15" s="59">
        <f t="shared" si="20"/>
        <v>335.45735214181542</v>
      </c>
      <c r="EO15" s="59">
        <f ca="1">AVERAGE(OFFSET($EN$3,0,0,'Données projet'!$E$15+1,1))-AVERAGE(OFFSET($H$3,0,0,'Données projet'!$E$15+1,1))</f>
        <v>200.15574321350221</v>
      </c>
      <c r="EP15" s="59">
        <f t="shared" si="46"/>
        <v>200.70728852570426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4.0628205128205126</v>
      </c>
      <c r="FE15" s="12">
        <f>IF('Données projet'!$A$218&gt;35,FE14+FD15-FM14,IF(A15&lt;'Données projet'!$A$218,$FB$205^A15,IF(A15='Données projet'!$A$218,'Données projet'!$B$218,FE14+FD15-FM14)))</f>
        <v>6.8293529228851897</v>
      </c>
      <c r="FF15" s="17">
        <f>FE15*VLOOKUP('Données projet'!$B$16,Paramètres!$A$1:$I$89,3,0)*VLOOKUP('Données projet'!$B$16,Paramètres!$A$1:$I$89,5,0)</f>
        <v>7.3511154861936179</v>
      </c>
      <c r="FG15" s="13">
        <f t="shared" si="47"/>
        <v>2.6857265513455357</v>
      </c>
      <c r="FH15" s="20">
        <f t="shared" si="22"/>
        <v>17.480833215380692</v>
      </c>
      <c r="FI15" s="59">
        <f t="shared" si="23"/>
        <v>310.81416654871401</v>
      </c>
      <c r="FJ15" s="59">
        <f ca="1">AVERAGE(OFFSET($FI$3,0,0,'Données projet'!$E$16+1,1))-AVERAGE(OFFSET($H$3,0,0,'Données projet'!$E$16+1,1))</f>
        <v>347.17049316703486</v>
      </c>
      <c r="FK15" s="59">
        <f t="shared" si="48"/>
        <v>255.45365487683489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7">
        <f t="shared" si="1"/>
        <v>307.88718585139651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391.89687565378512</v>
      </c>
      <c r="S16" s="59">
        <f ca="1">AVERAGE(OFFSET($R$3,0,0,'Données projet'!$E$9+1,1))-AVERAGE(OFFSET($H$3,0,0,'Données projet'!$E$9+1,1))</f>
        <v>266.02599413192075</v>
      </c>
      <c r="T16" s="59">
        <f t="shared" si="34"/>
        <v>332.94146254783254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4.0628205128205126</v>
      </c>
      <c r="AI16" s="13">
        <f>IF('Données projet'!$A$62&gt;35,AI15+AH16-AQ15,IF(A16&lt;'Données projet'!$A$62,$AF$205^A16,IF(A16='Données projet'!$A$62,'Données projet'!$B$62,AI15+AH16-AQ15)))</f>
        <v>8.0151413590917304</v>
      </c>
      <c r="AJ16" s="13">
        <f>AI16*VLOOKUP('Données projet'!$B$10,Paramètres!$A$1:$I$89,3,0)*VLOOKUP('Données projet'!$B$10,Paramètres!$A$1:$I$89,5,0)</f>
        <v>7.2520999017061971</v>
      </c>
      <c r="AK16" s="13">
        <f t="shared" si="35"/>
        <v>2.6537368749284589</v>
      </c>
      <c r="AL16" s="20">
        <f t="shared" si="4"/>
        <v>17.252665719305359</v>
      </c>
      <c r="AM16" s="59">
        <f t="shared" si="5"/>
        <v>310.58599905263867</v>
      </c>
      <c r="AN16" s="59">
        <f ca="1">AVERAGE(OFFSET($AM$3,0,0,'Données projet'!$E$10+1,1))-AVERAGE(OFFSET($H$3,0,0,'Données projet'!$E$10+1,1))</f>
        <v>282.13645166362238</v>
      </c>
      <c r="AO16" s="59">
        <f t="shared" si="36"/>
        <v>210.5345332979457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8.5743589743589741</v>
      </c>
      <c r="BD16" s="12">
        <f>IF('Données projet'!$A$88&gt;35,BD15+BC16-BL15,IF(A16&lt;'Données projet'!$A$88,$BA$205^A16,IF(A16='Données projet'!$A$88,'Données projet'!$B$88,BD15+BC16-BL15)))</f>
        <v>24.900781248062909</v>
      </c>
      <c r="BE16" s="13">
        <f>BD16*VLOOKUP('Données projet'!$B$11,Paramètres!$A$1:$I$89,3,0)*VLOOKUP('Données projet'!$B$11,Paramètres!$A$1:$I$89,5,0)</f>
        <v>13.919536717667166</v>
      </c>
      <c r="BF16" s="13">
        <f t="shared" si="37"/>
        <v>4.7212709102893111</v>
      </c>
      <c r="BG16" s="20">
        <f t="shared" si="7"/>
        <v>32.466073285357531</v>
      </c>
      <c r="BH16" s="59">
        <f t="shared" si="8"/>
        <v>325.79940661869085</v>
      </c>
      <c r="BI16" s="59">
        <f ca="1">AVERAGE(OFFSET($BH$3,0,0,'Données projet'!$E$11+1,1))-AVERAGE(OFFSET($H$3,0,0,'Données projet'!$E$11+1,1))</f>
        <v>254.6443970237226</v>
      </c>
      <c r="BJ16" s="59">
        <f t="shared" si="38"/>
        <v>231.81667808018062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2.9235042735042733</v>
      </c>
      <c r="BY16" s="12">
        <f>IF('Données projet'!$A$114&gt;35,BY15+BX16-CG15,IF(A16&lt;'Données projet'!$A$114,$BV$205^A16,IF(A16='Données projet'!$A$114,'Données projet'!$B$114,BY15+BX16-CG15)))</f>
        <v>6.9498830208148057</v>
      </c>
      <c r="BZ16" s="13">
        <f>BY16*VLOOKUP('Données projet'!$B$12,Paramètres!$A$1:$I$89,3,0)*VLOOKUP('Données projet'!$B$12,Paramètres!$A$1:$I$89,5,0)</f>
        <v>7.0471813831062136</v>
      </c>
      <c r="CA16" s="13">
        <f t="shared" si="39"/>
        <v>2.5873698684431186</v>
      </c>
      <c r="CB16" s="20">
        <f t="shared" si="10"/>
        <v>16.780176763115087</v>
      </c>
      <c r="CC16" s="59">
        <f t="shared" si="11"/>
        <v>310.11351009644841</v>
      </c>
      <c r="CD16" s="59">
        <f ca="1">AVERAGE(OFFSET($CC$3,0,0,'Données projet'!$E$12+1,1))-AVERAGE(OFFSET($H$3,0,0,'Données projet'!$E$12+1,1))</f>
        <v>264.08050363622294</v>
      </c>
      <c r="CE16" s="59">
        <f t="shared" si="40"/>
        <v>164.48884512322883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8.5743589743589741</v>
      </c>
      <c r="CT16" s="12">
        <f>IF('Données projet'!$A$140&gt;35,CT15+CS16-DB15,IF(A16&lt;'Données projet'!$A$140,$CQ$205^A16,IF(A16='Données projet'!$A$140,'Données projet'!$B$140,CT15+CS16-DB15)))</f>
        <v>24.900781248062909</v>
      </c>
      <c r="CU16" s="17">
        <f>CT16*VLOOKUP('Données projet'!$B$13,Paramètres!$A$1:$I$89,3,0)*VLOOKUP('Données projet'!$B$13,Paramètres!$A$1:$I$89,5,0)</f>
        <v>11.006145311643806</v>
      </c>
      <c r="CV16" s="13">
        <f t="shared" si="41"/>
        <v>3.8365509056909279</v>
      </c>
      <c r="CW16" s="20">
        <f t="shared" si="13"/>
        <v>25.851029245191327</v>
      </c>
      <c r="CX16" s="59">
        <f t="shared" si="14"/>
        <v>319.18436257852466</v>
      </c>
      <c r="CY16" s="59">
        <f ca="1">AVERAGE(OFFSET($CX$3,0,0,'Données projet'!$E$13+1,1))-AVERAGE(OFFSET($H$3,0,0,'Données projet'!$E$13+1,1))</f>
        <v>194.7221767407824</v>
      </c>
      <c r="CZ16" s="59">
        <f t="shared" si="42"/>
        <v>177.6550559568646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7.2264102564102561</v>
      </c>
      <c r="DO16" s="12">
        <f>IF('Données projet'!$A$166&gt;35,DO15+DN16-DW15,IF(A16&lt;'Données projet'!$A$166,$DL$205^A16,IF(A16='Données projet'!$A$166,'Données projet'!$B$166,DO15+DN16-DW15)))</f>
        <v>10.286927434759741</v>
      </c>
      <c r="DP16" s="17">
        <f>DO16*VLOOKUP('Données projet'!$B$14,Paramètres!$A$1:$I$89,3,0)*VLOOKUP('Données projet'!$B$14,Paramètres!$A$1:$I$89,5,0)</f>
        <v>4.8142820394675585</v>
      </c>
      <c r="DQ16" s="13">
        <f t="shared" si="43"/>
        <v>1.8477232526006253</v>
      </c>
      <c r="DR16" s="20">
        <f t="shared" si="16"/>
        <v>11.602992550352086</v>
      </c>
      <c r="DS16" s="59">
        <f t="shared" si="17"/>
        <v>304.93632588368541</v>
      </c>
      <c r="DT16" s="59">
        <f ca="1">AVERAGE(OFFSET($DS$3,0,0,'Données projet'!$E$14+1,1))-AVERAGE(OFFSET($H$3,0,0,'Données projet'!$E$14+1,1))</f>
        <v>207.25176714718668</v>
      </c>
      <c r="DU16" s="59">
        <f t="shared" si="44"/>
        <v>191.53228014642559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7.4312217194570129</v>
      </c>
      <c r="EJ16" s="12">
        <f>IF('Données projet'!$A$192&gt;35,EJ15+EI16-ER15,IF(A16&lt;'Données projet'!$A$192,$EG$205^A16,IF(A16='Données projet'!$A$192,'Données projet'!$B$192,EJ15+EI16-ER15)))</f>
        <v>40.460980378841768</v>
      </c>
      <c r="EK16" s="17">
        <f>EJ16*VLOOKUP('Données projet'!$B$15,Paramètres!$A$1:$I$89,3,0)*VLOOKUP('Données projet'!$B$15,Paramètres!$A$1:$I$89,5,0)</f>
        <v>24.195666266547377</v>
      </c>
      <c r="EL16" s="13">
        <f t="shared" si="45"/>
        <v>7.6952475537219458</v>
      </c>
      <c r="EM16" s="20">
        <f t="shared" si="19"/>
        <v>55.543341570302402</v>
      </c>
      <c r="EN16" s="59">
        <f t="shared" si="20"/>
        <v>348.87667490363572</v>
      </c>
      <c r="EO16" s="59">
        <f ca="1">AVERAGE(OFFSET($EN$3,0,0,'Données projet'!$E$15+1,1))-AVERAGE(OFFSET($H$3,0,0,'Données projet'!$E$15+1,1))</f>
        <v>200.15574321350221</v>
      </c>
      <c r="EP16" s="59">
        <f t="shared" si="46"/>
        <v>200.70728852570426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4.0628205128205126</v>
      </c>
      <c r="FE16" s="12">
        <f>IF('Données projet'!$A$218&gt;35,FE15+FD16-FM15,IF(A16&lt;'Données projet'!$A$218,$FB$205^A16,IF(A16='Données projet'!$A$218,'Données projet'!$B$218,FE15+FD16-FM15)))</f>
        <v>8.0151413590917304</v>
      </c>
      <c r="FF16" s="17">
        <f>FE16*VLOOKUP('Données projet'!$B$16,Paramètres!$A$1:$I$89,3,0)*VLOOKUP('Données projet'!$B$16,Paramètres!$A$1:$I$89,5,0)</f>
        <v>8.627498158926338</v>
      </c>
      <c r="FG16" s="13">
        <f t="shared" si="47"/>
        <v>3.0938548928140652</v>
      </c>
      <c r="FH16" s="20">
        <f t="shared" si="22"/>
        <v>20.414689898447865</v>
      </c>
      <c r="FI16" s="59">
        <f t="shared" si="23"/>
        <v>313.74802323178119</v>
      </c>
      <c r="FJ16" s="59">
        <f ca="1">AVERAGE(OFFSET($FI$3,0,0,'Données projet'!$E$16+1,1))-AVERAGE(OFFSET($H$3,0,0,'Données projet'!$E$16+1,1))</f>
        <v>347.17049316703486</v>
      </c>
      <c r="FK16" s="59">
        <f t="shared" si="48"/>
        <v>255.45365487683489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7">
        <f t="shared" si="1"/>
        <v>308.97010652964002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429.24932261481183</v>
      </c>
      <c r="S17" s="59">
        <f ca="1">AVERAGE(OFFSET($R$3,0,0,'Données projet'!$E$9+1,1))-AVERAGE(OFFSET($H$3,0,0,'Données projet'!$E$9+1,1))</f>
        <v>266.02599413192075</v>
      </c>
      <c r="T17" s="59">
        <f t="shared" si="34"/>
        <v>332.94146254783254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4.0628205128205126</v>
      </c>
      <c r="AI17" s="13">
        <f>IF('Données projet'!$A$62&gt;35,AI16+AH17-AQ16,IF(A17&lt;'Données projet'!$A$62,$AF$205^A17,IF(A17='Données projet'!$A$62,'Données projet'!$B$62,AI16+AH17-AQ16)))</f>
        <v>9.4068196111151305</v>
      </c>
      <c r="AJ17" s="13">
        <f>AI17*VLOOKUP('Données projet'!$B$10,Paramètres!$A$1:$I$89,3,0)*VLOOKUP('Données projet'!$B$10,Paramètres!$A$1:$I$89,5,0)</f>
        <v>8.51129038413697</v>
      </c>
      <c r="AK17" s="13">
        <f t="shared" si="35"/>
        <v>3.0570040016267526</v>
      </c>
      <c r="AL17" s="20">
        <f t="shared" si="4"/>
        <v>20.148112721871815</v>
      </c>
      <c r="AM17" s="59">
        <f t="shared" si="5"/>
        <v>313.48144605520514</v>
      </c>
      <c r="AN17" s="59">
        <f ca="1">AVERAGE(OFFSET($AM$3,0,0,'Données projet'!$E$10+1,1))-AVERAGE(OFFSET($H$3,0,0,'Données projet'!$E$10+1,1))</f>
        <v>282.13645166362238</v>
      </c>
      <c r="AO17" s="59">
        <f t="shared" si="36"/>
        <v>210.5345332979457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8.5743589743589741</v>
      </c>
      <c r="BD17" s="12">
        <f>IF('Données projet'!$A$88&gt;35,BD16+BC17-BL16,IF(A17&lt;'Données projet'!$A$88,$BA$205^A17,IF(A17='Données projet'!$A$88,'Données projet'!$B$88,BD16+BC17-BL16)))</f>
        <v>31.88702270302047</v>
      </c>
      <c r="BE17" s="13">
        <f>BD17*VLOOKUP('Données projet'!$B$11,Paramètres!$A$1:$I$89,3,0)*VLOOKUP('Données projet'!$B$11,Paramètres!$A$1:$I$89,5,0)</f>
        <v>17.824845690988443</v>
      </c>
      <c r="BF17" s="13">
        <f t="shared" si="37"/>
        <v>5.8743313933372665</v>
      </c>
      <c r="BG17" s="20">
        <f t="shared" si="7"/>
        <v>41.27606675520061</v>
      </c>
      <c r="BH17" s="59">
        <f t="shared" si="8"/>
        <v>334.6094000885339</v>
      </c>
      <c r="BI17" s="59">
        <f ca="1">AVERAGE(OFFSET($BH$3,0,0,'Données projet'!$E$11+1,1))-AVERAGE(OFFSET($H$3,0,0,'Données projet'!$E$11+1,1))</f>
        <v>254.6443970237226</v>
      </c>
      <c r="BJ17" s="59">
        <f t="shared" si="38"/>
        <v>231.81667808018062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2.9235042735042733</v>
      </c>
      <c r="BY17" s="12">
        <f>IF('Données projet'!$A$114&gt;35,BY16+BX17-CG16,IF(A17&lt;'Données projet'!$A$114,$BV$205^A17,IF(A17='Données projet'!$A$114,'Données projet'!$B$114,BY16+BX17-CG16)))</f>
        <v>8.0676118326430668</v>
      </c>
      <c r="BZ17" s="13">
        <f>BY17*VLOOKUP('Données projet'!$B$12,Paramètres!$A$1:$I$89,3,0)*VLOOKUP('Données projet'!$B$12,Paramètres!$A$1:$I$89,5,0)</f>
        <v>8.1805583983000698</v>
      </c>
      <c r="CA17" s="13">
        <f t="shared" si="39"/>
        <v>2.9518010224963804</v>
      </c>
      <c r="CB17" s="20">
        <f t="shared" si="10"/>
        <v>19.388859324553817</v>
      </c>
      <c r="CC17" s="59">
        <f t="shared" si="11"/>
        <v>312.72219265788715</v>
      </c>
      <c r="CD17" s="59">
        <f ca="1">AVERAGE(OFFSET($CC$3,0,0,'Données projet'!$E$12+1,1))-AVERAGE(OFFSET($H$3,0,0,'Données projet'!$E$12+1,1))</f>
        <v>264.08050363622294</v>
      </c>
      <c r="CE17" s="59">
        <f t="shared" si="40"/>
        <v>164.48884512322883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8.5743589743589741</v>
      </c>
      <c r="CT17" s="12">
        <f>IF('Données projet'!$A$140&gt;35,CT16+CS17-DB16,IF(A17&lt;'Données projet'!$A$140,$CQ$205^A17,IF(A17='Données projet'!$A$140,'Données projet'!$B$140,CT16+CS17-DB16)))</f>
        <v>31.88702270302047</v>
      </c>
      <c r="CU17" s="17">
        <f>CT17*VLOOKUP('Données projet'!$B$13,Paramètres!$A$1:$I$89,3,0)*VLOOKUP('Données projet'!$B$13,Paramètres!$A$1:$I$89,5,0)</f>
        <v>14.09406403473505</v>
      </c>
      <c r="CV17" s="13">
        <f t="shared" si="41"/>
        <v>4.7735391286952673</v>
      </c>
      <c r="CW17" s="20">
        <f t="shared" si="13"/>
        <v>32.861075509641132</v>
      </c>
      <c r="CX17" s="59">
        <f t="shared" si="14"/>
        <v>326.19440884297444</v>
      </c>
      <c r="CY17" s="59">
        <f ca="1">AVERAGE(OFFSET($CX$3,0,0,'Données projet'!$E$13+1,1))-AVERAGE(OFFSET($H$3,0,0,'Données projet'!$E$13+1,1))</f>
        <v>194.7221767407824</v>
      </c>
      <c r="CZ17" s="59">
        <f t="shared" si="42"/>
        <v>177.6550559568646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7.2264102564102561</v>
      </c>
      <c r="DO17" s="12">
        <f>IF('Données projet'!$A$166&gt;35,DO16+DN17-DW16,IF(A17&lt;'Données projet'!$A$166,$DL$205^A17,IF(A17='Données projet'!$A$166,'Données projet'!$B$166,DO16+DN17-DW16)))</f>
        <v>12.307045471848836</v>
      </c>
      <c r="DP17" s="17">
        <f>DO17*VLOOKUP('Données projet'!$B$14,Paramètres!$A$1:$I$89,3,0)*VLOOKUP('Données projet'!$B$14,Paramètres!$A$1:$I$89,5,0)</f>
        <v>5.7596972808252556</v>
      </c>
      <c r="DQ17" s="13">
        <f t="shared" si="43"/>
        <v>2.1649167617120959</v>
      </c>
      <c r="DR17" s="20">
        <f t="shared" si="16"/>
        <v>13.802036124085888</v>
      </c>
      <c r="DS17" s="59">
        <f t="shared" si="17"/>
        <v>307.13536945741919</v>
      </c>
      <c r="DT17" s="59">
        <f ca="1">AVERAGE(OFFSET($DS$3,0,0,'Données projet'!$E$14+1,1))-AVERAGE(OFFSET($H$3,0,0,'Données projet'!$E$14+1,1))</f>
        <v>207.25176714718668</v>
      </c>
      <c r="DU17" s="59">
        <f t="shared" si="44"/>
        <v>191.53228014642559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7.4312217194570129</v>
      </c>
      <c r="EJ17" s="12">
        <f>IF('Données projet'!$A$192&gt;35,EJ16+EI17-ER16,IF(A17&lt;'Données projet'!$A$192,$EG$205^A17,IF(A17='Données projet'!$A$192,'Données projet'!$B$192,EJ16+EI17-ER16)))</f>
        <v>53.784184291233551</v>
      </c>
      <c r="EK17" s="17">
        <f>EJ17*VLOOKUP('Données projet'!$B$15,Paramètres!$A$1:$I$89,3,0)*VLOOKUP('Données projet'!$B$15,Paramètres!$A$1:$I$89,5,0)</f>
        <v>32.162942206157666</v>
      </c>
      <c r="EL17" s="13">
        <f t="shared" si="45"/>
        <v>9.8958162734145461</v>
      </c>
      <c r="EM17" s="20">
        <f t="shared" si="19"/>
        <v>73.252337685254929</v>
      </c>
      <c r="EN17" s="59">
        <f t="shared" si="20"/>
        <v>366.58567101858824</v>
      </c>
      <c r="EO17" s="59">
        <f ca="1">AVERAGE(OFFSET($EN$3,0,0,'Données projet'!$E$15+1,1))-AVERAGE(OFFSET($H$3,0,0,'Données projet'!$E$15+1,1))</f>
        <v>200.15574321350221</v>
      </c>
      <c r="EP17" s="59">
        <f t="shared" si="46"/>
        <v>200.70728852570426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4.0628205128205126</v>
      </c>
      <c r="FE17" s="12">
        <f>IF('Données projet'!$A$218&gt;35,FE16+FD17-FM16,IF(A17&lt;'Données projet'!$A$218,$FB$205^A17,IF(A17='Données projet'!$A$218,'Données projet'!$B$218,FE16+FD17-FM16)))</f>
        <v>9.4068196111151305</v>
      </c>
      <c r="FF17" s="17">
        <f>FE17*VLOOKUP('Données projet'!$B$16,Paramètres!$A$1:$I$89,3,0)*VLOOKUP('Données projet'!$B$16,Paramètres!$A$1:$I$89,5,0)</f>
        <v>10.125500629404325</v>
      </c>
      <c r="FG17" s="13">
        <f t="shared" si="47"/>
        <v>3.5640032277277203</v>
      </c>
      <c r="FH17" s="20">
        <f t="shared" si="22"/>
        <v>23.842552551171647</v>
      </c>
      <c r="FI17" s="59">
        <f t="shared" si="23"/>
        <v>317.17588588450496</v>
      </c>
      <c r="FJ17" s="59">
        <f ca="1">AVERAGE(OFFSET($FI$3,0,0,'Données projet'!$E$16+1,1))-AVERAGE(OFFSET($H$3,0,0,'Données projet'!$E$16+1,1))</f>
        <v>347.17049316703486</v>
      </c>
      <c r="FK17" s="59">
        <f t="shared" si="48"/>
        <v>255.45365487683489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7">
        <f t="shared" si="1"/>
        <v>310.05080771016441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480.80496572350387</v>
      </c>
      <c r="S18" s="59">
        <f ca="1">AVERAGE(OFFSET($R$3,0,0,'Données projet'!$E$9+1,1))-AVERAGE(OFFSET($H$3,0,0,'Données projet'!$E$9+1,1))</f>
        <v>266.02599413192075</v>
      </c>
      <c r="T18" s="59">
        <f t="shared" si="34"/>
        <v>332.94146254783254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4.0628205128205126</v>
      </c>
      <c r="AI18" s="13">
        <f>IF('Données projet'!$A$62&gt;35,AI17+AH18-AQ17,IF(A18&lt;'Données projet'!$A$62,$AF$205^A18,IF(A18='Données projet'!$A$62,'Données projet'!$B$62,AI17+AH18-AQ17)))</f>
        <v>11.040136565487554</v>
      </c>
      <c r="AJ18" s="13">
        <f>AI18*VLOOKUP('Données projet'!$B$10,Paramètres!$A$1:$I$89,3,0)*VLOOKUP('Données projet'!$B$10,Paramètres!$A$1:$I$89,5,0)</f>
        <v>9.9891155644531384</v>
      </c>
      <c r="AK18" s="13">
        <f t="shared" si="35"/>
        <v>3.5215524019177353</v>
      </c>
      <c r="AL18" s="20">
        <f t="shared" si="4"/>
        <v>23.531080041429274</v>
      </c>
      <c r="AM18" s="59">
        <f t="shared" si="5"/>
        <v>316.86441337476259</v>
      </c>
      <c r="AN18" s="59">
        <f ca="1">AVERAGE(OFFSET($AM$3,0,0,'Données projet'!$E$10+1,1))-AVERAGE(OFFSET($H$3,0,0,'Données projet'!$E$10+1,1))</f>
        <v>282.13645166362238</v>
      </c>
      <c r="AO18" s="59">
        <f t="shared" si="36"/>
        <v>210.5345332979457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8.5743589743589741</v>
      </c>
      <c r="BD18" s="12">
        <f>IF('Données projet'!$A$88&gt;35,BD17+BC18-BL17,IF(A18&lt;'Données projet'!$A$88,$BA$205^A18,IF(A18='Données projet'!$A$88,'Données projet'!$B$88,BD17+BC18-BL17)))</f>
        <v>40.833346019697316</v>
      </c>
      <c r="BE18" s="13">
        <f>BD18*VLOOKUP('Données projet'!$B$11,Paramètres!$A$1:$I$89,3,0)*VLOOKUP('Données projet'!$B$11,Paramètres!$A$1:$I$89,5,0)</f>
        <v>22.825840425010803</v>
      </c>
      <c r="BF18" s="13">
        <f t="shared" si="37"/>
        <v>7.3090000498686072</v>
      </c>
      <c r="BG18" s="20">
        <f t="shared" si="7"/>
        <v>52.484847160414972</v>
      </c>
      <c r="BH18" s="59">
        <f t="shared" si="8"/>
        <v>345.81818049374829</v>
      </c>
      <c r="BI18" s="59">
        <f ca="1">AVERAGE(OFFSET($BH$3,0,0,'Données projet'!$E$11+1,1))-AVERAGE(OFFSET($H$3,0,0,'Données projet'!$E$11+1,1))</f>
        <v>254.6443970237226</v>
      </c>
      <c r="BJ18" s="59">
        <f t="shared" si="38"/>
        <v>231.81667808018062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2.9235042735042733</v>
      </c>
      <c r="BY18" s="12">
        <f>IF('Données projet'!$A$114&gt;35,BY17+BX18-CG17,IF(A18&lt;'Données projet'!$A$114,$BV$205^A18,IF(A18='Données projet'!$A$114,'Données projet'!$B$114,BY17+BX18-CG17)))</f>
        <v>9.3651016121091022</v>
      </c>
      <c r="BZ18" s="13">
        <f>BY18*VLOOKUP('Données projet'!$B$12,Paramètres!$A$1:$I$89,3,0)*VLOOKUP('Données projet'!$B$12,Paramètres!$A$1:$I$89,5,0)</f>
        <v>9.4962130346786306</v>
      </c>
      <c r="CA18" s="13">
        <f t="shared" si="39"/>
        <v>3.3675623198215465</v>
      </c>
      <c r="CB18" s="20">
        <f t="shared" si="10"/>
        <v>22.40440874242114</v>
      </c>
      <c r="CC18" s="59">
        <f t="shared" si="11"/>
        <v>315.73774207575445</v>
      </c>
      <c r="CD18" s="59">
        <f ca="1">AVERAGE(OFFSET($CC$3,0,0,'Données projet'!$E$12+1,1))-AVERAGE(OFFSET($H$3,0,0,'Données projet'!$E$12+1,1))</f>
        <v>264.08050363622294</v>
      </c>
      <c r="CE18" s="59">
        <f t="shared" si="40"/>
        <v>164.48884512322883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8.5743589743589741</v>
      </c>
      <c r="CT18" s="12">
        <f>IF('Données projet'!$A$140&gt;35,CT17+CS18-DB17,IF(A18&lt;'Données projet'!$A$140,$CQ$205^A18,IF(A18='Données projet'!$A$140,'Données projet'!$B$140,CT17+CS18-DB17)))</f>
        <v>40.833346019697316</v>
      </c>
      <c r="CU18" s="17">
        <f>CT18*VLOOKUP('Données projet'!$B$13,Paramètres!$A$1:$I$89,3,0)*VLOOKUP('Données projet'!$B$13,Paramètres!$A$1:$I$89,5,0)</f>
        <v>18.048338940706216</v>
      </c>
      <c r="CV18" s="13">
        <f t="shared" si="41"/>
        <v>5.9393649070013055</v>
      </c>
      <c r="CW18" s="20">
        <f t="shared" si="13"/>
        <v>41.778584201423932</v>
      </c>
      <c r="CX18" s="59">
        <f t="shared" si="14"/>
        <v>335.11191753475725</v>
      </c>
      <c r="CY18" s="59">
        <f ca="1">AVERAGE(OFFSET($CX$3,0,0,'Données projet'!$E$13+1,1))-AVERAGE(OFFSET($H$3,0,0,'Données projet'!$E$13+1,1))</f>
        <v>194.7221767407824</v>
      </c>
      <c r="CZ18" s="59">
        <f t="shared" si="42"/>
        <v>177.6550559568646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7.2264102564102561</v>
      </c>
      <c r="DO18" s="12">
        <f>IF('Données projet'!$A$166&gt;35,DO17+DN18-DW17,IF(A18&lt;'Données projet'!$A$166,$DL$205^A18,IF(A18='Données projet'!$A$166,'Données projet'!$B$166,DO17+DN18-DW17)))</f>
        <v>14.723868638788783</v>
      </c>
      <c r="DP18" s="17">
        <f>DO18*VLOOKUP('Données projet'!$B$14,Paramètres!$A$1:$I$89,3,0)*VLOOKUP('Données projet'!$B$14,Paramètres!$A$1:$I$89,5,0)</f>
        <v>6.89077052295315</v>
      </c>
      <c r="DQ18" s="13">
        <f t="shared" si="43"/>
        <v>2.5365619978778424</v>
      </c>
      <c r="DR18" s="20">
        <f t="shared" si="16"/>
        <v>16.419270807113978</v>
      </c>
      <c r="DS18" s="59">
        <f t="shared" si="17"/>
        <v>309.75260414044732</v>
      </c>
      <c r="DT18" s="59">
        <f ca="1">AVERAGE(OFFSET($DS$3,0,0,'Données projet'!$E$14+1,1))-AVERAGE(OFFSET($H$3,0,0,'Données projet'!$E$14+1,1))</f>
        <v>207.25176714718668</v>
      </c>
      <c r="DU18" s="59">
        <f t="shared" si="44"/>
        <v>191.53228014642559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7.4312217194570129</v>
      </c>
      <c r="EJ18" s="12">
        <f>IF('Données projet'!$A$192&gt;35,EJ17+EI18-ER17,IF(A18&lt;'Données projet'!$A$192,$EG$205^A18,IF(A18='Données projet'!$A$192,'Données projet'!$B$192,EJ17+EI18-ER17)))</f>
        <v>71.494522692931866</v>
      </c>
      <c r="EK18" s="17">
        <f>EJ18*VLOOKUP('Données projet'!$B$15,Paramètres!$A$1:$I$89,3,0)*VLOOKUP('Données projet'!$B$15,Paramètres!$A$1:$I$89,5,0)</f>
        <v>42.753724570373258</v>
      </c>
      <c r="EL18" s="13">
        <f t="shared" si="45"/>
        <v>12.725669841487028</v>
      </c>
      <c r="EM18" s="20">
        <f t="shared" si="19"/>
        <v>96.626611933989992</v>
      </c>
      <c r="EN18" s="59">
        <f t="shared" si="20"/>
        <v>389.95994526732329</v>
      </c>
      <c r="EO18" s="59">
        <f ca="1">AVERAGE(OFFSET($EN$3,0,0,'Données projet'!$E$15+1,1))-AVERAGE(OFFSET($H$3,0,0,'Données projet'!$E$15+1,1))</f>
        <v>200.15574321350221</v>
      </c>
      <c r="EP18" s="59">
        <f t="shared" si="46"/>
        <v>200.70728852570426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4.0628205128205126</v>
      </c>
      <c r="FE18" s="12">
        <f>IF('Données projet'!$A$218&gt;35,FE17+FD18-FM17,IF(A18&lt;'Données projet'!$A$218,$FB$205^A18,IF(A18='Données projet'!$A$218,'Données projet'!$B$218,FE17+FD18-FM17)))</f>
        <v>11.040136565487554</v>
      </c>
      <c r="FF18" s="17">
        <f>FE18*VLOOKUP('Données projet'!$B$16,Paramètres!$A$1:$I$89,3,0)*VLOOKUP('Données projet'!$B$16,Paramètres!$A$1:$I$89,5,0)</f>
        <v>11.883602999090803</v>
      </c>
      <c r="FG18" s="13">
        <f t="shared" si="47"/>
        <v>4.1055962374822954</v>
      </c>
      <c r="FH18" s="20">
        <f t="shared" si="22"/>
        <v>27.847855337031476</v>
      </c>
      <c r="FI18" s="59">
        <f t="shared" si="23"/>
        <v>321.1811886703648</v>
      </c>
      <c r="FJ18" s="59">
        <f ca="1">AVERAGE(OFFSET($FI$3,0,0,'Données projet'!$E$16+1,1))-AVERAGE(OFFSET($H$3,0,0,'Données projet'!$E$16+1,1))</f>
        <v>347.17049316703486</v>
      </c>
      <c r="FK18" s="59">
        <f t="shared" si="48"/>
        <v>255.45365487683489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7">
        <f t="shared" si="1"/>
        <v>311.129454195748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440.14469881132084</v>
      </c>
      <c r="S19" s="59">
        <f ca="1">AVERAGE(OFFSET($R$3,0,0,'Données projet'!$E$9+1,1))-AVERAGE(OFFSET($H$3,0,0,'Données projet'!$E$9+1,1))</f>
        <v>266.02599413192075</v>
      </c>
      <c r="T19" s="59">
        <f t="shared" si="34"/>
        <v>332.94146254783254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4.0628205128205126</v>
      </c>
      <c r="AI19" s="13">
        <f>IF('Données projet'!$A$62&gt;35,AI18+AH19-AQ18,IF(A19&lt;'Données projet'!$A$62,$AF$205^A19,IF(A19='Données projet'!$A$62,'Données projet'!$B$62,AI18+AH19-AQ18)))</f>
        <v>12.957048229201293</v>
      </c>
      <c r="AJ19" s="13">
        <f>AI19*VLOOKUP('Données projet'!$B$10,Paramètres!$A$1:$I$89,3,0)*VLOOKUP('Données projet'!$B$10,Paramètres!$A$1:$I$89,5,0)</f>
        <v>11.723537237781329</v>
      </c>
      <c r="AK19" s="13">
        <f t="shared" si="35"/>
        <v>4.0566944998610817</v>
      </c>
      <c r="AL19" s="20">
        <f t="shared" si="4"/>
        <v>27.483903609727193</v>
      </c>
      <c r="AM19" s="59">
        <f t="shared" si="5"/>
        <v>320.81723694306049</v>
      </c>
      <c r="AN19" s="59">
        <f ca="1">AVERAGE(OFFSET($AM$3,0,0,'Données projet'!$E$10+1,1))-AVERAGE(OFFSET($H$3,0,0,'Données projet'!$E$10+1,1))</f>
        <v>282.13645166362238</v>
      </c>
      <c r="AO19" s="59">
        <f t="shared" si="36"/>
        <v>210.5345332979457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8.5743589743589741</v>
      </c>
      <c r="BD19" s="12">
        <f>IF('Données projet'!$A$88&gt;35,BD18+BC19-BL18,IF(A19&lt;'Données projet'!$A$88,$BA$205^A19,IF(A19='Données projet'!$A$88,'Données projet'!$B$88,BD18+BC19-BL18)))</f>
        <v>52.289677926136108</v>
      </c>
      <c r="BE19" s="13">
        <f>BD19*VLOOKUP('Données projet'!$B$11,Paramètres!$A$1:$I$89,3,0)*VLOOKUP('Données projet'!$B$11,Paramètres!$A$1:$I$89,5,0)</f>
        <v>29.229929960710084</v>
      </c>
      <c r="BF19" s="13">
        <f t="shared" si="37"/>
        <v>9.0940531188911979</v>
      </c>
      <c r="BG19" s="20">
        <f t="shared" si="7"/>
        <v>66.747603863638901</v>
      </c>
      <c r="BH19" s="59">
        <f t="shared" si="8"/>
        <v>360.08093719697223</v>
      </c>
      <c r="BI19" s="59">
        <f ca="1">AVERAGE(OFFSET($BH$3,0,0,'Données projet'!$E$11+1,1))-AVERAGE(OFFSET($H$3,0,0,'Données projet'!$E$11+1,1))</f>
        <v>254.6443970237226</v>
      </c>
      <c r="BJ19" s="59">
        <f t="shared" si="38"/>
        <v>231.81667808018062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2.9235042735042733</v>
      </c>
      <c r="BY19" s="12">
        <f>IF('Données projet'!$A$114&gt;35,BY18+BX19-CG18,IF(A19&lt;'Données projet'!$A$114,$BV$205^A19,IF(A19='Données projet'!$A$114,'Données projet'!$B$114,BY18+BX19-CG18)))</f>
        <v>10.87126277571476</v>
      </c>
      <c r="BZ19" s="13">
        <f>BY19*VLOOKUP('Données projet'!$B$12,Paramètres!$A$1:$I$89,3,0)*VLOOKUP('Données projet'!$B$12,Paramètres!$A$1:$I$89,5,0)</f>
        <v>11.023460454574767</v>
      </c>
      <c r="CA19" s="13">
        <f t="shared" si="39"/>
        <v>3.8418836132426954</v>
      </c>
      <c r="CB19" s="20">
        <f t="shared" si="10"/>
        <v>25.890474251448747</v>
      </c>
      <c r="CC19" s="59">
        <f t="shared" si="11"/>
        <v>319.22380758478204</v>
      </c>
      <c r="CD19" s="59">
        <f ca="1">AVERAGE(OFFSET($CC$3,0,0,'Données projet'!$E$12+1,1))-AVERAGE(OFFSET($H$3,0,0,'Données projet'!$E$12+1,1))</f>
        <v>264.08050363622294</v>
      </c>
      <c r="CE19" s="59">
        <f t="shared" si="40"/>
        <v>164.48884512322883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8.5743589743589741</v>
      </c>
      <c r="CT19" s="12">
        <f>IF('Données projet'!$A$140&gt;35,CT18+CS19-DB18,IF(A19&lt;'Données projet'!$A$140,$CQ$205^A19,IF(A19='Données projet'!$A$140,'Données projet'!$B$140,CT18+CS19-DB18)))</f>
        <v>52.289677926136108</v>
      </c>
      <c r="CU19" s="17">
        <f>CT19*VLOOKUP('Données projet'!$B$13,Paramètres!$A$1:$I$89,3,0)*VLOOKUP('Données projet'!$B$13,Paramètres!$A$1:$I$89,5,0)</f>
        <v>23.11203764335216</v>
      </c>
      <c r="CV19" s="13">
        <f t="shared" si="41"/>
        <v>7.3899164849122059</v>
      </c>
      <c r="CW19" s="20">
        <f t="shared" si="13"/>
        <v>53.124236773393768</v>
      </c>
      <c r="CX19" s="59">
        <f t="shared" si="14"/>
        <v>346.45757010672708</v>
      </c>
      <c r="CY19" s="59">
        <f ca="1">AVERAGE(OFFSET($CX$3,0,0,'Données projet'!$E$13+1,1))-AVERAGE(OFFSET($H$3,0,0,'Données projet'!$E$13+1,1))</f>
        <v>194.7221767407824</v>
      </c>
      <c r="CZ19" s="59">
        <f t="shared" si="42"/>
        <v>177.6550559568646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7.2264102564102561</v>
      </c>
      <c r="DO19" s="12">
        <f>IF('Données projet'!$A$166&gt;35,DO18+DN19-DW18,IF(A19&lt;'Données projet'!$A$166,$DL$205^A19,IF(A19='Données projet'!$A$166,'Données projet'!$B$166,DO18+DN19-DW18)))</f>
        <v>17.61530077939495</v>
      </c>
      <c r="DP19" s="17">
        <f>DO19*VLOOKUP('Données projet'!$B$14,Paramètres!$A$1:$I$89,3,0)*VLOOKUP('Données projet'!$B$14,Paramètres!$A$1:$I$89,5,0)</f>
        <v>8.2439607647568369</v>
      </c>
      <c r="DQ19" s="13">
        <f t="shared" si="43"/>
        <v>2.972006537558364</v>
      </c>
      <c r="DR19" s="20">
        <f t="shared" si="16"/>
        <v>19.534476384865641</v>
      </c>
      <c r="DS19" s="59">
        <f t="shared" si="17"/>
        <v>312.86780971819894</v>
      </c>
      <c r="DT19" s="59">
        <f ca="1">AVERAGE(OFFSET($DS$3,0,0,'Données projet'!$E$14+1,1))-AVERAGE(OFFSET($H$3,0,0,'Données projet'!$E$14+1,1))</f>
        <v>207.25176714718668</v>
      </c>
      <c r="DU19" s="59">
        <f t="shared" si="44"/>
        <v>191.53228014642559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7.4312217194570129</v>
      </c>
      <c r="EJ19" s="12">
        <f>IF('Données projet'!$A$192&gt;35,EJ18+EI19-ER18,IF(A19&lt;'Données projet'!$A$192,$EG$205^A19,IF(A19='Données projet'!$A$192,'Données projet'!$B$192,EJ18+EI19-ER18)))</f>
        <v>95.036614247271999</v>
      </c>
      <c r="EK19" s="17">
        <f>EJ19*VLOOKUP('Données projet'!$B$15,Paramètres!$A$1:$I$89,3,0)*VLOOKUP('Données projet'!$B$15,Paramètres!$A$1:$I$89,5,0)</f>
        <v>56.831895319868664</v>
      </c>
      <c r="EL19" s="13">
        <f t="shared" si="45"/>
        <v>16.364761474967661</v>
      </c>
      <c r="EM19" s="20">
        <f t="shared" si="19"/>
        <v>127.4841772510066</v>
      </c>
      <c r="EN19" s="59">
        <f t="shared" si="20"/>
        <v>420.81751058433991</v>
      </c>
      <c r="EO19" s="59">
        <f ca="1">AVERAGE(OFFSET($EN$3,0,0,'Données projet'!$E$15+1,1))-AVERAGE(OFFSET($H$3,0,0,'Données projet'!$E$15+1,1))</f>
        <v>200.15574321350221</v>
      </c>
      <c r="EP19" s="59">
        <f t="shared" si="46"/>
        <v>200.70728852570426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4.0628205128205126</v>
      </c>
      <c r="FE19" s="12">
        <f>IF('Données projet'!$A$218&gt;35,FE18+FD19-FM18,IF(A19&lt;'Données projet'!$A$218,$FB$205^A19,IF(A19='Données projet'!$A$218,'Données projet'!$B$218,FE18+FD19-FM18)))</f>
        <v>12.957048229201293</v>
      </c>
      <c r="FF19" s="17">
        <f>FE19*VLOOKUP('Données projet'!$B$16,Paramètres!$A$1:$I$89,3,0)*VLOOKUP('Données projet'!$B$16,Paramètres!$A$1:$I$89,5,0)</f>
        <v>13.946966713912271</v>
      </c>
      <c r="FG19" s="13">
        <f t="shared" si="47"/>
        <v>4.7294907967789648</v>
      </c>
      <c r="FH19" s="20">
        <f t="shared" si="22"/>
        <v>32.528163497787233</v>
      </c>
      <c r="FI19" s="59">
        <f t="shared" si="23"/>
        <v>325.86149683112058</v>
      </c>
      <c r="FJ19" s="59">
        <f ca="1">AVERAGE(OFFSET($FI$3,0,0,'Données projet'!$E$16+1,1))-AVERAGE(OFFSET($H$3,0,0,'Données projet'!$E$16+1,1))</f>
        <v>347.17049316703486</v>
      </c>
      <c r="FK19" s="59">
        <f t="shared" si="48"/>
        <v>255.45365487683489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7">
        <f t="shared" si="1"/>
        <v>312.20618902448649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464.14076288010489</v>
      </c>
      <c r="S20" s="59">
        <f ca="1">AVERAGE(OFFSET($R$3,0,0,'Données projet'!$E$9+1,1))-AVERAGE(OFFSET($H$3,0,0,'Données projet'!$E$9+1,1))</f>
        <v>266.02599413192075</v>
      </c>
      <c r="T20" s="59">
        <f t="shared" si="34"/>
        <v>332.94146254783254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4.0628205128205126</v>
      </c>
      <c r="AI20" s="13">
        <f>IF('Données projet'!$A$62&gt;35,AI19+AH20-AQ19,IF(A20&lt;'Données projet'!$A$62,$AF$205^A20,IF(A20='Données projet'!$A$62,'Données projet'!$B$62,AI19+AH20-AQ19)))</f>
        <v>15.206795479203771</v>
      </c>
      <c r="AJ20" s="13">
        <f>AI20*VLOOKUP('Données projet'!$B$10,Paramètres!$A$1:$I$89,3,0)*VLOOKUP('Données projet'!$B$10,Paramètres!$A$1:$I$89,5,0)</f>
        <v>13.759108549583573</v>
      </c>
      <c r="AK20" s="13">
        <f t="shared" si="35"/>
        <v>4.6731578539740832</v>
      </c>
      <c r="AL20" s="20">
        <f t="shared" si="4"/>
        <v>32.102863986196247</v>
      </c>
      <c r="AM20" s="59">
        <f t="shared" si="5"/>
        <v>325.43619731952958</v>
      </c>
      <c r="AN20" s="59">
        <f ca="1">AVERAGE(OFFSET($AM$3,0,0,'Données projet'!$E$10+1,1))-AVERAGE(OFFSET($H$3,0,0,'Données projet'!$E$10+1,1))</f>
        <v>282.13645166362238</v>
      </c>
      <c r="AO20" s="59">
        <f t="shared" si="36"/>
        <v>210.5345332979457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8.5743589743589741</v>
      </c>
      <c r="BD20" s="12">
        <f>IF('Données projet'!$A$88&gt;35,BD19+BC20-BL19,IF(A20&lt;'Données projet'!$A$88,$BA$205^A20,IF(A20='Données projet'!$A$88,'Données projet'!$B$88,BD19+BC20-BL19)))</f>
        <v>66.960234321725892</v>
      </c>
      <c r="BE20" s="13">
        <f>BD20*VLOOKUP('Données projet'!$B$11,Paramètres!$A$1:$I$89,3,0)*VLOOKUP('Données projet'!$B$11,Paramètres!$A$1:$I$89,5,0)</f>
        <v>37.430770985844774</v>
      </c>
      <c r="BF20" s="13">
        <f t="shared" si="37"/>
        <v>11.315063834306788</v>
      </c>
      <c r="BG20" s="20">
        <f t="shared" si="7"/>
        <v>84.898995645097301</v>
      </c>
      <c r="BH20" s="59">
        <f t="shared" si="8"/>
        <v>378.23232897843059</v>
      </c>
      <c r="BI20" s="59">
        <f ca="1">AVERAGE(OFFSET($BH$3,0,0,'Données projet'!$E$11+1,1))-AVERAGE(OFFSET($H$3,0,0,'Données projet'!$E$11+1,1))</f>
        <v>254.6443970237226</v>
      </c>
      <c r="BJ20" s="59">
        <f t="shared" si="38"/>
        <v>231.81667808018062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2.9235042735042733</v>
      </c>
      <c r="BY20" s="12">
        <f>IF('Données projet'!$A$114&gt;35,BY19+BX20-CG19,IF(A20&lt;'Données projet'!$A$114,$BV$205^A20,IF(A20='Données projet'!$A$114,'Données projet'!$B$114,BY19+BX20-CG19)))</f>
        <v>12.619655315413629</v>
      </c>
      <c r="BZ20" s="13">
        <f>BY20*VLOOKUP('Données projet'!$B$12,Paramètres!$A$1:$I$89,3,0)*VLOOKUP('Données projet'!$B$12,Paramètres!$A$1:$I$89,5,0)</f>
        <v>12.796330489829421</v>
      </c>
      <c r="CA20" s="13">
        <f t="shared" si="39"/>
        <v>4.383013080656192</v>
      </c>
      <c r="CB20" s="20">
        <f t="shared" si="10"/>
        <v>29.92069005192911</v>
      </c>
      <c r="CC20" s="59">
        <f t="shared" si="11"/>
        <v>323.25402338526243</v>
      </c>
      <c r="CD20" s="59">
        <f ca="1">AVERAGE(OFFSET($CC$3,0,0,'Données projet'!$E$12+1,1))-AVERAGE(OFFSET($H$3,0,0,'Données projet'!$E$12+1,1))</f>
        <v>264.08050363622294</v>
      </c>
      <c r="CE20" s="59">
        <f t="shared" si="40"/>
        <v>164.48884512322883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8.5743589743589741</v>
      </c>
      <c r="CT20" s="12">
        <f>IF('Données projet'!$A$140&gt;35,CT19+CS20-DB19,IF(A20&lt;'Données projet'!$A$140,$CQ$205^A20,IF(A20='Données projet'!$A$140,'Données projet'!$B$140,CT19+CS20-DB19)))</f>
        <v>66.960234321725892</v>
      </c>
      <c r="CU20" s="17">
        <f>CT20*VLOOKUP('Données projet'!$B$13,Paramètres!$A$1:$I$89,3,0)*VLOOKUP('Données projet'!$B$13,Paramètres!$A$1:$I$89,5,0)</f>
        <v>29.596423570202845</v>
      </c>
      <c r="CV20" s="13">
        <f t="shared" si="41"/>
        <v>9.1947315090207855</v>
      </c>
      <c r="CW20" s="20">
        <f t="shared" si="13"/>
        <v>67.561261762981147</v>
      </c>
      <c r="CX20" s="59">
        <f t="shared" si="14"/>
        <v>360.89459509631445</v>
      </c>
      <c r="CY20" s="59">
        <f ca="1">AVERAGE(OFFSET($CX$3,0,0,'Données projet'!$E$13+1,1))-AVERAGE(OFFSET($H$3,0,0,'Données projet'!$E$13+1,1))</f>
        <v>194.7221767407824</v>
      </c>
      <c r="CZ20" s="59">
        <f t="shared" si="42"/>
        <v>177.6550559568646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7.2264102564102561</v>
      </c>
      <c r="DO20" s="12">
        <f>IF('Données projet'!$A$166&gt;35,DO19+DN20-DW19,IF(A20&lt;'Données projet'!$A$166,$DL$205^A20,IF(A20='Données projet'!$A$166,'Données projet'!$B$166,DO19+DN20-DW19)))</f>
        <v>21.074544276434004</v>
      </c>
      <c r="DP20" s="17">
        <f>DO20*VLOOKUP('Données projet'!$B$14,Paramètres!$A$1:$I$89,3,0)*VLOOKUP('Données projet'!$B$14,Paramètres!$A$1:$I$89,5,0)</f>
        <v>9.8628867213711136</v>
      </c>
      <c r="DQ20" s="13">
        <f t="shared" si="43"/>
        <v>3.4822026296536168</v>
      </c>
      <c r="DR20" s="20">
        <f t="shared" si="16"/>
        <v>23.24269728636807</v>
      </c>
      <c r="DS20" s="59">
        <f t="shared" si="17"/>
        <v>316.57603061970138</v>
      </c>
      <c r="DT20" s="59">
        <f ca="1">AVERAGE(OFFSET($DS$3,0,0,'Données projet'!$E$14+1,1))-AVERAGE(OFFSET($H$3,0,0,'Données projet'!$E$14+1,1))</f>
        <v>207.25176714718668</v>
      </c>
      <c r="DU20" s="59">
        <f t="shared" si="44"/>
        <v>191.53228014642559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>
        <f>VLOOKUP(A20,'Données projet'!$A$191:$I$211,2,0)</f>
        <v>126.33076923076922</v>
      </c>
      <c r="EH20" s="12">
        <f>VLOOKUP(A20,'Données projet'!$A$191:$I$211,9,0)</f>
        <v>7.4312217194570129</v>
      </c>
      <c r="EI20" s="12">
        <f t="array" ref="EI20">INDEX(EH:EH,MIN(IF(ISNUMBER(EH20:EH216),ROW(EH20:EH216),"")))</f>
        <v>7.4312217194570129</v>
      </c>
      <c r="EJ20" s="12">
        <f>IF('Données projet'!$A$192&gt;35,EJ19+EI20-ER19,IF(A20&lt;'Données projet'!$A$192,$EG$205^A20,IF(A20='Données projet'!$A$192,'Données projet'!$B$192,EJ19+EI20-ER19)))</f>
        <v>126.33076923076922</v>
      </c>
      <c r="EK20" s="17">
        <f>EJ20*VLOOKUP('Données projet'!$B$15,Paramètres!$A$1:$I$89,3,0)*VLOOKUP('Données projet'!$B$15,Paramètres!$A$1:$I$89,5,0)</f>
        <v>75.5458</v>
      </c>
      <c r="EL20" s="13">
        <f t="shared" si="45"/>
        <v>21.044504648353485</v>
      </c>
      <c r="EM20" s="20">
        <f t="shared" si="19"/>
        <v>168.22811392921565</v>
      </c>
      <c r="EN20" s="59">
        <f t="shared" si="20"/>
        <v>461.561447262549</v>
      </c>
      <c r="EO20" s="59">
        <f ca="1">AVERAGE(OFFSET($EN$3,0,0,'Données projet'!$E$15+1,1))-AVERAGE(OFFSET($H$3,0,0,'Données projet'!$E$15+1,1))</f>
        <v>200.15574321350221</v>
      </c>
      <c r="EP20" s="59">
        <f t="shared" si="46"/>
        <v>200.70728852570426</v>
      </c>
      <c r="EQ20" s="15">
        <f>IF(ISNA(VLOOKUP(A20,'Données projet'!$A$191:$I$211,3,0)),0,VLOOKUP(A20,'Données projet'!$A$191:$I$211,3,0))</f>
        <v>1</v>
      </c>
      <c r="ER20" s="15">
        <f>IF(ISNA(VLOOKUP(A20,'Données projet'!$A$191:$I$211,4,0)),0,VLOOKUP(A20,'Données projet'!$A$191:$I$211,4,0))</f>
        <v>42.084615384615383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0.25200000000000006</v>
      </c>
      <c r="EU20" s="16">
        <f>IF(ISNA(VLOOKUP(A20,'Données projet'!$A$191:$I$211,7,0)),0%,VLOOKUP(A20,'Données projet'!$A$191:$I$211,7,0))</f>
        <v>0.44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8.3799241086489591</v>
      </c>
      <c r="EX20" s="21">
        <f>EXP(-LN(2)/2)*EX19+(1-EXP(-LN(2)/2))/(LN(2)/2)*ER20*EU20*VLOOKUP('Données projet'!$B$15,Paramètres!$A$1:$I$89,3,0)*0.475*44/12</f>
        <v>12.537552429129006</v>
      </c>
      <c r="EY20" s="22">
        <f t="shared" si="21"/>
        <v>20.917476537777965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4.0628205128205126</v>
      </c>
      <c r="FE20" s="12">
        <f>IF('Données projet'!$A$218&gt;35,FE19+FD20-FM19,IF(A20&lt;'Données projet'!$A$218,$FB$205^A20,IF(A20='Données projet'!$A$218,'Données projet'!$B$218,FE19+FD20-FM19)))</f>
        <v>15.206795479203771</v>
      </c>
      <c r="FF20" s="17">
        <f>FE20*VLOOKUP('Données projet'!$B$16,Paramètres!$A$1:$I$89,3,0)*VLOOKUP('Données projet'!$B$16,Paramètres!$A$1:$I$89,5,0)</f>
        <v>16.368594653814938</v>
      </c>
      <c r="FG20" s="13">
        <f t="shared" si="47"/>
        <v>5.4481936125637764</v>
      </c>
      <c r="FH20" s="20">
        <f t="shared" si="22"/>
        <v>37.997572897276264</v>
      </c>
      <c r="FI20" s="59">
        <f t="shared" si="23"/>
        <v>331.33090623060957</v>
      </c>
      <c r="FJ20" s="59">
        <f ca="1">AVERAGE(OFFSET($FI$3,0,0,'Données projet'!$E$16+1,1))-AVERAGE(OFFSET($H$3,0,0,'Données projet'!$E$16+1,1))</f>
        <v>347.17049316703486</v>
      </c>
      <c r="FK20" s="59">
        <f t="shared" si="48"/>
        <v>255.45365487683489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7">
        <f t="shared" si="1"/>
        <v>313.28113745583755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488.05737297484035</v>
      </c>
      <c r="S21" s="59">
        <f ca="1">AVERAGE(OFFSET($R$3,0,0,'Données projet'!$E$9+1,1))-AVERAGE(OFFSET($H$3,0,0,'Données projet'!$E$9+1,1))</f>
        <v>266.02599413192075</v>
      </c>
      <c r="T21" s="59">
        <f t="shared" si="34"/>
        <v>332.94146254783254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4.0628205128205126</v>
      </c>
      <c r="AI21" s="13">
        <f>IF('Données projet'!$A$62&gt;35,AI20+AH21-AQ20,IF(A21&lt;'Données projet'!$A$62,$AF$205^A21,IF(A21='Données projet'!$A$62,'Données projet'!$B$62,AI20+AH21-AQ20)))</f>
        <v>17.847168942782186</v>
      </c>
      <c r="AJ21" s="13">
        <f>AI21*VLOOKUP('Données projet'!$B$10,Paramètres!$A$1:$I$89,3,0)*VLOOKUP('Données projet'!$B$10,Paramètres!$A$1:$I$89,5,0)</f>
        <v>16.148118459429323</v>
      </c>
      <c r="AK21" s="13">
        <f t="shared" si="35"/>
        <v>5.3833002038747271</v>
      </c>
      <c r="AL21" s="20">
        <f t="shared" si="4"/>
        <v>37.500554171921223</v>
      </c>
      <c r="AM21" s="59">
        <f t="shared" si="5"/>
        <v>330.83388750525455</v>
      </c>
      <c r="AN21" s="59">
        <f ca="1">AVERAGE(OFFSET($AM$3,0,0,'Données projet'!$E$10+1,1))-AVERAGE(OFFSET($H$3,0,0,'Données projet'!$E$10+1,1))</f>
        <v>282.13645166362238</v>
      </c>
      <c r="AO21" s="59">
        <f t="shared" si="36"/>
        <v>210.5345332979457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8.5743589743589741</v>
      </c>
      <c r="BD21" s="12">
        <f>IF('Données projet'!$A$88&gt;35,BD20+BC21-BL20,IF(A21&lt;'Données projet'!$A$88,$BA$205^A21,IF(A21='Données projet'!$A$88,'Données projet'!$B$88,BD20+BC21-BL20)))</f>
        <v>85.746808132075927</v>
      </c>
      <c r="BE21" s="13">
        <f>BD21*VLOOKUP('Données projet'!$B$11,Paramètres!$A$1:$I$89,3,0)*VLOOKUP('Données projet'!$B$11,Paramètres!$A$1:$I$89,5,0)</f>
        <v>47.932465745830442</v>
      </c>
      <c r="BF21" s="13">
        <f t="shared" si="37"/>
        <v>14.078504699788656</v>
      </c>
      <c r="BG21" s="20">
        <f t="shared" si="7"/>
        <v>108.00244019278658</v>
      </c>
      <c r="BH21" s="59">
        <f t="shared" si="8"/>
        <v>401.33577352611991</v>
      </c>
      <c r="BI21" s="59">
        <f ca="1">AVERAGE(OFFSET($BH$3,0,0,'Données projet'!$E$11+1,1))-AVERAGE(OFFSET($H$3,0,0,'Données projet'!$E$11+1,1))</f>
        <v>254.6443970237226</v>
      </c>
      <c r="BJ21" s="59">
        <f t="shared" si="38"/>
        <v>231.81667808018062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2.9235042735042733</v>
      </c>
      <c r="BY21" s="12">
        <f>IF('Données projet'!$A$114&gt;35,BY20+BX21-CG20,IF(A21&lt;'Données projet'!$A$114,$BV$205^A21,IF(A21='Données projet'!$A$114,'Données projet'!$B$114,BY20+BX21-CG20)))</f>
        <v>14.649236575865659</v>
      </c>
      <c r="BZ21" s="13">
        <f>BY21*VLOOKUP('Données projet'!$B$12,Paramètres!$A$1:$I$89,3,0)*VLOOKUP('Données projet'!$B$12,Paramètres!$A$1:$I$89,5,0)</f>
        <v>14.85432588792778</v>
      </c>
      <c r="CA21" s="13">
        <f t="shared" si="39"/>
        <v>5.000360656159657</v>
      </c>
      <c r="CB21" s="20">
        <f t="shared" si="10"/>
        <v>34.580245730952278</v>
      </c>
      <c r="CC21" s="59">
        <f t="shared" si="11"/>
        <v>327.91357906428561</v>
      </c>
      <c r="CD21" s="59">
        <f ca="1">AVERAGE(OFFSET($CC$3,0,0,'Données projet'!$E$12+1,1))-AVERAGE(OFFSET($H$3,0,0,'Données projet'!$E$12+1,1))</f>
        <v>264.08050363622294</v>
      </c>
      <c r="CE21" s="59">
        <f t="shared" si="40"/>
        <v>164.48884512322883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8.5743589743589741</v>
      </c>
      <c r="CT21" s="12">
        <f>IF('Données projet'!$A$140&gt;35,CT20+CS21-DB20,IF(A21&lt;'Données projet'!$A$140,$CQ$205^A21,IF(A21='Données projet'!$A$140,'Données projet'!$B$140,CT20+CS21-DB20)))</f>
        <v>85.746808132075927</v>
      </c>
      <c r="CU21" s="17">
        <f>CT21*VLOOKUP('Données projet'!$B$13,Paramètres!$A$1:$I$89,3,0)*VLOOKUP('Données projet'!$B$13,Paramètres!$A$1:$I$89,5,0)</f>
        <v>37.900089194377564</v>
      </c>
      <c r="CV21" s="13">
        <f t="shared" si="41"/>
        <v>11.44033057688663</v>
      </c>
      <c r="CW21" s="20">
        <f t="shared" si="13"/>
        <v>85.93456443495181</v>
      </c>
      <c r="CX21" s="59">
        <f t="shared" si="14"/>
        <v>379.26789776828514</v>
      </c>
      <c r="CY21" s="59">
        <f ca="1">AVERAGE(OFFSET($CX$3,0,0,'Données projet'!$E$13+1,1))-AVERAGE(OFFSET($H$3,0,0,'Données projet'!$E$13+1,1))</f>
        <v>194.7221767407824</v>
      </c>
      <c r="CZ21" s="59">
        <f t="shared" si="42"/>
        <v>177.6550559568646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7.2264102564102561</v>
      </c>
      <c r="DO21" s="12">
        <f>IF('Données projet'!$A$166&gt;35,DO20+DN21-DW20,IF(A21&lt;'Données projet'!$A$166,$DL$205^A21,IF(A21='Données projet'!$A$166,'Données projet'!$B$166,DO20+DN21-DW20)))</f>
        <v>25.213104335913162</v>
      </c>
      <c r="DP21" s="17">
        <f>DO21*VLOOKUP('Données projet'!$B$14,Paramètres!$A$1:$I$89,3,0)*VLOOKUP('Données projet'!$B$14,Paramètres!$A$1:$I$89,5,0)</f>
        <v>11.799732829207361</v>
      </c>
      <c r="DQ21" s="13">
        <f t="shared" si="43"/>
        <v>4.079982665155371</v>
      </c>
      <c r="DR21" s="20">
        <f t="shared" si="16"/>
        <v>27.657171152681755</v>
      </c>
      <c r="DS21" s="59">
        <f t="shared" si="17"/>
        <v>320.99050448601508</v>
      </c>
      <c r="DT21" s="59">
        <f ca="1">AVERAGE(OFFSET($DS$3,0,0,'Données projet'!$E$14+1,1))-AVERAGE(OFFSET($H$3,0,0,'Données projet'!$E$14+1,1))</f>
        <v>207.25176714718668</v>
      </c>
      <c r="DU21" s="59">
        <f t="shared" si="44"/>
        <v>191.53228014642559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14.926923076923075</v>
      </c>
      <c r="EJ21" s="12">
        <f>IF('Données projet'!$A$192&gt;35,EJ20+EI21-ER20,IF(A21&lt;'Données projet'!$A$192,$EG$205^A21,IF(A21='Données projet'!$A$192,'Données projet'!$B$192,EJ20+EI21-ER20)))</f>
        <v>99.173076923076934</v>
      </c>
      <c r="EK21" s="17">
        <f>EJ21*VLOOKUP('Données projet'!$B$15,Paramètres!$A$1:$I$89,3,0)*VLOOKUP('Données projet'!$B$15,Paramètres!$A$1:$I$89,5,0)</f>
        <v>59.305500000000016</v>
      </c>
      <c r="EL21" s="13">
        <f t="shared" si="45"/>
        <v>16.992558820122873</v>
      </c>
      <c r="EM21" s="20">
        <f t="shared" si="19"/>
        <v>132.88578577838067</v>
      </c>
      <c r="EN21" s="59">
        <f t="shared" si="20"/>
        <v>426.21911911171401</v>
      </c>
      <c r="EO21" s="59">
        <f ca="1">AVERAGE(OFFSET($EN$3,0,0,'Données projet'!$E$15+1,1))-AVERAGE(OFFSET($H$3,0,0,'Données projet'!$E$15+1,1))</f>
        <v>200.15574321350221</v>
      </c>
      <c r="EP21" s="59">
        <f t="shared" si="46"/>
        <v>200.70728852570426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8.1507746432168968</v>
      </c>
      <c r="EX21" s="21">
        <f>EXP(-LN(2)/2)*EX20+(1-EXP(-LN(2)/2))/(LN(2)/2)*ER21*EU21*VLOOKUP('Données projet'!$B$15,Paramètres!$A$1:$I$89,3,0)*0.475*44/12</f>
        <v>8.8653883421189921</v>
      </c>
      <c r="EY21" s="22">
        <f t="shared" si="21"/>
        <v>17.016162985335889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4.0628205128205126</v>
      </c>
      <c r="FE21" s="12">
        <f>IF('Données projet'!$A$218&gt;35,FE20+FD21-FM20,IF(A21&lt;'Données projet'!$A$218,$FB$205^A21,IF(A21='Données projet'!$A$218,'Données projet'!$B$218,FE20+FD21-FM20)))</f>
        <v>17.847168942782186</v>
      </c>
      <c r="FF21" s="17">
        <f>FE21*VLOOKUP('Données projet'!$B$16,Paramètres!$A$1:$I$89,3,0)*VLOOKUP('Données projet'!$B$16,Paramètres!$A$1:$I$89,5,0)</f>
        <v>19.210692650010746</v>
      </c>
      <c r="FG21" s="13">
        <f t="shared" si="47"/>
        <v>6.2761119358126942</v>
      </c>
      <c r="FH21" s="20">
        <f t="shared" si="22"/>
        <v>44.389517986975818</v>
      </c>
      <c r="FI21" s="59">
        <f t="shared" si="23"/>
        <v>337.72285132030913</v>
      </c>
      <c r="FJ21" s="59">
        <f ca="1">AVERAGE(OFFSET($FI$3,0,0,'Données projet'!$E$16+1,1))-AVERAGE(OFFSET($H$3,0,0,'Données projet'!$E$16+1,1))</f>
        <v>347.17049316703486</v>
      </c>
      <c r="FK21" s="59">
        <f t="shared" si="48"/>
        <v>255.45365487683489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7">
        <f t="shared" si="1"/>
        <v>314.35441004548358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511.90566820792992</v>
      </c>
      <c r="S22" s="59">
        <f ca="1">AVERAGE(OFFSET($R$3,0,0,'Données projet'!$E$9+1,1))-AVERAGE(OFFSET($H$3,0,0,'Données projet'!$E$9+1,1))</f>
        <v>266.02599413192075</v>
      </c>
      <c r="T22" s="59">
        <f t="shared" si="34"/>
        <v>332.94146254783254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4.0628205128205126</v>
      </c>
      <c r="AI22" s="13">
        <f>IF('Données projet'!$A$62&gt;35,AI21+AH22-AQ21,IF(A22&lt;'Données projet'!$A$62,$AF$205^A22,IF(A22='Données projet'!$A$62,'Données projet'!$B$62,AI21+AH22-AQ21)))</f>
        <v>20.945993500590358</v>
      </c>
      <c r="AJ22" s="13">
        <f>AI22*VLOOKUP('Données projet'!$B$10,Paramètres!$A$1:$I$89,3,0)*VLOOKUP('Données projet'!$B$10,Paramètres!$A$1:$I$89,5,0)</f>
        <v>18.951934919334153</v>
      </c>
      <c r="AK22" s="13">
        <f t="shared" si="35"/>
        <v>6.2013571958398481</v>
      </c>
      <c r="AL22" s="20">
        <f t="shared" si="4"/>
        <v>43.808650433928051</v>
      </c>
      <c r="AM22" s="59">
        <f t="shared" si="5"/>
        <v>337.14198376726137</v>
      </c>
      <c r="AN22" s="59">
        <f ca="1">AVERAGE(OFFSET($AM$3,0,0,'Données projet'!$E$10+1,1))-AVERAGE(OFFSET($H$3,0,0,'Données projet'!$E$10+1,1))</f>
        <v>282.13645166362238</v>
      </c>
      <c r="AO22" s="59">
        <f t="shared" si="36"/>
        <v>210.5345332979457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8.5743589743589741</v>
      </c>
      <c r="BD22" s="12">
        <f>IF('Données projet'!$A$88&gt;35,BD21+BC22-BL21,IF(A22&lt;'Données projet'!$A$88,$BA$205^A22,IF(A22='Données projet'!$A$88,'Données projet'!$B$88,BD21+BC22-BL21)))</f>
        <v>109.80420214051502</v>
      </c>
      <c r="BE22" s="13">
        <f>BD22*VLOOKUP('Données projet'!$B$11,Paramètres!$A$1:$I$89,3,0)*VLOOKUP('Données projet'!$B$11,Paramètres!$A$1:$I$89,5,0)</f>
        <v>61.380548996547894</v>
      </c>
      <c r="BF22" s="13">
        <f t="shared" si="37"/>
        <v>17.516851648775006</v>
      </c>
      <c r="BG22" s="20">
        <f t="shared" si="7"/>
        <v>137.41297279060404</v>
      </c>
      <c r="BH22" s="59">
        <f t="shared" si="8"/>
        <v>430.74630612393736</v>
      </c>
      <c r="BI22" s="59">
        <f ca="1">AVERAGE(OFFSET($BH$3,0,0,'Données projet'!$E$11+1,1))-AVERAGE(OFFSET($H$3,0,0,'Données projet'!$E$11+1,1))</f>
        <v>254.6443970237226</v>
      </c>
      <c r="BJ22" s="59">
        <f t="shared" si="38"/>
        <v>231.81667808018062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2.9235042735042733</v>
      </c>
      <c r="BY22" s="12">
        <f>IF('Données projet'!$A$114&gt;35,BY21+BX22-CG21,IF(A22&lt;'Données projet'!$A$114,$BV$205^A22,IF(A22='Données projet'!$A$114,'Données projet'!$B$114,BY21+BX22-CG21)))</f>
        <v>17.005229294461625</v>
      </c>
      <c r="BZ22" s="13">
        <f>BY22*VLOOKUP('Données projet'!$B$12,Paramètres!$A$1:$I$89,3,0)*VLOOKUP('Données projet'!$B$12,Paramètres!$A$1:$I$89,5,0)</f>
        <v>17.24330250458409</v>
      </c>
      <c r="CA22" s="13">
        <f t="shared" si="39"/>
        <v>5.7046616634614491</v>
      </c>
      <c r="CB22" s="20">
        <f t="shared" si="10"/>
        <v>39.967704259345972</v>
      </c>
      <c r="CC22" s="59">
        <f t="shared" si="11"/>
        <v>333.30103759267928</v>
      </c>
      <c r="CD22" s="59">
        <f ca="1">AVERAGE(OFFSET($CC$3,0,0,'Données projet'!$E$12+1,1))-AVERAGE(OFFSET($H$3,0,0,'Données projet'!$E$12+1,1))</f>
        <v>264.08050363622294</v>
      </c>
      <c r="CE22" s="59">
        <f t="shared" si="40"/>
        <v>164.48884512322883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8.5743589743589741</v>
      </c>
      <c r="CT22" s="12">
        <f>IF('Données projet'!$A$140&gt;35,CT21+CS22-DB21,IF(A22&lt;'Données projet'!$A$140,$CQ$205^A22,IF(A22='Données projet'!$A$140,'Données projet'!$B$140,CT21+CS22-DB21)))</f>
        <v>109.80420214051502</v>
      </c>
      <c r="CU22" s="17">
        <f>CT22*VLOOKUP('Données projet'!$B$13,Paramètres!$A$1:$I$89,3,0)*VLOOKUP('Données projet'!$B$13,Paramètres!$A$1:$I$89,5,0)</f>
        <v>48.533457346107639</v>
      </c>
      <c r="CV22" s="13">
        <f t="shared" si="41"/>
        <v>14.234364927354532</v>
      </c>
      <c r="CW22" s="20">
        <f t="shared" si="13"/>
        <v>109.32062379294662</v>
      </c>
      <c r="CX22" s="59">
        <f t="shared" si="14"/>
        <v>402.65395712627992</v>
      </c>
      <c r="CY22" s="59">
        <f ca="1">AVERAGE(OFFSET($CX$3,0,0,'Données projet'!$E$13+1,1))-AVERAGE(OFFSET($H$3,0,0,'Données projet'!$E$13+1,1))</f>
        <v>194.7221767407824</v>
      </c>
      <c r="CZ22" s="59">
        <f t="shared" si="42"/>
        <v>177.6550559568646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7.2264102564102561</v>
      </c>
      <c r="DO22" s="12">
        <f>IF('Données projet'!$A$166&gt;35,DO21+DN22-DW21,IF(A22&lt;'Données projet'!$A$166,$DL$205^A22,IF(A22='Données projet'!$A$166,'Données projet'!$B$166,DO21+DN22-DW21)))</f>
        <v>30.164383244315122</v>
      </c>
      <c r="DP22" s="17">
        <f>DO22*VLOOKUP('Données projet'!$B$14,Paramètres!$A$1:$I$89,3,0)*VLOOKUP('Données projet'!$B$14,Paramètres!$A$1:$I$89,5,0)</f>
        <v>14.116931358339476</v>
      </c>
      <c r="DQ22" s="13">
        <f t="shared" si="43"/>
        <v>4.7803819359082427</v>
      </c>
      <c r="DR22" s="20">
        <f t="shared" si="16"/>
        <v>32.912820654148106</v>
      </c>
      <c r="DS22" s="59">
        <f t="shared" si="17"/>
        <v>326.24615398748142</v>
      </c>
      <c r="DT22" s="59">
        <f ca="1">AVERAGE(OFFSET($DS$3,0,0,'Données projet'!$E$14+1,1))-AVERAGE(OFFSET($H$3,0,0,'Données projet'!$E$14+1,1))</f>
        <v>207.25176714718668</v>
      </c>
      <c r="DU22" s="59">
        <f t="shared" si="44"/>
        <v>191.53228014642559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14.926923076923075</v>
      </c>
      <c r="EJ22" s="12">
        <f>IF('Données projet'!$A$192&gt;35,EJ21+EI22-ER21,IF(A22&lt;'Données projet'!$A$192,$EG$205^A22,IF(A22='Données projet'!$A$192,'Données projet'!$B$192,EJ21+EI22-ER21)))</f>
        <v>114.10000000000001</v>
      </c>
      <c r="EK22" s="17">
        <f>EJ22*VLOOKUP('Données projet'!$B$15,Paramètres!$A$1:$I$89,3,0)*VLOOKUP('Données projet'!$B$15,Paramètres!$A$1:$I$89,5,0)</f>
        <v>68.231800000000007</v>
      </c>
      <c r="EL22" s="13">
        <f t="shared" si="45"/>
        <v>19.233699497264624</v>
      </c>
      <c r="EM22" s="20">
        <f t="shared" si="19"/>
        <v>152.3357449577359</v>
      </c>
      <c r="EN22" s="59">
        <f t="shared" si="20"/>
        <v>445.66907829106924</v>
      </c>
      <c r="EO22" s="59">
        <f ca="1">AVERAGE(OFFSET($EN$3,0,0,'Données projet'!$E$15+1,1))-AVERAGE(OFFSET($H$3,0,0,'Données projet'!$E$15+1,1))</f>
        <v>200.15574321350221</v>
      </c>
      <c r="EP22" s="59">
        <f t="shared" si="46"/>
        <v>200.70728852570426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7.9278912819675211</v>
      </c>
      <c r="EX22" s="21">
        <f>EXP(-LN(2)/2)*EX21+(1-EXP(-LN(2)/2))/(LN(2)/2)*ER22*EU22*VLOOKUP('Données projet'!$B$15,Paramètres!$A$1:$I$89,3,0)*0.475*44/12</f>
        <v>6.2687762145645038</v>
      </c>
      <c r="EY22" s="22">
        <f t="shared" si="21"/>
        <v>14.196667496532026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4.0628205128205126</v>
      </c>
      <c r="FE22" s="12">
        <f>IF('Données projet'!$A$218&gt;35,FE21+FD22-FM21,IF(A22&lt;'Données projet'!$A$218,$FB$205^A22,IF(A22='Données projet'!$A$218,'Données projet'!$B$218,FE21+FD22-FM21)))</f>
        <v>20.945993500590358</v>
      </c>
      <c r="FF22" s="17">
        <f>FE22*VLOOKUP('Données projet'!$B$16,Paramètres!$A$1:$I$89,3,0)*VLOOKUP('Données projet'!$B$16,Paramètres!$A$1:$I$89,5,0)</f>
        <v>22.546267404035461</v>
      </c>
      <c r="FG22" s="13">
        <f t="shared" si="47"/>
        <v>7.2298423719774645</v>
      </c>
      <c r="FH22" s="20">
        <f t="shared" si="22"/>
        <v>51.860057859889174</v>
      </c>
      <c r="FI22" s="59">
        <f t="shared" si="23"/>
        <v>345.19339119322251</v>
      </c>
      <c r="FJ22" s="59">
        <f ca="1">AVERAGE(OFFSET($FI$3,0,0,'Données projet'!$E$16+1,1))-AVERAGE(OFFSET($H$3,0,0,'Données projet'!$E$16+1,1))</f>
        <v>347.17049316703486</v>
      </c>
      <c r="FK22" s="59">
        <f t="shared" si="48"/>
        <v>255.45365487683489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7">
        <f t="shared" si="1"/>
        <v>315.42610505438688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535.69415235187512</v>
      </c>
      <c r="S23" s="59">
        <f ca="1">AVERAGE(OFFSET($R$3,0,0,'Données projet'!$E$9+1,1))-AVERAGE(OFFSET($H$3,0,0,'Données projet'!$E$9+1,1))</f>
        <v>266.02599413192075</v>
      </c>
      <c r="T23" s="59">
        <f t="shared" si="34"/>
        <v>332.94146254783254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4.0628205128205126</v>
      </c>
      <c r="AI23" s="13">
        <f>IF('Données projet'!$A$62&gt;35,AI22+AH23-AQ22,IF(A23&lt;'Données projet'!$A$62,$AF$205^A23,IF(A23='Données projet'!$A$62,'Données projet'!$B$62,AI22+AH23-AQ22)))</f>
        <v>24.582870545650774</v>
      </c>
      <c r="AJ23" s="13">
        <f>AI23*VLOOKUP('Données projet'!$B$10,Paramètres!$A$1:$I$89,3,0)*VLOOKUP('Données projet'!$B$10,Paramètres!$A$1:$I$89,5,0)</f>
        <v>22.242581269704818</v>
      </c>
      <c r="AK23" s="13">
        <f t="shared" si="35"/>
        <v>7.1437277532311274</v>
      </c>
      <c r="AL23" s="20">
        <f t="shared" si="4"/>
        <v>51.181154881613445</v>
      </c>
      <c r="AM23" s="59">
        <f t="shared" si="5"/>
        <v>344.51448821494677</v>
      </c>
      <c r="AN23" s="59">
        <f ca="1">AVERAGE(OFFSET($AM$3,0,0,'Données projet'!$E$10+1,1))-AVERAGE(OFFSET($H$3,0,0,'Données projet'!$E$10+1,1))</f>
        <v>282.13645166362238</v>
      </c>
      <c r="AO23" s="59">
        <f t="shared" si="36"/>
        <v>210.5345332979457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8.5743589743589741</v>
      </c>
      <c r="BD23" s="12">
        <f>IF('Données projet'!$A$88&gt;35,BD22+BC23-BL22,IF(A23&lt;'Données projet'!$A$88,$BA$205^A23,IF(A23='Données projet'!$A$88,'Données projet'!$B$88,BD22+BC23-BL22)))</f>
        <v>140.61121422903264</v>
      </c>
      <c r="BE23" s="13">
        <f>BD23*VLOOKUP('Données projet'!$B$11,Paramètres!$A$1:$I$89,3,0)*VLOOKUP('Données projet'!$B$11,Paramètres!$A$1:$I$89,5,0)</f>
        <v>78.601668754029248</v>
      </c>
      <c r="BF23" s="13">
        <f t="shared" si="37"/>
        <v>21.794934776688162</v>
      </c>
      <c r="BG23" s="20">
        <f t="shared" si="7"/>
        <v>174.8574178159995</v>
      </c>
      <c r="BH23" s="59">
        <f t="shared" si="8"/>
        <v>468.19075114933281</v>
      </c>
      <c r="BI23" s="59">
        <f ca="1">AVERAGE(OFFSET($BH$3,0,0,'Données projet'!$E$11+1,1))-AVERAGE(OFFSET($H$3,0,0,'Données projet'!$E$11+1,1))</f>
        <v>254.6443970237226</v>
      </c>
      <c r="BJ23" s="59">
        <f t="shared" si="38"/>
        <v>231.81667808018062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2.9235042735042733</v>
      </c>
      <c r="BY23" s="12">
        <f>IF('Données projet'!$A$114&gt;35,BY22+BX23-CG22,IF(A23&lt;'Données projet'!$A$114,$BV$205^A23,IF(A23='Données projet'!$A$114,'Données projet'!$B$114,BY22+BX23-CG22)))</f>
        <v>19.740129245617538</v>
      </c>
      <c r="BZ23" s="13">
        <f>BY23*VLOOKUP('Données projet'!$B$12,Paramètres!$A$1:$I$89,3,0)*VLOOKUP('Données projet'!$B$12,Paramètres!$A$1:$I$89,5,0)</f>
        <v>20.016491055056186</v>
      </c>
      <c r="CA23" s="13">
        <f t="shared" si="39"/>
        <v>6.5081634970626938</v>
      </c>
      <c r="CB23" s="20">
        <f t="shared" si="10"/>
        <v>46.197106678273713</v>
      </c>
      <c r="CC23" s="59">
        <f t="shared" si="11"/>
        <v>339.53044001160703</v>
      </c>
      <c r="CD23" s="59">
        <f ca="1">AVERAGE(OFFSET($CC$3,0,0,'Données projet'!$E$12+1,1))-AVERAGE(OFFSET($H$3,0,0,'Données projet'!$E$12+1,1))</f>
        <v>264.08050363622294</v>
      </c>
      <c r="CE23" s="59">
        <f t="shared" si="40"/>
        <v>164.48884512322883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8.5743589743589741</v>
      </c>
      <c r="CT23" s="12">
        <f>IF('Données projet'!$A$140&gt;35,CT22+CS23-DB22,IF(A23&lt;'Données projet'!$A$140,$CQ$205^A23,IF(A23='Données projet'!$A$140,'Données projet'!$B$140,CT22+CS23-DB22)))</f>
        <v>140.61121422903264</v>
      </c>
      <c r="CU23" s="17">
        <f>CT23*VLOOKUP('Données projet'!$B$13,Paramètres!$A$1:$I$89,3,0)*VLOOKUP('Données projet'!$B$13,Paramètres!$A$1:$I$89,5,0)</f>
        <v>62.150156689232439</v>
      </c>
      <c r="CV23" s="13">
        <f t="shared" si="41"/>
        <v>17.710777107652529</v>
      </c>
      <c r="CW23" s="20">
        <f t="shared" si="13"/>
        <v>139.09112636290797</v>
      </c>
      <c r="CX23" s="59">
        <f t="shared" si="14"/>
        <v>432.42445969624129</v>
      </c>
      <c r="CY23" s="59">
        <f ca="1">AVERAGE(OFFSET($CX$3,0,0,'Données projet'!$E$13+1,1))-AVERAGE(OFFSET($H$3,0,0,'Données projet'!$E$13+1,1))</f>
        <v>194.7221767407824</v>
      </c>
      <c r="CZ23" s="59">
        <f t="shared" si="42"/>
        <v>177.6550559568646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7.2264102564102561</v>
      </c>
      <c r="DO23" s="12">
        <f>IF('Données projet'!$A$166&gt;35,DO22+DN23-DW22,IF(A23&lt;'Données projet'!$A$166,$DL$205^A23,IF(A23='Données projet'!$A$166,'Données projet'!$B$166,DO22+DN23-DW22)))</f>
        <v>36.0879804560157</v>
      </c>
      <c r="DP23" s="17">
        <f>DO23*VLOOKUP('Données projet'!$B$14,Paramètres!$A$1:$I$89,3,0)*VLOOKUP('Données projet'!$B$14,Paramètres!$A$1:$I$89,5,0)</f>
        <v>16.889174853415348</v>
      </c>
      <c r="DQ23" s="13">
        <f t="shared" si="43"/>
        <v>5.6010168004690764</v>
      </c>
      <c r="DR23" s="20">
        <f t="shared" si="16"/>
        <v>39.170417130515368</v>
      </c>
      <c r="DS23" s="59">
        <f t="shared" si="17"/>
        <v>332.50375046384869</v>
      </c>
      <c r="DT23" s="59">
        <f ca="1">AVERAGE(OFFSET($DS$3,0,0,'Données projet'!$E$14+1,1))-AVERAGE(OFFSET($H$3,0,0,'Données projet'!$E$14+1,1))</f>
        <v>207.25176714718668</v>
      </c>
      <c r="DU23" s="59">
        <f t="shared" si="44"/>
        <v>191.53228014642559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14.926923076923075</v>
      </c>
      <c r="EJ23" s="12">
        <f>IF('Données projet'!$A$192&gt;35,EJ22+EI23-ER22,IF(A23&lt;'Données projet'!$A$192,$EG$205^A23,IF(A23='Données projet'!$A$192,'Données projet'!$B$192,EJ22+EI23-ER22)))</f>
        <v>129.02692307692308</v>
      </c>
      <c r="EK23" s="17">
        <f>EJ23*VLOOKUP('Données projet'!$B$15,Paramètres!$A$1:$I$89,3,0)*VLOOKUP('Données projet'!$B$15,Paramètres!$A$1:$I$89,5,0)</f>
        <v>77.158100000000005</v>
      </c>
      <c r="EL23" s="13">
        <f t="shared" si="45"/>
        <v>21.440868838738705</v>
      </c>
      <c r="EM23" s="20">
        <f t="shared" si="19"/>
        <v>171.72653739413659</v>
      </c>
      <c r="EN23" s="59">
        <f t="shared" si="20"/>
        <v>465.0598707274699</v>
      </c>
      <c r="EO23" s="59">
        <f ca="1">AVERAGE(OFFSET($EN$3,0,0,'Données projet'!$E$15+1,1))-AVERAGE(OFFSET($H$3,0,0,'Données projet'!$E$15+1,1))</f>
        <v>200.15574321350221</v>
      </c>
      <c r="EP23" s="59">
        <f t="shared" si="46"/>
        <v>200.70728852570426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7.7111026779524359</v>
      </c>
      <c r="EX23" s="21">
        <f>EXP(-LN(2)/2)*EX22+(1-EXP(-LN(2)/2))/(LN(2)/2)*ER23*EU23*VLOOKUP('Données projet'!$B$15,Paramètres!$A$1:$I$89,3,0)*0.475*44/12</f>
        <v>4.4326941710594969</v>
      </c>
      <c r="EY23" s="22">
        <f t="shared" si="21"/>
        <v>12.143796849011933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4.0628205128205126</v>
      </c>
      <c r="FE23" s="12">
        <f>IF('Données projet'!$A$218&gt;35,FE22+FD23-FM22,IF(A23&lt;'Données projet'!$A$218,$FB$205^A23,IF(A23='Données projet'!$A$218,'Données projet'!$B$218,FE22+FD23-FM22)))</f>
        <v>24.582870545650774</v>
      </c>
      <c r="FF23" s="17">
        <f>FE23*VLOOKUP('Données projet'!$B$16,Paramètres!$A$1:$I$89,3,0)*VLOOKUP('Données projet'!$B$16,Paramètres!$A$1:$I$89,5,0)</f>
        <v>26.461001855338495</v>
      </c>
      <c r="FG23" s="13">
        <f t="shared" si="47"/>
        <v>8.3285035796405325</v>
      </c>
      <c r="FH23" s="20">
        <f t="shared" si="22"/>
        <v>60.591721965921806</v>
      </c>
      <c r="FI23" s="59">
        <f t="shared" si="23"/>
        <v>353.92505529925512</v>
      </c>
      <c r="FJ23" s="59">
        <f ca="1">AVERAGE(OFFSET($FI$3,0,0,'Données projet'!$E$16+1,1))-AVERAGE(OFFSET($H$3,0,0,'Données projet'!$E$16+1,1))</f>
        <v>347.17049316703486</v>
      </c>
      <c r="FK23" s="59">
        <f t="shared" si="48"/>
        <v>255.45365487683489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7">
        <f t="shared" si="1"/>
        <v>316.49631036234257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497.46177914245987</v>
      </c>
      <c r="S24" s="59">
        <f ca="1">AVERAGE(OFFSET($R$3,0,0,'Données projet'!$E$9+1,1))-AVERAGE(OFFSET($H$3,0,0,'Données projet'!$E$9+1,1))</f>
        <v>266.02599413192075</v>
      </c>
      <c r="T24" s="59">
        <f t="shared" si="34"/>
        <v>332.94146254783254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4.0628205128205126</v>
      </c>
      <c r="AI24" s="13">
        <f>IF('Données projet'!$A$62&gt;35,AI23+AH24-AQ23,IF(A24&lt;'Données projet'!$A$62,$AF$205^A24,IF(A24='Données projet'!$A$62,'Données projet'!$B$62,AI23+AH24-AQ23)))</f>
        <v>28.851222752799568</v>
      </c>
      <c r="AJ24" s="13">
        <f>AI24*VLOOKUP('Données projet'!$B$10,Paramètres!$A$1:$I$89,3,0)*VLOOKUP('Données projet'!$B$10,Paramètres!$A$1:$I$89,5,0)</f>
        <v>26.104586346733051</v>
      </c>
      <c r="AK24" s="13">
        <f t="shared" si="35"/>
        <v>8.2293028123778775</v>
      </c>
      <c r="AL24" s="20">
        <f t="shared" si="4"/>
        <v>59.798190285451518</v>
      </c>
      <c r="AM24" s="59">
        <f t="shared" si="5"/>
        <v>353.13152361878485</v>
      </c>
      <c r="AN24" s="59">
        <f ca="1">AVERAGE(OFFSET($AM$3,0,0,'Données projet'!$E$10+1,1))-AVERAGE(OFFSET($H$3,0,0,'Données projet'!$E$10+1,1))</f>
        <v>282.13645166362238</v>
      </c>
      <c r="AO24" s="59">
        <f t="shared" si="36"/>
        <v>210.5345332979457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>
        <f>VLOOKUP(A24,'Données projet'!$A$87:$I$107,2,0)</f>
        <v>180.06153846153845</v>
      </c>
      <c r="BB24" s="12">
        <f>VLOOKUP(A24,'Données projet'!$A$87:$I$107,9,0)</f>
        <v>8.5743589743589741</v>
      </c>
      <c r="BC24" s="12">
        <f t="array" ref="BC24">INDEX(BB:BB,MIN(IF(ISNUMBER(BB24:BB220),ROW(BB24:BB220),"")))</f>
        <v>8.5743589743589741</v>
      </c>
      <c r="BD24" s="12">
        <f>IF('Données projet'!$A$88&gt;35,BD23+BC24-BL23,IF(A24&lt;'Données projet'!$A$88,$BA$205^A24,IF(A24='Données projet'!$A$88,'Données projet'!$B$88,BD23+BC24-BL23)))</f>
        <v>180.06153846153845</v>
      </c>
      <c r="BE24" s="13">
        <f>BD24*VLOOKUP('Données projet'!$B$11,Paramètres!$A$1:$I$89,3,0)*VLOOKUP('Données projet'!$B$11,Paramètres!$A$1:$I$89,5,0)</f>
        <v>100.65439999999998</v>
      </c>
      <c r="BF24" s="13">
        <f t="shared" si="37"/>
        <v>27.117840091618859</v>
      </c>
      <c r="BG24" s="20">
        <f t="shared" si="7"/>
        <v>222.53665149290282</v>
      </c>
      <c r="BH24" s="59">
        <f t="shared" si="8"/>
        <v>515.86998482623608</v>
      </c>
      <c r="BI24" s="59">
        <f ca="1">AVERAGE(OFFSET($BH$3,0,0,'Données projet'!$E$11+1,1))-AVERAGE(OFFSET($H$3,0,0,'Données projet'!$E$11+1,1))</f>
        <v>254.6443970237226</v>
      </c>
      <c r="BJ24" s="59">
        <f t="shared" si="38"/>
        <v>231.81667808018062</v>
      </c>
      <c r="BK24" s="15">
        <f>IF(ISNA(VLOOKUP(A24,'Données projet'!$A$87:$I$107,3,0)),0,VLOOKUP(A24,'Données projet'!$A$87:$I$107,3,0))</f>
        <v>1</v>
      </c>
      <c r="BL24" s="15">
        <f>IF(ISNA(VLOOKUP(A24,'Données projet'!$A$87:$I$107,4,0)),0,VLOOKUP(A24,'Données projet'!$A$87:$I$107,4,0))</f>
        <v>61.169230769230765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0.30800000000000005</v>
      </c>
      <c r="BO24" s="16">
        <f>IF(ISNA(VLOOKUP(A24,'Données projet'!$A$87:$I$107,7,0)),0%,VLOOKUP(A24,'Données projet'!$A$87:$I$107,7,0))</f>
        <v>0.44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13.915875728661929</v>
      </c>
      <c r="BR24" s="21">
        <f>EXP(-LN(2)/2)*BR23+(1-EXP(-LN(2)/2))/(LN(2)/2)*BL24*BO24*VLOOKUP('Données projet'!$B$11,Paramètres!$A$1:$I$89,3,0)*0.475*44/12</f>
        <v>17.034643247028416</v>
      </c>
      <c r="BS24" s="22">
        <f t="shared" si="9"/>
        <v>30.950518975690343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2.9235042735042733</v>
      </c>
      <c r="BY24" s="12">
        <f>IF('Données projet'!$A$114&gt;35,BY23+BX24-CG23,IF(A24&lt;'Données projet'!$A$114,$BV$205^A24,IF(A24='Données projet'!$A$114,'Données projet'!$B$114,BY23+BX24-CG23)))</f>
        <v>22.91487494147438</v>
      </c>
      <c r="BZ24" s="13">
        <f>BY24*VLOOKUP('Données projet'!$B$12,Paramètres!$A$1:$I$89,3,0)*VLOOKUP('Données projet'!$B$12,Paramètres!$A$1:$I$89,5,0)</f>
        <v>23.235683190655024</v>
      </c>
      <c r="CA24" s="13">
        <f t="shared" si="39"/>
        <v>7.4248385974916156</v>
      </c>
      <c r="CB24" s="20">
        <f t="shared" si="10"/>
        <v>53.400408781022065</v>
      </c>
      <c r="CC24" s="59">
        <f t="shared" si="11"/>
        <v>346.73374211435538</v>
      </c>
      <c r="CD24" s="59">
        <f ca="1">AVERAGE(OFFSET($CC$3,0,0,'Données projet'!$E$12+1,1))-AVERAGE(OFFSET($H$3,0,0,'Données projet'!$E$12+1,1))</f>
        <v>264.08050363622294</v>
      </c>
      <c r="CE24" s="59">
        <f t="shared" si="40"/>
        <v>164.48884512322883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>
        <f>VLOOKUP(A24,'Données projet'!$A$139:$I$159,2,0)</f>
        <v>180.06153846153845</v>
      </c>
      <c r="CR24" s="12">
        <f>VLOOKUP(A24,'Données projet'!$A$139:$I$159,9,0)</f>
        <v>8.5743589743589741</v>
      </c>
      <c r="CS24" s="12">
        <f t="array" ref="CS24">INDEX(CR:CR,MIN(IF(ISNUMBER(CR24:CR220),ROW(CR24:CR220),"")))</f>
        <v>8.5743589743589741</v>
      </c>
      <c r="CT24" s="12">
        <f>IF('Données projet'!$A$140&gt;35,CT23+CS24-DB23,IF(A24&lt;'Données projet'!$A$140,$CQ$205^A24,IF(A24='Données projet'!$A$140,'Données projet'!$B$140,CT23+CS24-DB23)))</f>
        <v>180.06153846153845</v>
      </c>
      <c r="CU24" s="17">
        <f>CT24*VLOOKUP('Données projet'!$B$13,Paramètres!$A$1:$I$89,3,0)*VLOOKUP('Données projet'!$B$13,Paramètres!$A$1:$I$89,5,0)</f>
        <v>79.58720000000001</v>
      </c>
      <c r="CV24" s="13">
        <f t="shared" si="41"/>
        <v>22.036222013260158</v>
      </c>
      <c r="CW24" s="20">
        <f t="shared" si="13"/>
        <v>176.9941266730948</v>
      </c>
      <c r="CX24" s="59">
        <f t="shared" si="14"/>
        <v>470.32746000642811</v>
      </c>
      <c r="CY24" s="59">
        <f ca="1">AVERAGE(OFFSET($CX$3,0,0,'Données projet'!$E$13+1,1))-AVERAGE(OFFSET($H$3,0,0,'Données projet'!$E$13+1,1))</f>
        <v>194.7221767407824</v>
      </c>
      <c r="CZ24" s="59">
        <f t="shared" si="42"/>
        <v>177.6550559568646</v>
      </c>
      <c r="DA24" s="15">
        <f>IF(ISNA(VLOOKUP(A24,'Données projet'!$A$139:$I$159,3,0)),0,VLOOKUP(A24,'Données projet'!$A$139:$I$159,3,0))</f>
        <v>1</v>
      </c>
      <c r="DB24" s="15">
        <f>IF(ISNA(VLOOKUP(A24,'Données projet'!$A$139:$I$159,4,0)),0,VLOOKUP(A24,'Données projet'!$A$139:$I$159,4,0))</f>
        <v>61.169230769230765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0.30800000000000005</v>
      </c>
      <c r="DE24" s="16">
        <f>IF(ISNA(VLOOKUP(A24,'Données projet'!$A$139:$I$159,7,0)),0%,VLOOKUP(A24,'Données projet'!$A$139:$I$159,7,0))</f>
        <v>0.44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11.003250576151293</v>
      </c>
      <c r="DH24" s="21">
        <f>EXP(-LN(2)/2)*DH23+(1-EXP(-LN(2)/2))/(LN(2)/2)*DB24*DE24*VLOOKUP('Données projet'!$B$13,Paramètres!$A$1:$I$89,3,0)*0.475*44/12</f>
        <v>13.469252799975962</v>
      </c>
      <c r="DI24" s="22">
        <f t="shared" si="15"/>
        <v>24.472503376127257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7.2264102564102561</v>
      </c>
      <c r="DO24" s="12">
        <f>IF('Données projet'!$A$166&gt;35,DO23+DN24-DW23,IF(A24&lt;'Données projet'!$A$166,$DL$205^A24,IF(A24='Données projet'!$A$166,'Données projet'!$B$166,DO23+DN24-DW23)))</f>
        <v>43.17483711984115</v>
      </c>
      <c r="DP24" s="17">
        <f>DO24*VLOOKUP('Données projet'!$B$14,Paramètres!$A$1:$I$89,3,0)*VLOOKUP('Données projet'!$B$14,Paramètres!$A$1:$I$89,5,0)</f>
        <v>20.205823772085658</v>
      </c>
      <c r="DQ24" s="13">
        <f t="shared" si="43"/>
        <v>6.5625277686471071</v>
      </c>
      <c r="DR24" s="20">
        <f t="shared" si="16"/>
        <v>46.621545600109563</v>
      </c>
      <c r="DS24" s="59">
        <f t="shared" si="17"/>
        <v>339.9548789334429</v>
      </c>
      <c r="DT24" s="59">
        <f ca="1">AVERAGE(OFFSET($DS$3,0,0,'Données projet'!$E$14+1,1))-AVERAGE(OFFSET($H$3,0,0,'Données projet'!$E$14+1,1))</f>
        <v>207.25176714718668</v>
      </c>
      <c r="DU24" s="59">
        <f t="shared" si="44"/>
        <v>191.53228014642559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14.926923076923075</v>
      </c>
      <c r="EJ24" s="12">
        <f>IF('Données projet'!$A$192&gt;35,EJ23+EI24-ER23,IF(A24&lt;'Données projet'!$A$192,$EG$205^A24,IF(A24='Données projet'!$A$192,'Données projet'!$B$192,EJ23+EI24-ER23)))</f>
        <v>143.95384615384614</v>
      </c>
      <c r="EK24" s="17">
        <f>EJ24*VLOOKUP('Données projet'!$B$15,Paramètres!$A$1:$I$89,3,0)*VLOOKUP('Données projet'!$B$15,Paramètres!$A$1:$I$89,5,0)</f>
        <v>86.084400000000002</v>
      </c>
      <c r="EL24" s="13">
        <f t="shared" si="45"/>
        <v>23.618445758177199</v>
      </c>
      <c r="EM24" s="20">
        <f t="shared" si="19"/>
        <v>191.06578969549196</v>
      </c>
      <c r="EN24" s="59">
        <f t="shared" si="20"/>
        <v>484.39912302882527</v>
      </c>
      <c r="EO24" s="59">
        <f ca="1">AVERAGE(OFFSET($EN$3,0,0,'Données projet'!$E$15+1,1))-AVERAGE(OFFSET($H$3,0,0,'Données projet'!$E$15+1,1))</f>
        <v>200.15574321350221</v>
      </c>
      <c r="EP24" s="59">
        <f t="shared" si="46"/>
        <v>200.70728852570426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7.5002421697145607</v>
      </c>
      <c r="EX24" s="21">
        <f>EXP(-LN(2)/2)*EX23+(1-EXP(-LN(2)/2))/(LN(2)/2)*ER24*EU24*VLOOKUP('Données projet'!$B$15,Paramètres!$A$1:$I$89,3,0)*0.475*44/12</f>
        <v>3.1343881072822524</v>
      </c>
      <c r="EY24" s="22">
        <f t="shared" si="21"/>
        <v>10.634630276996813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4.0628205128205126</v>
      </c>
      <c r="FE24" s="12">
        <f>IF('Données projet'!$A$218&gt;35,FE23+FD24-FM23,IF(A24&lt;'Données projet'!$A$218,$FB$205^A24,IF(A24='Données projet'!$A$218,'Données projet'!$B$218,FE23+FD24-FM23)))</f>
        <v>28.851222752799568</v>
      </c>
      <c r="FF24" s="17">
        <f>FE24*VLOOKUP('Données projet'!$B$16,Paramètres!$A$1:$I$89,3,0)*VLOOKUP('Données projet'!$B$16,Paramètres!$A$1:$I$89,5,0)</f>
        <v>31.055456171113452</v>
      </c>
      <c r="FG24" s="13">
        <f t="shared" si="47"/>
        <v>9.5941195267184156</v>
      </c>
      <c r="FH24" s="20">
        <f t="shared" si="22"/>
        <v>70.798011007057156</v>
      </c>
      <c r="FI24" s="59">
        <f t="shared" si="23"/>
        <v>364.13134434039046</v>
      </c>
      <c r="FJ24" s="59">
        <f ca="1">AVERAGE(OFFSET($FI$3,0,0,'Données projet'!$E$16+1,1))-AVERAGE(OFFSET($H$3,0,0,'Données projet'!$E$16+1,1))</f>
        <v>347.17049316703486</v>
      </c>
      <c r="FK24" s="59">
        <f t="shared" si="48"/>
        <v>255.45365487683489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7">
        <f t="shared" si="1"/>
        <v>317.56510500671709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522.07005806649238</v>
      </c>
      <c r="S25" s="59">
        <f ca="1">AVERAGE(OFFSET($R$3,0,0,'Données projet'!$E$9+1,1))-AVERAGE(OFFSET($H$3,0,0,'Données projet'!$E$9+1,1))</f>
        <v>266.02599413192075</v>
      </c>
      <c r="T25" s="59">
        <f t="shared" si="34"/>
        <v>332.94146254783254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4.0628205128205126</v>
      </c>
      <c r="AI25" s="13">
        <f>IF('Données projet'!$A$62&gt;35,AI24+AH25-AQ24,IF(A25&lt;'Données projet'!$A$62,$AF$205^A25,IF(A25='Données projet'!$A$62,'Données projet'!$B$62,AI24+AH25-AQ24)))</f>
        <v>33.860693883812012</v>
      </c>
      <c r="AJ25" s="13">
        <f>AI25*VLOOKUP('Données projet'!$B$10,Paramètres!$A$1:$I$89,3,0)*VLOOKUP('Données projet'!$B$10,Paramètres!$A$1:$I$89,5,0)</f>
        <v>30.637155826073108</v>
      </c>
      <c r="AK25" s="13">
        <f t="shared" si="35"/>
        <v>9.4798440138175533</v>
      </c>
      <c r="AL25" s="20">
        <f t="shared" si="4"/>
        <v>69.870441387809549</v>
      </c>
      <c r="AM25" s="59">
        <f t="shared" si="5"/>
        <v>363.20377472114285</v>
      </c>
      <c r="AN25" s="59">
        <f ca="1">AVERAGE(OFFSET($AM$3,0,0,'Données projet'!$E$10+1,1))-AVERAGE(OFFSET($H$3,0,0,'Données projet'!$E$10+1,1))</f>
        <v>282.13645166362238</v>
      </c>
      <c r="AO25" s="59">
        <f t="shared" si="36"/>
        <v>210.5345332979457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16.687912087912089</v>
      </c>
      <c r="BD25" s="12">
        <f>IF('Données projet'!$A$88&gt;35,BD24+BC25-BL24,IF(A25&lt;'Données projet'!$A$88,$BA$205^A25,IF(A25='Données projet'!$A$88,'Données projet'!$B$88,BD24+BC25-BL24)))</f>
        <v>135.58021978021975</v>
      </c>
      <c r="BE25" s="13">
        <f>BD25*VLOOKUP('Données projet'!$B$11,Paramètres!$A$1:$I$89,3,0)*VLOOKUP('Données projet'!$B$11,Paramètres!$A$1:$I$89,5,0)</f>
        <v>75.789342857142842</v>
      </c>
      <c r="BF25" s="13">
        <f t="shared" si="37"/>
        <v>21.104439314832938</v>
      </c>
      <c r="BG25" s="20">
        <f t="shared" si="7"/>
        <v>168.75667061619112</v>
      </c>
      <c r="BH25" s="59">
        <f t="shared" si="8"/>
        <v>462.09000394952443</v>
      </c>
      <c r="BI25" s="59">
        <f ca="1">AVERAGE(OFFSET($BH$3,0,0,'Données projet'!$E$11+1,1))-AVERAGE(OFFSET($H$3,0,0,'Données projet'!$E$11+1,1))</f>
        <v>254.6443970237226</v>
      </c>
      <c r="BJ25" s="59">
        <f t="shared" si="38"/>
        <v>231.81667808018062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13.535345375057569</v>
      </c>
      <c r="BR25" s="21">
        <f>EXP(-LN(2)/2)*BR24+(1-EXP(-LN(2)/2))/(LN(2)/2)*BL25*BO25*VLOOKUP('Données projet'!$B$11,Paramètres!$A$1:$I$89,3,0)*0.475*44/12</f>
        <v>12.045311755067422</v>
      </c>
      <c r="BS25" s="22">
        <f t="shared" si="9"/>
        <v>25.58065713012499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2.9235042735042733</v>
      </c>
      <c r="BY25" s="12">
        <f>IF('Données projet'!$A$114&gt;35,BY24+BX25-CG24,IF(A25&lt;'Données projet'!$A$114,$BV$205^A25,IF(A25='Données projet'!$A$114,'Données projet'!$B$114,BY24+BX25-CG24)))</f>
        <v>26.600205452048144</v>
      </c>
      <c r="BZ25" s="13">
        <f>BY25*VLOOKUP('Données projet'!$B$12,Paramètres!$A$1:$I$89,3,0)*VLOOKUP('Données projet'!$B$12,Paramètres!$A$1:$I$89,5,0)</f>
        <v>26.972608328376822</v>
      </c>
      <c r="CA25" s="13">
        <f t="shared" si="39"/>
        <v>8.4706274241085247</v>
      </c>
      <c r="CB25" s="20">
        <f t="shared" si="10"/>
        <v>61.730302268911977</v>
      </c>
      <c r="CC25" s="59">
        <f t="shared" si="11"/>
        <v>355.06363560224531</v>
      </c>
      <c r="CD25" s="59">
        <f ca="1">AVERAGE(OFFSET($CC$3,0,0,'Données projet'!$E$12+1,1))-AVERAGE(OFFSET($H$3,0,0,'Données projet'!$E$12+1,1))</f>
        <v>264.08050363622294</v>
      </c>
      <c r="CE25" s="59">
        <f t="shared" si="40"/>
        <v>164.48884512322883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16.687912087912089</v>
      </c>
      <c r="CT25" s="12">
        <f>IF('Données projet'!$A$140&gt;35,CT24+CS25-DB24,IF(A25&lt;'Données projet'!$A$140,$CQ$205^A25,IF(A25='Données projet'!$A$140,'Données projet'!$B$140,CT24+CS25-DB24)))</f>
        <v>135.58021978021975</v>
      </c>
      <c r="CU25" s="17">
        <f>CT25*VLOOKUP('Données projet'!$B$13,Paramètres!$A$1:$I$89,3,0)*VLOOKUP('Données projet'!$B$13,Paramètres!$A$1:$I$89,5,0)</f>
        <v>59.926457142857132</v>
      </c>
      <c r="CV25" s="13">
        <f t="shared" si="41"/>
        <v>17.149673743771672</v>
      </c>
      <c r="CW25" s="20">
        <f t="shared" si="13"/>
        <v>134.24092796087848</v>
      </c>
      <c r="CX25" s="59">
        <f t="shared" si="14"/>
        <v>427.57426129421179</v>
      </c>
      <c r="CY25" s="59">
        <f ca="1">AVERAGE(OFFSET($CX$3,0,0,'Données projet'!$E$13+1,1))-AVERAGE(OFFSET($H$3,0,0,'Données projet'!$E$13+1,1))</f>
        <v>194.7221767407824</v>
      </c>
      <c r="CZ25" s="59">
        <f t="shared" si="42"/>
        <v>177.6550559568646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10.702366110510637</v>
      </c>
      <c r="DH25" s="21">
        <f>EXP(-LN(2)/2)*DH24+(1-EXP(-LN(2)/2))/(LN(2)/2)*DB25*DE25*VLOOKUP('Données projet'!$B$13,Paramètres!$A$1:$I$89,3,0)*0.475*44/12</f>
        <v>9.5241999923788949</v>
      </c>
      <c r="DI25" s="22">
        <f t="shared" si="15"/>
        <v>20.226566102889532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7.2264102564102561</v>
      </c>
      <c r="DO25" s="12">
        <f>IF('Données projet'!$A$166&gt;35,DO24+DN25-DW24,IF(A25&lt;'Données projet'!$A$166,$DL$205^A25,IF(A25='Données projet'!$A$166,'Données projet'!$B$166,DO24+DN25-DW24)))</f>
        <v>51.653390873361616</v>
      </c>
      <c r="DP25" s="17">
        <f>DO25*VLOOKUP('Données projet'!$B$14,Paramètres!$A$1:$I$89,3,0)*VLOOKUP('Données projet'!$B$14,Paramètres!$A$1:$I$89,5,0)</f>
        <v>24.173786928733236</v>
      </c>
      <c r="DQ25" s="13">
        <f t="shared" si="43"/>
        <v>7.6890986491341353</v>
      </c>
      <c r="DR25" s="20">
        <f t="shared" si="16"/>
        <v>55.494525714785674</v>
      </c>
      <c r="DS25" s="59">
        <f t="shared" si="17"/>
        <v>348.82785904811897</v>
      </c>
      <c r="DT25" s="59">
        <f ca="1">AVERAGE(OFFSET($DS$3,0,0,'Données projet'!$E$14+1,1))-AVERAGE(OFFSET($H$3,0,0,'Données projet'!$E$14+1,1))</f>
        <v>207.25176714718668</v>
      </c>
      <c r="DU25" s="59">
        <f t="shared" si="44"/>
        <v>191.53228014642559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14.926923076923075</v>
      </c>
      <c r="EJ25" s="12">
        <f>IF('Données projet'!$A$192&gt;35,EJ24+EI25-ER24,IF(A25&lt;'Données projet'!$A$192,$EG$205^A25,IF(A25='Données projet'!$A$192,'Données projet'!$B$192,EJ24+EI25-ER24)))</f>
        <v>158.8807692307692</v>
      </c>
      <c r="EK25" s="17">
        <f>EJ25*VLOOKUP('Données projet'!$B$15,Paramètres!$A$1:$I$89,3,0)*VLOOKUP('Données projet'!$B$15,Paramètres!$A$1:$I$89,5,0)</f>
        <v>95.0107</v>
      </c>
      <c r="EL25" s="13">
        <f t="shared" si="45"/>
        <v>25.769848277327686</v>
      </c>
      <c r="EM25" s="20">
        <f t="shared" si="19"/>
        <v>210.3594549163457</v>
      </c>
      <c r="EN25" s="59">
        <f t="shared" si="20"/>
        <v>503.69278824967898</v>
      </c>
      <c r="EO25" s="59">
        <f ca="1">AVERAGE(OFFSET($EN$3,0,0,'Données projet'!$E$15+1,1))-AVERAGE(OFFSET($H$3,0,0,'Données projet'!$E$15+1,1))</f>
        <v>200.15574321350221</v>
      </c>
      <c r="EP25" s="59">
        <f t="shared" si="46"/>
        <v>200.70728852570426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7.2951476531631227</v>
      </c>
      <c r="EX25" s="21">
        <f>EXP(-LN(2)/2)*EX24+(1-EXP(-LN(2)/2))/(LN(2)/2)*ER25*EU25*VLOOKUP('Données projet'!$B$15,Paramètres!$A$1:$I$89,3,0)*0.475*44/12</f>
        <v>2.2163470855297485</v>
      </c>
      <c r="EY25" s="22">
        <f t="shared" si="21"/>
        <v>9.5114947386928712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4.0628205128205126</v>
      </c>
      <c r="FE25" s="12">
        <f>IF('Données projet'!$A$218&gt;35,FE24+FD25-FM24,IF(A25&lt;'Données projet'!$A$218,$FB$205^A25,IF(A25='Données projet'!$A$218,'Données projet'!$B$218,FE24+FD25-FM24)))</f>
        <v>33.860693883812012</v>
      </c>
      <c r="FF25" s="17">
        <f>FE25*VLOOKUP('Données projet'!$B$16,Paramètres!$A$1:$I$89,3,0)*VLOOKUP('Données projet'!$B$16,Paramètres!$A$1:$I$89,5,0)</f>
        <v>36.447650896535251</v>
      </c>
      <c r="FG25" s="13">
        <f t="shared" si="47"/>
        <v>11.052060987038981</v>
      </c>
      <c r="FH25" s="20">
        <f t="shared" si="22"/>
        <v>82.728664863891794</v>
      </c>
      <c r="FI25" s="59">
        <f t="shared" si="23"/>
        <v>376.06199819722508</v>
      </c>
      <c r="FJ25" s="59">
        <f ca="1">AVERAGE(OFFSET($FI$3,0,0,'Données projet'!$E$16+1,1))-AVERAGE(OFFSET($H$3,0,0,'Données projet'!$E$16+1,1))</f>
        <v>347.17049316703486</v>
      </c>
      <c r="FK25" s="59">
        <f t="shared" si="48"/>
        <v>255.45365487683489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7">
        <f t="shared" si="1"/>
        <v>318.6325604335085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546.6177568727893</v>
      </c>
      <c r="S26" s="59">
        <f ca="1">AVERAGE(OFFSET($R$3,0,0,'Données projet'!$E$9+1,1))-AVERAGE(OFFSET($H$3,0,0,'Données projet'!$E$9+1,1))</f>
        <v>266.02599413192075</v>
      </c>
      <c r="T26" s="59">
        <f t="shared" si="34"/>
        <v>332.94146254783254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4.0628205128205126</v>
      </c>
      <c r="AI26" s="13">
        <f>IF('Données projet'!$A$62&gt;35,AI25+AH26-AQ25,IF(A26&lt;'Données projet'!$A$62,$AF$205^A26,IF(A26='Données projet'!$A$62,'Données projet'!$B$62,AI25+AH26-AQ25)))</f>
        <v>39.739965273463824</v>
      </c>
      <c r="AJ26" s="13">
        <f>AI26*VLOOKUP('Données projet'!$B$10,Paramètres!$A$1:$I$89,3,0)*VLOOKUP('Données projet'!$B$10,Paramètres!$A$1:$I$89,5,0)</f>
        <v>35.956720579430062</v>
      </c>
      <c r="AK26" s="13">
        <f t="shared" si="35"/>
        <v>10.920419940209383</v>
      </c>
      <c r="AL26" s="20">
        <f t="shared" si="4"/>
        <v>81.644353071705368</v>
      </c>
      <c r="AM26" s="59">
        <f t="shared" si="5"/>
        <v>374.9776864050387</v>
      </c>
      <c r="AN26" s="59">
        <f ca="1">AVERAGE(OFFSET($AM$3,0,0,'Données projet'!$E$10+1,1))-AVERAGE(OFFSET($H$3,0,0,'Données projet'!$E$10+1,1))</f>
        <v>282.13645166362238</v>
      </c>
      <c r="AO26" s="59">
        <f t="shared" si="36"/>
        <v>210.5345332979457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16.687912087912089</v>
      </c>
      <c r="BD26" s="12">
        <f>IF('Données projet'!$A$88&gt;35,BD25+BC26-BL25,IF(A26&lt;'Données projet'!$A$88,$BA$205^A26,IF(A26='Données projet'!$A$88,'Données projet'!$B$88,BD25+BC26-BL25)))</f>
        <v>152.26813186813183</v>
      </c>
      <c r="BE26" s="13">
        <f>BD26*VLOOKUP('Données projet'!$B$11,Paramètres!$A$1:$I$89,3,0)*VLOOKUP('Données projet'!$B$11,Paramètres!$A$1:$I$89,5,0)</f>
        <v>85.117885714285705</v>
      </c>
      <c r="BF26" s="13">
        <f t="shared" si="37"/>
        <v>23.383981996566973</v>
      </c>
      <c r="BG26" s="20">
        <f t="shared" si="7"/>
        <v>188.97408626306841</v>
      </c>
      <c r="BH26" s="59">
        <f t="shared" si="8"/>
        <v>482.3074195964017</v>
      </c>
      <c r="BI26" s="59">
        <f ca="1">AVERAGE(OFFSET($BH$3,0,0,'Données projet'!$E$11+1,1))-AVERAGE(OFFSET($H$3,0,0,'Données projet'!$E$11+1,1))</f>
        <v>254.6443970237226</v>
      </c>
      <c r="BJ26" s="59">
        <f t="shared" si="38"/>
        <v>231.81667808018062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13.165220643983741</v>
      </c>
      <c r="BR26" s="21">
        <f>EXP(-LN(2)/2)*BR25+(1-EXP(-LN(2)/2))/(LN(2)/2)*BL26*BO26*VLOOKUP('Données projet'!$B$11,Paramètres!$A$1:$I$89,3,0)*0.475*44/12</f>
        <v>8.5173216235142082</v>
      </c>
      <c r="BS26" s="22">
        <f t="shared" si="9"/>
        <v>21.682542267497951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2.9235042735042733</v>
      </c>
      <c r="BY26" s="12">
        <f>IF('Données projet'!$A$114&gt;35,BY25+BX26-CG25,IF(A26&lt;'Données projet'!$A$114,$BV$205^A26,IF(A26='Données projet'!$A$114,'Données projet'!$B$114,BY25+BX26-CG25)))</f>
        <v>30.878236599516239</v>
      </c>
      <c r="BZ26" s="13">
        <f>BY26*VLOOKUP('Données projet'!$B$12,Paramètres!$A$1:$I$89,3,0)*VLOOKUP('Données projet'!$B$12,Paramètres!$A$1:$I$89,5,0)</f>
        <v>31.310531911909472</v>
      </c>
      <c r="CA26" s="13">
        <f t="shared" si="39"/>
        <v>9.6637156506405031</v>
      </c>
      <c r="CB26" s="20">
        <f t="shared" si="10"/>
        <v>71.363481171441208</v>
      </c>
      <c r="CC26" s="59">
        <f t="shared" si="11"/>
        <v>364.69681450477452</v>
      </c>
      <c r="CD26" s="59">
        <f ca="1">AVERAGE(OFFSET($CC$3,0,0,'Données projet'!$E$12+1,1))-AVERAGE(OFFSET($H$3,0,0,'Données projet'!$E$12+1,1))</f>
        <v>264.08050363622294</v>
      </c>
      <c r="CE26" s="59">
        <f t="shared" si="40"/>
        <v>164.48884512322883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16.687912087912089</v>
      </c>
      <c r="CT26" s="12">
        <f>IF('Données projet'!$A$140&gt;35,CT25+CS26-DB25,IF(A26&lt;'Données projet'!$A$140,$CQ$205^A26,IF(A26='Données projet'!$A$140,'Données projet'!$B$140,CT25+CS26-DB25)))</f>
        <v>152.26813186813183</v>
      </c>
      <c r="CU26" s="17">
        <f>CT26*VLOOKUP('Données projet'!$B$13,Paramètres!$A$1:$I$89,3,0)*VLOOKUP('Données projet'!$B$13,Paramètres!$A$1:$I$89,5,0)</f>
        <v>67.302514285714281</v>
      </c>
      <c r="CV26" s="13">
        <f t="shared" si="41"/>
        <v>19.002052416028782</v>
      </c>
      <c r="CW26" s="20">
        <f t="shared" si="13"/>
        <v>150.31378700553583</v>
      </c>
      <c r="CX26" s="59">
        <f t="shared" si="14"/>
        <v>443.64712033886917</v>
      </c>
      <c r="CY26" s="59">
        <f ca="1">AVERAGE(OFFSET($CX$3,0,0,'Données projet'!$E$13+1,1))-AVERAGE(OFFSET($H$3,0,0,'Données projet'!$E$13+1,1))</f>
        <v>194.7221767407824</v>
      </c>
      <c r="CZ26" s="59">
        <f t="shared" si="42"/>
        <v>177.6550559568646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10.40970934640575</v>
      </c>
      <c r="DH26" s="21">
        <f>EXP(-LN(2)/2)*DH25+(1-EXP(-LN(2)/2))/(LN(2)/2)*DB26*DE26*VLOOKUP('Données projet'!$B$13,Paramètres!$A$1:$I$89,3,0)*0.475*44/12</f>
        <v>6.734626399987981</v>
      </c>
      <c r="DI26" s="22">
        <f t="shared" si="15"/>
        <v>17.144335746393729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7.2264102564102561</v>
      </c>
      <c r="DO26" s="12">
        <f>IF('Données projet'!$A$166&gt;35,DO25+DN26-DW25,IF(A26&lt;'Données projet'!$A$166,$DL$205^A26,IF(A26='Données projet'!$A$166,'Données projet'!$B$166,DO25+DN26-DW25)))</f>
        <v>61.796939298472864</v>
      </c>
      <c r="DP26" s="17">
        <f>DO26*VLOOKUP('Données projet'!$B$14,Paramètres!$A$1:$I$89,3,0)*VLOOKUP('Données projet'!$B$14,Paramètres!$A$1:$I$89,5,0)</f>
        <v>28.920967591685301</v>
      </c>
      <c r="DQ26" s="13">
        <f t="shared" si="43"/>
        <v>9.0090648177637647</v>
      </c>
      <c r="DR26" s="20">
        <f t="shared" si="16"/>
        <v>66.061473113123796</v>
      </c>
      <c r="DS26" s="59">
        <f t="shared" si="17"/>
        <v>359.3948064464571</v>
      </c>
      <c r="DT26" s="59">
        <f ca="1">AVERAGE(OFFSET($DS$3,0,0,'Données projet'!$E$14+1,1))-AVERAGE(OFFSET($H$3,0,0,'Données projet'!$E$14+1,1))</f>
        <v>207.25176714718668</v>
      </c>
      <c r="DU26" s="59">
        <f t="shared" si="44"/>
        <v>191.53228014642559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>
        <f>VLOOKUP(A26,'Données projet'!$A$191:$I$211,2,0)</f>
        <v>173.80769230769229</v>
      </c>
      <c r="EH26" s="12">
        <f>VLOOKUP(A26,'Données projet'!$A$191:$I$211,9,0)</f>
        <v>14.926923076923075</v>
      </c>
      <c r="EI26" s="12">
        <f t="array" ref="EI26">INDEX(EH:EH,MIN(IF(ISNUMBER(EH26:EH222),ROW(EH26:EH222),"")))</f>
        <v>14.926923076923075</v>
      </c>
      <c r="EJ26" s="12">
        <f>IF('Données projet'!$A$192&gt;35,EJ25+EI26-ER25,IF(A26&lt;'Données projet'!$A$192,$EG$205^A26,IF(A26='Données projet'!$A$192,'Données projet'!$B$192,EJ25+EI26-ER25)))</f>
        <v>173.80769230769226</v>
      </c>
      <c r="EK26" s="17">
        <f>EJ26*VLOOKUP('Données projet'!$B$15,Paramètres!$A$1:$I$89,3,0)*VLOOKUP('Données projet'!$B$15,Paramètres!$A$1:$I$89,5,0)</f>
        <v>103.93699999999998</v>
      </c>
      <c r="EL26" s="13">
        <f t="shared" si="45"/>
        <v>27.897815230264825</v>
      </c>
      <c r="EM26" s="20">
        <f t="shared" si="19"/>
        <v>229.61230319271121</v>
      </c>
      <c r="EN26" s="59">
        <f t="shared" si="20"/>
        <v>522.9456365260445</v>
      </c>
      <c r="EO26" s="59">
        <f ca="1">AVERAGE(OFFSET($EN$3,0,0,'Données projet'!$E$15+1,1))-AVERAGE(OFFSET($H$3,0,0,'Données projet'!$E$15+1,1))</f>
        <v>200.15574321350221</v>
      </c>
      <c r="EP26" s="59">
        <f t="shared" si="46"/>
        <v>200.70728852570426</v>
      </c>
      <c r="EQ26" s="15">
        <f>IF(ISNA(VLOOKUP(A26,'Données projet'!$A$191:$I$211,3,0)),0,VLOOKUP(A26,'Données projet'!$A$191:$I$211,3,0))</f>
        <v>2</v>
      </c>
      <c r="ER26" s="15">
        <f>IF(ISNA(VLOOKUP(A26,'Données projet'!$A$191:$I$211,4,0)),0,VLOOKUP(A26,'Données projet'!$A$191:$I$211,4,0))</f>
        <v>54.099999999999994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0.25200000000000006</v>
      </c>
      <c r="EU26" s="16">
        <f>IF(ISNA(VLOOKUP(A26,'Données projet'!$A$191:$I$211,7,0)),0%,VLOOKUP(A26,'Données projet'!$A$191:$I$211,7,0))</f>
        <v>0.44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17.868099083734933</v>
      </c>
      <c r="EX26" s="21">
        <f>EXP(-LN(2)/2)*EX25+(1-EXP(-LN(2)/2))/(LN(2)/2)*ER26*EU26*VLOOKUP('Données projet'!$B$15,Paramètres!$A$1:$I$89,3,0)*0.475*44/12</f>
        <v>17.684285304612487</v>
      </c>
      <c r="EY26" s="22">
        <f t="shared" si="21"/>
        <v>35.55238438834742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4.0628205128205126</v>
      </c>
      <c r="FE26" s="12">
        <f>IF('Données projet'!$A$218&gt;35,FE25+FD26-FM25,IF(A26&lt;'Données projet'!$A$218,$FB$205^A26,IF(A26='Données projet'!$A$218,'Données projet'!$B$218,FE25+FD26-FM25)))</f>
        <v>39.739965273463824</v>
      </c>
      <c r="FF26" s="17">
        <f>FE26*VLOOKUP('Données projet'!$B$16,Paramètres!$A$1:$I$89,3,0)*VLOOKUP('Données projet'!$B$16,Paramètres!$A$1:$I$89,5,0)</f>
        <v>42.776098620356457</v>
      </c>
      <c r="FG26" s="13">
        <f t="shared" si="47"/>
        <v>12.731554127615578</v>
      </c>
      <c r="FH26" s="20">
        <f t="shared" si="22"/>
        <v>96.67582853605127</v>
      </c>
      <c r="FI26" s="59">
        <f t="shared" si="23"/>
        <v>390.00916186938457</v>
      </c>
      <c r="FJ26" s="59">
        <f ca="1">AVERAGE(OFFSET($FI$3,0,0,'Données projet'!$E$16+1,1))-AVERAGE(OFFSET($H$3,0,0,'Données projet'!$E$16+1,1))</f>
        <v>347.17049316703486</v>
      </c>
      <c r="FK26" s="59">
        <f t="shared" si="48"/>
        <v>255.45365487683489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7">
        <f t="shared" si="1"/>
        <v>319.69874152469112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571.11157109576641</v>
      </c>
      <c r="S27" s="59">
        <f ca="1">AVERAGE(OFFSET($R$3,0,0,'Données projet'!$E$9+1,1))-AVERAGE(OFFSET($H$3,0,0,'Données projet'!$E$9+1,1))</f>
        <v>266.02599413192075</v>
      </c>
      <c r="T27" s="59">
        <f t="shared" si="34"/>
        <v>332.94146254783254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4.0628205128205126</v>
      </c>
      <c r="AI27" s="13">
        <f>IF('Données projet'!$A$62&gt;35,AI26+AH27-AQ26,IF(A27&lt;'Données projet'!$A$62,$AF$205^A27,IF(A27='Données projet'!$A$62,'Données projet'!$B$62,AI26+AH27-AQ26)))</f>
        <v>46.640061345320483</v>
      </c>
      <c r="AJ27" s="13">
        <f>AI27*VLOOKUP('Données projet'!$B$10,Paramètres!$A$1:$I$89,3,0)*VLOOKUP('Données projet'!$B$10,Paramètres!$A$1:$I$89,5,0)</f>
        <v>42.199927505245967</v>
      </c>
      <c r="AK27" s="13">
        <f t="shared" si="35"/>
        <v>12.579908645827834</v>
      </c>
      <c r="AL27" s="20">
        <f t="shared" si="4"/>
        <v>95.408214629786869</v>
      </c>
      <c r="AM27" s="59">
        <f t="shared" si="5"/>
        <v>388.74154796312018</v>
      </c>
      <c r="AN27" s="59">
        <f ca="1">AVERAGE(OFFSET($AM$3,0,0,'Données projet'!$E$10+1,1))-AVERAGE(OFFSET($H$3,0,0,'Données projet'!$E$10+1,1))</f>
        <v>282.13645166362238</v>
      </c>
      <c r="AO27" s="59">
        <f t="shared" si="36"/>
        <v>210.5345332979457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16.687912087912089</v>
      </c>
      <c r="BD27" s="12">
        <f>IF('Données projet'!$A$88&gt;35,BD26+BC27-BL26,IF(A27&lt;'Données projet'!$A$88,$BA$205^A27,IF(A27='Données projet'!$A$88,'Données projet'!$B$88,BD26+BC27-BL26)))</f>
        <v>168.95604395604391</v>
      </c>
      <c r="BE27" s="13">
        <f>BD27*VLOOKUP('Données projet'!$B$11,Paramètres!$A$1:$I$89,3,0)*VLOOKUP('Données projet'!$B$11,Paramètres!$A$1:$I$89,5,0)</f>
        <v>94.446428571428541</v>
      </c>
      <c r="BF27" s="13">
        <f t="shared" si="37"/>
        <v>25.63456829651156</v>
      </c>
      <c r="BG27" s="20">
        <f t="shared" si="7"/>
        <v>209.14106954499564</v>
      </c>
      <c r="BH27" s="59">
        <f t="shared" si="8"/>
        <v>502.47440287832899</v>
      </c>
      <c r="BI27" s="59">
        <f ca="1">AVERAGE(OFFSET($BH$3,0,0,'Données projet'!$E$11+1,1))-AVERAGE(OFFSET($H$3,0,0,'Données projet'!$E$11+1,1))</f>
        <v>254.6443970237226</v>
      </c>
      <c r="BJ27" s="59">
        <f t="shared" si="38"/>
        <v>231.81667808018062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12.805216993145141</v>
      </c>
      <c r="BR27" s="21">
        <f>EXP(-LN(2)/2)*BR26+(1-EXP(-LN(2)/2))/(LN(2)/2)*BL27*BO27*VLOOKUP('Données projet'!$B$11,Paramètres!$A$1:$I$89,3,0)*0.475*44/12</f>
        <v>6.0226558775337109</v>
      </c>
      <c r="BS27" s="22">
        <f t="shared" si="9"/>
        <v>18.827872870678853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2.9235042735042733</v>
      </c>
      <c r="BY27" s="12">
        <f>IF('Données projet'!$A$114&gt;35,BY26+BX27-CG26,IF(A27&lt;'Données projet'!$A$114,$BV$205^A27,IF(A27='Données projet'!$A$114,'Données projet'!$B$114,BY26+BX27-CG26)))</f>
        <v>35.844290647096855</v>
      </c>
      <c r="BZ27" s="13">
        <f>BY27*VLOOKUP('Données projet'!$B$12,Paramètres!$A$1:$I$89,3,0)*VLOOKUP('Données projet'!$B$12,Paramètres!$A$1:$I$89,5,0)</f>
        <v>36.346110716156211</v>
      </c>
      <c r="CA27" s="13">
        <f t="shared" si="39"/>
        <v>11.024850403718778</v>
      </c>
      <c r="CB27" s="20">
        <f t="shared" si="10"/>
        <v>82.504423950448952</v>
      </c>
      <c r="CC27" s="59">
        <f t="shared" si="11"/>
        <v>375.83775728378225</v>
      </c>
      <c r="CD27" s="59">
        <f ca="1">AVERAGE(OFFSET($CC$3,0,0,'Données projet'!$E$12+1,1))-AVERAGE(OFFSET($H$3,0,0,'Données projet'!$E$12+1,1))</f>
        <v>264.08050363622294</v>
      </c>
      <c r="CE27" s="59">
        <f t="shared" si="40"/>
        <v>164.48884512322883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16.687912087912089</v>
      </c>
      <c r="CT27" s="12">
        <f>IF('Données projet'!$A$140&gt;35,CT26+CS27-DB26,IF(A27&lt;'Données projet'!$A$140,$CQ$205^A27,IF(A27='Données projet'!$A$140,'Données projet'!$B$140,CT26+CS27-DB26)))</f>
        <v>168.95604395604391</v>
      </c>
      <c r="CU27" s="17">
        <f>CT27*VLOOKUP('Données projet'!$B$13,Paramètres!$A$1:$I$89,3,0)*VLOOKUP('Données projet'!$B$13,Paramètres!$A$1:$I$89,5,0)</f>
        <v>74.678571428571416</v>
      </c>
      <c r="CV27" s="13">
        <f t="shared" si="41"/>
        <v>20.83090084931197</v>
      </c>
      <c r="CW27" s="20">
        <f t="shared" si="13"/>
        <v>166.34566421731355</v>
      </c>
      <c r="CX27" s="59">
        <f t="shared" si="14"/>
        <v>459.67899755064684</v>
      </c>
      <c r="CY27" s="59">
        <f ca="1">AVERAGE(OFFSET($CX$3,0,0,'Données projet'!$E$13+1,1))-AVERAGE(OFFSET($H$3,0,0,'Données projet'!$E$13+1,1))</f>
        <v>194.7221767407824</v>
      </c>
      <c r="CZ27" s="59">
        <f t="shared" si="42"/>
        <v>177.6550559568646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10.125055296905462</v>
      </c>
      <c r="DH27" s="21">
        <f>EXP(-LN(2)/2)*DH26+(1-EXP(-LN(2)/2))/(LN(2)/2)*DB27*DE27*VLOOKUP('Données projet'!$B$13,Paramètres!$A$1:$I$89,3,0)*0.475*44/12</f>
        <v>4.7620999961894475</v>
      </c>
      <c r="DI27" s="22">
        <f t="shared" si="15"/>
        <v>14.88715529309491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7.2264102564102561</v>
      </c>
      <c r="DO27" s="12">
        <f>IF('Données projet'!$A$166&gt;35,DO26+DN27-DW26,IF(A27&lt;'Données projet'!$A$166,$DL$205^A27,IF(A27='Données projet'!$A$166,'Données projet'!$B$166,DO26+DN27-DW26)))</f>
        <v>73.932449391789717</v>
      </c>
      <c r="DP27" s="17">
        <f>DO27*VLOOKUP('Données projet'!$B$14,Paramètres!$A$1:$I$89,3,0)*VLOOKUP('Données projet'!$B$14,Paramètres!$A$1:$I$89,5,0)</f>
        <v>34.600386315357589</v>
      </c>
      <c r="DQ27" s="13">
        <f t="shared" si="43"/>
        <v>10.555625905490055</v>
      </c>
      <c r="DR27" s="20">
        <f t="shared" si="16"/>
        <v>78.646721284642979</v>
      </c>
      <c r="DS27" s="59">
        <f t="shared" si="17"/>
        <v>371.98005461797629</v>
      </c>
      <c r="DT27" s="59">
        <f ca="1">AVERAGE(OFFSET($DS$3,0,0,'Données projet'!$E$14+1,1))-AVERAGE(OFFSET($H$3,0,0,'Données projet'!$E$14+1,1))</f>
        <v>207.25176714718668</v>
      </c>
      <c r="DU27" s="59">
        <f t="shared" si="44"/>
        <v>191.53228014642559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15.073076923076925</v>
      </c>
      <c r="EJ27" s="12">
        <f>IF('Données projet'!$A$192&gt;35,EJ26+EI27-ER26,IF(A27&lt;'Données projet'!$A$192,$EG$205^A27,IF(A27='Données projet'!$A$192,'Données projet'!$B$192,EJ26+EI27-ER26)))</f>
        <v>134.78076923076921</v>
      </c>
      <c r="EK27" s="17">
        <f>EJ27*VLOOKUP('Données projet'!$B$15,Paramètres!$A$1:$I$89,3,0)*VLOOKUP('Données projet'!$B$15,Paramètres!$A$1:$I$89,5,0)</f>
        <v>80.598899999999986</v>
      </c>
      <c r="EL27" s="13">
        <f t="shared" si="45"/>
        <v>22.283554667877272</v>
      </c>
      <c r="EM27" s="20">
        <f t="shared" si="19"/>
        <v>179.18694187988618</v>
      </c>
      <c r="EN27" s="59">
        <f t="shared" si="20"/>
        <v>472.52027521321952</v>
      </c>
      <c r="EO27" s="59">
        <f ca="1">AVERAGE(OFFSET($EN$3,0,0,'Données projet'!$E$15+1,1))-AVERAGE(OFFSET($H$3,0,0,'Données projet'!$E$15+1,1))</f>
        <v>200.15574321350221</v>
      </c>
      <c r="EP27" s="59">
        <f t="shared" si="46"/>
        <v>200.70728852570426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17.379494974647709</v>
      </c>
      <c r="EX27" s="21">
        <f>EXP(-LN(2)/2)*EX26+(1-EXP(-LN(2)/2))/(LN(2)/2)*ER27*EU27*VLOOKUP('Données projet'!$B$15,Paramètres!$A$1:$I$89,3,0)*0.475*44/12</f>
        <v>12.5046780593291</v>
      </c>
      <c r="EY27" s="22">
        <f t="shared" si="21"/>
        <v>29.884173033976808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4.0628205128205126</v>
      </c>
      <c r="FE27" s="12">
        <f>IF('Données projet'!$A$218&gt;35,FE26+FD27-FM26,IF(A27&lt;'Données projet'!$A$218,$FB$205^A27,IF(A27='Données projet'!$A$218,'Données projet'!$B$218,FE26+FD27-FM26)))</f>
        <v>46.640061345320483</v>
      </c>
      <c r="FF27" s="17">
        <f>FE27*VLOOKUP('Données projet'!$B$16,Paramètres!$A$1:$I$89,3,0)*VLOOKUP('Données projet'!$B$16,Paramètres!$A$1:$I$89,5,0)</f>
        <v>50.203362032102966</v>
      </c>
      <c r="FG27" s="13">
        <f t="shared" si="47"/>
        <v>14.666266381853569</v>
      </c>
      <c r="FH27" s="20">
        <f t="shared" si="22"/>
        <v>112.98126948764094</v>
      </c>
      <c r="FI27" s="59">
        <f t="shared" si="23"/>
        <v>406.31460282097424</v>
      </c>
      <c r="FJ27" s="59">
        <f ca="1">AVERAGE(OFFSET($FI$3,0,0,'Données projet'!$E$16+1,1))-AVERAGE(OFFSET($H$3,0,0,'Données projet'!$E$16+1,1))</f>
        <v>347.17049316703486</v>
      </c>
      <c r="FK27" s="59">
        <f t="shared" si="48"/>
        <v>255.45365487683489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7">
        <f t="shared" si="1"/>
        <v>320.76370744951157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595.5569181428649</v>
      </c>
      <c r="S28" s="59">
        <f ca="1">AVERAGE(OFFSET($R$3,0,0,'Données projet'!$E$9+1,1))-AVERAGE(OFFSET($H$3,0,0,'Données projet'!$E$9+1,1))</f>
        <v>266.02599413192075</v>
      </c>
      <c r="T28" s="59">
        <f t="shared" si="34"/>
        <v>332.94146254783254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4.0628205128205126</v>
      </c>
      <c r="AI28" s="13">
        <f>IF('Données projet'!$A$62&gt;35,AI27+AH28-AQ27,IF(A28&lt;'Données projet'!$A$62,$AF$205^A28,IF(A28='Données projet'!$A$62,'Données projet'!$B$62,AI27+AH28-AQ27)))</f>
        <v>54.738229068051083</v>
      </c>
      <c r="AJ28" s="13">
        <f>AI28*VLOOKUP('Données projet'!$B$10,Paramètres!$A$1:$I$89,3,0)*VLOOKUP('Données projet'!$B$10,Paramètres!$A$1:$I$89,5,0)</f>
        <v>49.527149660772622</v>
      </c>
      <c r="AK28" s="13">
        <f t="shared" si="35"/>
        <v>14.49157655143614</v>
      </c>
      <c r="AL28" s="20">
        <f t="shared" si="4"/>
        <v>111.49928148626357</v>
      </c>
      <c r="AM28" s="59">
        <f t="shared" si="5"/>
        <v>404.83261481959687</v>
      </c>
      <c r="AN28" s="59">
        <f ca="1">AVERAGE(OFFSET($AM$3,0,0,'Données projet'!$E$10+1,1))-AVERAGE(OFFSET($H$3,0,0,'Données projet'!$E$10+1,1))</f>
        <v>282.13645166362238</v>
      </c>
      <c r="AO28" s="59">
        <f t="shared" si="36"/>
        <v>210.5345332979457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16.687912087912089</v>
      </c>
      <c r="BD28" s="12">
        <f>IF('Données projet'!$A$88&gt;35,BD27+BC28-BL27,IF(A28&lt;'Données projet'!$A$88,$BA$205^A28,IF(A28='Données projet'!$A$88,'Données projet'!$B$88,BD27+BC28-BL27)))</f>
        <v>185.643956043956</v>
      </c>
      <c r="BE28" s="13">
        <f>BD28*VLOOKUP('Données projet'!$B$11,Paramètres!$A$1:$I$89,3,0)*VLOOKUP('Données projet'!$B$11,Paramètres!$A$1:$I$89,5,0)</f>
        <v>103.7749714285714</v>
      </c>
      <c r="BF28" s="13">
        <f t="shared" si="37"/>
        <v>27.859383782043167</v>
      </c>
      <c r="BG28" s="20">
        <f t="shared" si="7"/>
        <v>229.26316865848699</v>
      </c>
      <c r="BH28" s="59">
        <f t="shared" si="8"/>
        <v>522.59650199182033</v>
      </c>
      <c r="BI28" s="59">
        <f ca="1">AVERAGE(OFFSET($BH$3,0,0,'Données projet'!$E$11+1,1))-AVERAGE(OFFSET($H$3,0,0,'Données projet'!$E$11+1,1))</f>
        <v>254.6443970237226</v>
      </c>
      <c r="BJ28" s="59">
        <f t="shared" si="38"/>
        <v>231.81667808018062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12.455057661070493</v>
      </c>
      <c r="BR28" s="21">
        <f>EXP(-LN(2)/2)*BR27+(1-EXP(-LN(2)/2))/(LN(2)/2)*BL28*BO28*VLOOKUP('Données projet'!$B$11,Paramètres!$A$1:$I$89,3,0)*0.475*44/12</f>
        <v>4.2586608117571041</v>
      </c>
      <c r="BS28" s="22">
        <f t="shared" si="9"/>
        <v>16.713718472827598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2.9235042735042733</v>
      </c>
      <c r="BY28" s="12">
        <f>IF('Données projet'!$A$114&gt;35,BY27+BX28-CG27,IF(A28&lt;'Données projet'!$A$114,$BV$205^A28,IF(A28='Données projet'!$A$114,'Données projet'!$B$114,BY27+BX28-CG27)))</f>
        <v>41.609020251295185</v>
      </c>
      <c r="BZ28" s="13">
        <f>BY28*VLOOKUP('Données projet'!$B$12,Paramètres!$A$1:$I$89,3,0)*VLOOKUP('Données projet'!$B$12,Paramètres!$A$1:$I$89,5,0)</f>
        <v>42.19154653481332</v>
      </c>
      <c r="CA28" s="13">
        <f t="shared" si="39"/>
        <v>12.577701043627256</v>
      </c>
      <c r="CB28" s="20">
        <f t="shared" si="10"/>
        <v>95.389772865783996</v>
      </c>
      <c r="CC28" s="59">
        <f t="shared" si="11"/>
        <v>388.7231061991173</v>
      </c>
      <c r="CD28" s="59">
        <f ca="1">AVERAGE(OFFSET($CC$3,0,0,'Données projet'!$E$12+1,1))-AVERAGE(OFFSET($H$3,0,0,'Données projet'!$E$12+1,1))</f>
        <v>264.08050363622294</v>
      </c>
      <c r="CE28" s="59">
        <f t="shared" si="40"/>
        <v>164.48884512322883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16.687912087912089</v>
      </c>
      <c r="CT28" s="12">
        <f>IF('Données projet'!$A$140&gt;35,CT27+CS28-DB27,IF(A28&lt;'Données projet'!$A$140,$CQ$205^A28,IF(A28='Données projet'!$A$140,'Données projet'!$B$140,CT27+CS28-DB27)))</f>
        <v>185.643956043956</v>
      </c>
      <c r="CU28" s="17">
        <f>CT28*VLOOKUP('Données projet'!$B$13,Paramètres!$A$1:$I$89,3,0)*VLOOKUP('Données projet'!$B$13,Paramètres!$A$1:$I$89,5,0)</f>
        <v>82.054628571428566</v>
      </c>
      <c r="CV28" s="13">
        <f t="shared" si="41"/>
        <v>22.638807666819357</v>
      </c>
      <c r="CW28" s="20">
        <f t="shared" si="13"/>
        <v>182.34106811494846</v>
      </c>
      <c r="CX28" s="59">
        <f t="shared" si="14"/>
        <v>475.67440144828174</v>
      </c>
      <c r="CY28" s="59">
        <f ca="1">AVERAGE(OFFSET($CX$3,0,0,'Données projet'!$E$13+1,1))-AVERAGE(OFFSET($H$3,0,0,'Données projet'!$E$13+1,1))</f>
        <v>194.7221767407824</v>
      </c>
      <c r="CZ28" s="59">
        <f t="shared" si="42"/>
        <v>177.6550559568646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9.8481851273580645</v>
      </c>
      <c r="DH28" s="21">
        <f>EXP(-LN(2)/2)*DH27+(1-EXP(-LN(2)/2))/(LN(2)/2)*DB28*DE28*VLOOKUP('Données projet'!$B$13,Paramètres!$A$1:$I$89,3,0)*0.475*44/12</f>
        <v>3.3673131999939905</v>
      </c>
      <c r="DI28" s="22">
        <f t="shared" si="15"/>
        <v>13.215498327352055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7.2264102564102561</v>
      </c>
      <c r="DO28" s="12">
        <f>IF('Données projet'!$A$166&gt;35,DO27+DN28-DW27,IF(A28&lt;'Données projet'!$A$166,$DL$205^A28,IF(A28='Données projet'!$A$166,'Données projet'!$B$166,DO27+DN28-DW27)))</f>
        <v>88.451097014195071</v>
      </c>
      <c r="DP28" s="17">
        <f>DO28*VLOOKUP('Données projet'!$B$14,Paramètres!$A$1:$I$89,3,0)*VLOOKUP('Données projet'!$B$14,Paramètres!$A$1:$I$89,5,0)</f>
        <v>41.39511340264329</v>
      </c>
      <c r="DQ28" s="13">
        <f t="shared" si="43"/>
        <v>12.367680831528276</v>
      </c>
      <c r="DR28" s="20">
        <f t="shared" si="16"/>
        <v>93.636866624515463</v>
      </c>
      <c r="DS28" s="59">
        <f t="shared" si="17"/>
        <v>386.97019995784876</v>
      </c>
      <c r="DT28" s="59">
        <f ca="1">AVERAGE(OFFSET($DS$3,0,0,'Données projet'!$E$14+1,1))-AVERAGE(OFFSET($H$3,0,0,'Données projet'!$E$14+1,1))</f>
        <v>207.25176714718668</v>
      </c>
      <c r="DU28" s="59">
        <f t="shared" si="44"/>
        <v>191.53228014642559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15.073076923076925</v>
      </c>
      <c r="EJ28" s="12">
        <f>IF('Données projet'!$A$192&gt;35,EJ27+EI28-ER27,IF(A28&lt;'Données projet'!$A$192,$EG$205^A28,IF(A28='Données projet'!$A$192,'Données projet'!$B$192,EJ27+EI28-ER27)))</f>
        <v>149.85384615384612</v>
      </c>
      <c r="EK28" s="17">
        <f>EJ28*VLOOKUP('Données projet'!$B$15,Paramètres!$A$1:$I$89,3,0)*VLOOKUP('Données projet'!$B$15,Paramètres!$A$1:$I$89,5,0)</f>
        <v>89.6126</v>
      </c>
      <c r="EL28" s="13">
        <f t="shared" si="45"/>
        <v>24.471769998555317</v>
      </c>
      <c r="EM28" s="20">
        <f t="shared" si="19"/>
        <v>198.69694441415049</v>
      </c>
      <c r="EN28" s="59">
        <f t="shared" si="20"/>
        <v>492.03027774748381</v>
      </c>
      <c r="EO28" s="59">
        <f ca="1">AVERAGE(OFFSET($EN$3,0,0,'Données projet'!$E$15+1,1))-AVERAGE(OFFSET($H$3,0,0,'Données projet'!$E$15+1,1))</f>
        <v>200.15574321350221</v>
      </c>
      <c r="EP28" s="59">
        <f t="shared" si="46"/>
        <v>200.70728852570426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16.90425177061805</v>
      </c>
      <c r="EX28" s="21">
        <f>EXP(-LN(2)/2)*EX27+(1-EXP(-LN(2)/2))/(LN(2)/2)*ER28*EU28*VLOOKUP('Données projet'!$B$15,Paramètres!$A$1:$I$89,3,0)*0.475*44/12</f>
        <v>8.8421426523062436</v>
      </c>
      <c r="EY28" s="22">
        <f t="shared" si="21"/>
        <v>25.746394422924293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4.0628205128205126</v>
      </c>
      <c r="FE28" s="12">
        <f>IF('Données projet'!$A$218&gt;35,FE27+FD28-FM27,IF(A28&lt;'Données projet'!$A$218,$FB$205^A28,IF(A28='Données projet'!$A$218,'Données projet'!$B$218,FE27+FD28-FM27)))</f>
        <v>54.738229068051083</v>
      </c>
      <c r="FF28" s="17">
        <f>FE28*VLOOKUP('Données projet'!$B$16,Paramètres!$A$1:$I$89,3,0)*VLOOKUP('Données projet'!$B$16,Paramètres!$A$1:$I$89,5,0)</f>
        <v>58.920229768850184</v>
      </c>
      <c r="FG28" s="13">
        <f t="shared" si="47"/>
        <v>16.894981353213087</v>
      </c>
      <c r="FH28" s="20">
        <f t="shared" si="22"/>
        <v>132.04482603759354</v>
      </c>
      <c r="FI28" s="59">
        <f t="shared" si="23"/>
        <v>425.37815937092682</v>
      </c>
      <c r="FJ28" s="59">
        <f ca="1">AVERAGE(OFFSET($FI$3,0,0,'Données projet'!$E$16+1,1))-AVERAGE(OFFSET($H$3,0,0,'Données projet'!$E$16+1,1))</f>
        <v>347.17049316703486</v>
      </c>
      <c r="FK28" s="59">
        <f t="shared" si="48"/>
        <v>255.45365487683489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7">
        <f t="shared" si="1"/>
        <v>321.82751237574325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619.95826719198703</v>
      </c>
      <c r="S29" s="59">
        <f ca="1">AVERAGE(OFFSET($R$3,0,0,'Données projet'!$E$9+1,1))-AVERAGE(OFFSET($H$3,0,0,'Données projet'!$E$9+1,1))</f>
        <v>266.02599413192075</v>
      </c>
      <c r="T29" s="59">
        <f t="shared" si="34"/>
        <v>332.94146254783254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4.0628205128205126</v>
      </c>
      <c r="AI29" s="13">
        <f>IF('Données projet'!$A$62&gt;35,AI28+AH29-AQ28,IF(A29&lt;'Données projet'!$A$62,$AF$205^A29,IF(A29='Données projet'!$A$62,'Données projet'!$B$62,AI28+AH29-AQ28)))</f>
        <v>64.242491006222849</v>
      </c>
      <c r="AJ29" s="13">
        <f>AI29*VLOOKUP('Données projet'!$B$10,Paramètres!$A$1:$I$89,3,0)*VLOOKUP('Données projet'!$B$10,Paramètres!$A$1:$I$89,5,0)</f>
        <v>58.126605862430431</v>
      </c>
      <c r="AK29" s="13">
        <f t="shared" si="35"/>
        <v>16.69374530917462</v>
      </c>
      <c r="AL29" s="20">
        <f t="shared" si="4"/>
        <v>130.31211162387879</v>
      </c>
      <c r="AM29" s="59">
        <f t="shared" si="5"/>
        <v>423.64544495721213</v>
      </c>
      <c r="AN29" s="59">
        <f ca="1">AVERAGE(OFFSET($AM$3,0,0,'Données projet'!$E$10+1,1))-AVERAGE(OFFSET($H$3,0,0,'Données projet'!$E$10+1,1))</f>
        <v>282.13645166362238</v>
      </c>
      <c r="AO29" s="59">
        <f t="shared" si="36"/>
        <v>210.5345332979457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16.687912087912089</v>
      </c>
      <c r="BD29" s="12">
        <f>IF('Données projet'!$A$88&gt;35,BD28+BC29-BL28,IF(A29&lt;'Données projet'!$A$88,$BA$205^A29,IF(A29='Données projet'!$A$88,'Données projet'!$B$88,BD28+BC29-BL28)))</f>
        <v>202.33186813186808</v>
      </c>
      <c r="BE29" s="13">
        <f>BD29*VLOOKUP('Données projet'!$B$11,Paramètres!$A$1:$I$89,3,0)*VLOOKUP('Données projet'!$B$11,Paramètres!$A$1:$I$89,5,0)</f>
        <v>113.10351428571425</v>
      </c>
      <c r="BF29" s="13">
        <f t="shared" si="37"/>
        <v>30.061008485627202</v>
      </c>
      <c r="BG29" s="20">
        <f t="shared" si="7"/>
        <v>249.34487716008638</v>
      </c>
      <c r="BH29" s="59">
        <f t="shared" si="8"/>
        <v>542.67821049341967</v>
      </c>
      <c r="BI29" s="59">
        <f ca="1">AVERAGE(OFFSET($BH$3,0,0,'Données projet'!$E$11+1,1))-AVERAGE(OFFSET($H$3,0,0,'Données projet'!$E$11+1,1))</f>
        <v>254.6443970237226</v>
      </c>
      <c r="BJ29" s="59">
        <f t="shared" si="38"/>
        <v>231.81667808018062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12.114473454345504</v>
      </c>
      <c r="BR29" s="21">
        <f>EXP(-LN(2)/2)*BR28+(1-EXP(-LN(2)/2))/(LN(2)/2)*BL29*BO29*VLOOKUP('Données projet'!$B$11,Paramètres!$A$1:$I$89,3,0)*0.475*44/12</f>
        <v>3.0113279387668554</v>
      </c>
      <c r="BS29" s="22">
        <f t="shared" si="9"/>
        <v>15.12580139311236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2.9235042735042733</v>
      </c>
      <c r="BY29" s="12">
        <f>IF('Données projet'!$A$114&gt;35,BY28+BX29-CG28,IF(A29&lt;'Données projet'!$A$114,$BV$205^A29,IF(A29='Données projet'!$A$114,'Données projet'!$B$114,BY28+BX29-CG28)))</f>
        <v>48.30087400300993</v>
      </c>
      <c r="BZ29" s="13">
        <f>BY29*VLOOKUP('Données projet'!$B$12,Paramètres!$A$1:$I$89,3,0)*VLOOKUP('Données projet'!$B$12,Paramètres!$A$1:$I$89,5,0)</f>
        <v>48.97708623905207</v>
      </c>
      <c r="CA29" s="13">
        <f t="shared" si="39"/>
        <v>14.34927076103458</v>
      </c>
      <c r="CB29" s="20">
        <f t="shared" si="10"/>
        <v>110.29340510848425</v>
      </c>
      <c r="CC29" s="59">
        <f t="shared" si="11"/>
        <v>403.62673844181757</v>
      </c>
      <c r="CD29" s="59">
        <f ca="1">AVERAGE(OFFSET($CC$3,0,0,'Données projet'!$E$12+1,1))-AVERAGE(OFFSET($H$3,0,0,'Données projet'!$E$12+1,1))</f>
        <v>264.08050363622294</v>
      </c>
      <c r="CE29" s="59">
        <f t="shared" si="40"/>
        <v>164.48884512322883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16.687912087912089</v>
      </c>
      <c r="CT29" s="12">
        <f>IF('Données projet'!$A$140&gt;35,CT28+CS29-DB28,IF(A29&lt;'Données projet'!$A$140,$CQ$205^A29,IF(A29='Données projet'!$A$140,'Données projet'!$B$140,CT28+CS29-DB28)))</f>
        <v>202.33186813186808</v>
      </c>
      <c r="CU29" s="17">
        <f>CT29*VLOOKUP('Données projet'!$B$13,Paramètres!$A$1:$I$89,3,0)*VLOOKUP('Données projet'!$B$13,Paramètres!$A$1:$I$89,5,0)</f>
        <v>89.430685714285701</v>
      </c>
      <c r="CV29" s="13">
        <f t="shared" si="41"/>
        <v>24.427869428159632</v>
      </c>
      <c r="CW29" s="20">
        <f t="shared" si="13"/>
        <v>198.3036502064256</v>
      </c>
      <c r="CX29" s="59">
        <f t="shared" si="14"/>
        <v>491.63698353975894</v>
      </c>
      <c r="CY29" s="59">
        <f ca="1">AVERAGE(OFFSET($CX$3,0,0,'Données projet'!$E$13+1,1))-AVERAGE(OFFSET($H$3,0,0,'Données projet'!$E$13+1,1))</f>
        <v>194.7221767407824</v>
      </c>
      <c r="CZ29" s="59">
        <f t="shared" si="42"/>
        <v>177.6550559568646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9.5788859871569105</v>
      </c>
      <c r="DH29" s="21">
        <f>EXP(-LN(2)/2)*DH28+(1-EXP(-LN(2)/2))/(LN(2)/2)*DB29*DE29*VLOOKUP('Données projet'!$B$13,Paramètres!$A$1:$I$89,3,0)*0.475*44/12</f>
        <v>2.3810499980947237</v>
      </c>
      <c r="DI29" s="22">
        <f t="shared" si="15"/>
        <v>11.959935985251635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7.2264102564102561</v>
      </c>
      <c r="DO29" s="12">
        <f>IF('Données projet'!$A$166&gt;35,DO28+DN29-DW28,IF(A29&lt;'Données projet'!$A$166,$DL$205^A29,IF(A29='Données projet'!$A$166,'Données projet'!$B$166,DO28+DN29-DW28)))</f>
        <v>105.82087604801265</v>
      </c>
      <c r="DP29" s="17">
        <f>DO29*VLOOKUP('Données projet'!$B$14,Paramètres!$A$1:$I$89,3,0)*VLOOKUP('Données projet'!$B$14,Paramètres!$A$1:$I$89,5,0)</f>
        <v>49.524169990469915</v>
      </c>
      <c r="DQ29" s="13">
        <f t="shared" si="43"/>
        <v>14.490806184311312</v>
      </c>
      <c r="DR29" s="20">
        <f t="shared" si="16"/>
        <v>111.4927501710773</v>
      </c>
      <c r="DS29" s="59">
        <f t="shared" si="17"/>
        <v>404.82608350441063</v>
      </c>
      <c r="DT29" s="59">
        <f ca="1">AVERAGE(OFFSET($DS$3,0,0,'Données projet'!$E$14+1,1))-AVERAGE(OFFSET($H$3,0,0,'Données projet'!$E$14+1,1))</f>
        <v>207.25176714718668</v>
      </c>
      <c r="DU29" s="59">
        <f t="shared" si="44"/>
        <v>191.53228014642559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15.073076923076925</v>
      </c>
      <c r="EJ29" s="12">
        <f>IF('Données projet'!$A$192&gt;35,EJ28+EI29-ER28,IF(A29&lt;'Données projet'!$A$192,$EG$205^A29,IF(A29='Données projet'!$A$192,'Données projet'!$B$192,EJ28+EI29-ER28)))</f>
        <v>164.92692307692306</v>
      </c>
      <c r="EK29" s="17">
        <f>EJ29*VLOOKUP('Données projet'!$B$15,Paramètres!$A$1:$I$89,3,0)*VLOOKUP('Données projet'!$B$15,Paramètres!$A$1:$I$89,5,0)</f>
        <v>98.626300000000001</v>
      </c>
      <c r="EL29" s="13">
        <f t="shared" si="45"/>
        <v>26.634469472597342</v>
      </c>
      <c r="EM29" s="20">
        <f t="shared" si="19"/>
        <v>218.16250683144037</v>
      </c>
      <c r="EN29" s="59">
        <f t="shared" si="20"/>
        <v>511.49584016477365</v>
      </c>
      <c r="EO29" s="59">
        <f ca="1">AVERAGE(OFFSET($EN$3,0,0,'Données projet'!$E$15+1,1))-AVERAGE(OFFSET($H$3,0,0,'Données projet'!$E$15+1,1))</f>
        <v>200.15574321350221</v>
      </c>
      <c r="EP29" s="59">
        <f t="shared" si="46"/>
        <v>200.70728852570426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16.442004116994532</v>
      </c>
      <c r="EX29" s="21">
        <f>EXP(-LN(2)/2)*EX28+(1-EXP(-LN(2)/2))/(LN(2)/2)*ER29*EU29*VLOOKUP('Données projet'!$B$15,Paramètres!$A$1:$I$89,3,0)*0.475*44/12</f>
        <v>6.25233902966455</v>
      </c>
      <c r="EY29" s="22">
        <f t="shared" si="21"/>
        <v>22.694343146659083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4.0628205128205126</v>
      </c>
      <c r="FE29" s="12">
        <f>IF('Données projet'!$A$218&gt;35,FE28+FD29-FM28,IF(A29&lt;'Données projet'!$A$218,$FB$205^A29,IF(A29='Données projet'!$A$218,'Données projet'!$B$218,FE28+FD29-FM28)))</f>
        <v>64.242491006222849</v>
      </c>
      <c r="FF29" s="17">
        <f>FE29*VLOOKUP('Données projet'!$B$16,Paramètres!$A$1:$I$89,3,0)*VLOOKUP('Données projet'!$B$16,Paramètres!$A$1:$I$89,5,0)</f>
        <v>69.150617319098274</v>
      </c>
      <c r="FG29" s="13">
        <f t="shared" si="47"/>
        <v>19.462376278572883</v>
      </c>
      <c r="FH29" s="20">
        <f t="shared" si="22"/>
        <v>154.33429718261061</v>
      </c>
      <c r="FI29" s="59">
        <f t="shared" si="23"/>
        <v>447.66763051594393</v>
      </c>
      <c r="FJ29" s="59">
        <f ca="1">AVERAGE(OFFSET($FI$3,0,0,'Données projet'!$E$16+1,1))-AVERAGE(OFFSET($H$3,0,0,'Données projet'!$E$16+1,1))</f>
        <v>347.17049316703486</v>
      </c>
      <c r="FK29" s="59">
        <f t="shared" si="48"/>
        <v>255.45365487683489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7">
        <f t="shared" si="1"/>
        <v>322.8902060684394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584.64304574656251</v>
      </c>
      <c r="S30" s="59">
        <f ca="1">AVERAGE(OFFSET($R$3,0,0,'Données projet'!$E$9+1,1))-AVERAGE(OFFSET($H$3,0,0,'Données projet'!$E$9+1,1))</f>
        <v>266.02599413192075</v>
      </c>
      <c r="T30" s="59">
        <f t="shared" si="34"/>
        <v>332.94146254783254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4.0628205128205126</v>
      </c>
      <c r="AI30" s="13">
        <f>IF('Données projet'!$A$62&gt;35,AI29+AH30-AQ29,IF(A30&lt;'Données projet'!$A$62,$AF$205^A30,IF(A30='Données projet'!$A$62,'Données projet'!$B$62,AI29+AH30-AQ29)))</f>
        <v>75.396988922564091</v>
      </c>
      <c r="AJ30" s="13">
        <f>AI30*VLOOKUP('Données projet'!$B$10,Paramètres!$A$1:$I$89,3,0)*VLOOKUP('Données projet'!$B$10,Paramètres!$A$1:$I$89,5,0)</f>
        <v>68.219195577135991</v>
      </c>
      <c r="AK30" s="13">
        <f t="shared" si="35"/>
        <v>19.230560005562129</v>
      </c>
      <c r="AL30" s="20">
        <f t="shared" si="4"/>
        <v>152.30832430653254</v>
      </c>
      <c r="AM30" s="59">
        <f t="shared" si="5"/>
        <v>445.64165763986585</v>
      </c>
      <c r="AN30" s="59">
        <f ca="1">AVERAGE(OFFSET($AM$3,0,0,'Données projet'!$E$10+1,1))-AVERAGE(OFFSET($H$3,0,0,'Données projet'!$E$10+1,1))</f>
        <v>282.13645166362238</v>
      </c>
      <c r="AO30" s="59">
        <f t="shared" si="36"/>
        <v>210.5345332979457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16.687912087912089</v>
      </c>
      <c r="BD30" s="12">
        <f>IF('Données projet'!$A$88&gt;35,BD29+BC30-BL29,IF(A30&lt;'Données projet'!$A$88,$BA$205^A30,IF(A30='Données projet'!$A$88,'Données projet'!$B$88,BD29+BC30-BL29)))</f>
        <v>219.01978021978016</v>
      </c>
      <c r="BE30" s="13">
        <f>BD30*VLOOKUP('Données projet'!$B$11,Paramètres!$A$1:$I$89,3,0)*VLOOKUP('Données projet'!$B$11,Paramètres!$A$1:$I$89,5,0)</f>
        <v>122.43205714285712</v>
      </c>
      <c r="BF30" s="13">
        <f t="shared" si="37"/>
        <v>32.241572593058322</v>
      </c>
      <c r="BG30" s="20">
        <f t="shared" si="7"/>
        <v>269.38990512338603</v>
      </c>
      <c r="BH30" s="59">
        <f t="shared" si="8"/>
        <v>562.7232384567194</v>
      </c>
      <c r="BI30" s="59">
        <f ca="1">AVERAGE(OFFSET($BH$3,0,0,'Données projet'!$E$11+1,1))-AVERAGE(OFFSET($H$3,0,0,'Données projet'!$E$11+1,1))</f>
        <v>254.6443970237226</v>
      </c>
      <c r="BJ30" s="59">
        <f t="shared" si="38"/>
        <v>231.81667808018062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11.783202540663956</v>
      </c>
      <c r="BR30" s="21">
        <f>EXP(-LN(2)/2)*BR29+(1-EXP(-LN(2)/2))/(LN(2)/2)*BL30*BO30*VLOOKUP('Données projet'!$B$11,Paramètres!$A$1:$I$89,3,0)*0.475*44/12</f>
        <v>2.129330405878552</v>
      </c>
      <c r="BS30" s="22">
        <f t="shared" si="9"/>
        <v>13.912532946542507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2.9235042735042733</v>
      </c>
      <c r="BY30" s="12">
        <f>IF('Données projet'!$A$114&gt;35,BY29+BX30-CG29,IF(A30&lt;'Données projet'!$A$114,$BV$205^A30,IF(A30='Données projet'!$A$114,'Données projet'!$B$114,BY29+BX30-CG29)))</f>
        <v>56.068958494210662</v>
      </c>
      <c r="BZ30" s="13">
        <f>BY30*VLOOKUP('Données projet'!$B$12,Paramètres!$A$1:$I$89,3,0)*VLOOKUP('Données projet'!$B$12,Paramètres!$A$1:$I$89,5,0)</f>
        <v>56.853923913129613</v>
      </c>
      <c r="CA30" s="13">
        <f t="shared" si="39"/>
        <v>16.370366147143088</v>
      </c>
      <c r="CB30" s="20">
        <f t="shared" si="10"/>
        <v>127.53230518830827</v>
      </c>
      <c r="CC30" s="59">
        <f t="shared" si="11"/>
        <v>420.86563852164159</v>
      </c>
      <c r="CD30" s="59">
        <f ca="1">AVERAGE(OFFSET($CC$3,0,0,'Données projet'!$E$12+1,1))-AVERAGE(OFFSET($H$3,0,0,'Données projet'!$E$12+1,1))</f>
        <v>264.08050363622294</v>
      </c>
      <c r="CE30" s="59">
        <f t="shared" si="40"/>
        <v>164.48884512322883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16.687912087912089</v>
      </c>
      <c r="CT30" s="12">
        <f>IF('Données projet'!$A$140&gt;35,CT29+CS30-DB29,IF(A30&lt;'Données projet'!$A$140,$CQ$205^A30,IF(A30='Données projet'!$A$140,'Données projet'!$B$140,CT29+CS30-DB29)))</f>
        <v>219.01978021978016</v>
      </c>
      <c r="CU30" s="17">
        <f>CT30*VLOOKUP('Données projet'!$B$13,Paramètres!$A$1:$I$89,3,0)*VLOOKUP('Données projet'!$B$13,Paramètres!$A$1:$I$89,5,0)</f>
        <v>96.806742857142851</v>
      </c>
      <c r="CV30" s="13">
        <f t="shared" si="41"/>
        <v>26.199817143138237</v>
      </c>
      <c r="CW30" s="20">
        <f t="shared" si="13"/>
        <v>214.23642533382289</v>
      </c>
      <c r="CX30" s="59">
        <f t="shared" si="14"/>
        <v>507.56975866715618</v>
      </c>
      <c r="CY30" s="59">
        <f ca="1">AVERAGE(OFFSET($CX$3,0,0,'Données projet'!$E$13+1,1))-AVERAGE(OFFSET($H$3,0,0,'Données projet'!$E$13+1,1))</f>
        <v>194.7221767407824</v>
      </c>
      <c r="CZ30" s="59">
        <f t="shared" si="42"/>
        <v>177.6550559568646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9.3169508461063835</v>
      </c>
      <c r="DH30" s="21">
        <f>EXP(-LN(2)/2)*DH29+(1-EXP(-LN(2)/2))/(LN(2)/2)*DB30*DE30*VLOOKUP('Données projet'!$B$13,Paramètres!$A$1:$I$89,3,0)*0.475*44/12</f>
        <v>1.6836565999969952</v>
      </c>
      <c r="DI30" s="22">
        <f t="shared" si="15"/>
        <v>11.000607446103379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7.2264102564102561</v>
      </c>
      <c r="DO30" s="12">
        <f>IF('Données projet'!$A$166&gt;35,DO29+DN30-DW29,IF(A30&lt;'Données projet'!$A$166,$DL$205^A30,IF(A30='Données projet'!$A$166,'Données projet'!$B$166,DO29+DN30-DW29)))</f>
        <v>126.60168370519743</v>
      </c>
      <c r="DP30" s="17">
        <f>DO30*VLOOKUP('Données projet'!$B$14,Paramètres!$A$1:$I$89,3,0)*VLOOKUP('Données projet'!$B$14,Paramètres!$A$1:$I$89,5,0)</f>
        <v>59.249587974032401</v>
      </c>
      <c r="DQ30" s="13">
        <f t="shared" si="43"/>
        <v>16.97840255838226</v>
      </c>
      <c r="DR30" s="20">
        <f t="shared" si="16"/>
        <v>132.76375017728887</v>
      </c>
      <c r="DS30" s="59">
        <f t="shared" si="17"/>
        <v>426.09708351062216</v>
      </c>
      <c r="DT30" s="59">
        <f ca="1">AVERAGE(OFFSET($DS$3,0,0,'Données projet'!$E$14+1,1))-AVERAGE(OFFSET($H$3,0,0,'Données projet'!$E$14+1,1))</f>
        <v>207.25176714718668</v>
      </c>
      <c r="DU30" s="59">
        <f t="shared" si="44"/>
        <v>191.53228014642559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15.073076923076925</v>
      </c>
      <c r="EJ30" s="12">
        <f>IF('Données projet'!$A$192&gt;35,EJ29+EI30-ER29,IF(A30&lt;'Données projet'!$A$192,$EG$205^A30,IF(A30='Données projet'!$A$192,'Données projet'!$B$192,EJ29+EI30-ER29)))</f>
        <v>180</v>
      </c>
      <c r="EK30" s="17">
        <f>EJ30*VLOOKUP('Données projet'!$B$15,Paramètres!$A$1:$I$89,3,0)*VLOOKUP('Données projet'!$B$15,Paramètres!$A$1:$I$89,5,0)</f>
        <v>107.64</v>
      </c>
      <c r="EL30" s="13">
        <f t="shared" si="45"/>
        <v>28.774250263353583</v>
      </c>
      <c r="EM30" s="20">
        <f t="shared" si="19"/>
        <v>237.58815254200749</v>
      </c>
      <c r="EN30" s="59">
        <f t="shared" si="20"/>
        <v>530.92148587534075</v>
      </c>
      <c r="EO30" s="59">
        <f ca="1">AVERAGE(OFFSET($EN$3,0,0,'Données projet'!$E$15+1,1))-AVERAGE(OFFSET($H$3,0,0,'Données projet'!$E$15+1,1))</f>
        <v>200.15574321350221</v>
      </c>
      <c r="EP30" s="59">
        <f t="shared" si="46"/>
        <v>200.70728852570426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15.992396649767899</v>
      </c>
      <c r="EX30" s="21">
        <f>EXP(-LN(2)/2)*EX29+(1-EXP(-LN(2)/2))/(LN(2)/2)*ER30*EU30*VLOOKUP('Données projet'!$B$15,Paramètres!$A$1:$I$89,3,0)*0.475*44/12</f>
        <v>4.4210713261531218</v>
      </c>
      <c r="EY30" s="22">
        <f t="shared" si="21"/>
        <v>20.413467975921023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4.0628205128205126</v>
      </c>
      <c r="FE30" s="12">
        <f>IF('Données projet'!$A$218&gt;35,FE29+FD30-FM29,IF(A30&lt;'Données projet'!$A$218,$FB$205^A30,IF(A30='Données projet'!$A$218,'Données projet'!$B$218,FE29+FD30-FM29)))</f>
        <v>75.396988922564091</v>
      </c>
      <c r="FF30" s="17">
        <f>FE30*VLOOKUP('Données projet'!$B$16,Paramètres!$A$1:$I$89,3,0)*VLOOKUP('Données projet'!$B$16,Paramètres!$A$1:$I$89,5,0)</f>
        <v>81.157318876247984</v>
      </c>
      <c r="FG30" s="13">
        <f t="shared" si="47"/>
        <v>22.41991763647134</v>
      </c>
      <c r="FH30" s="20">
        <f t="shared" si="22"/>
        <v>180.39702025965281</v>
      </c>
      <c r="FI30" s="59">
        <f t="shared" si="23"/>
        <v>473.73035359298615</v>
      </c>
      <c r="FJ30" s="59">
        <f ca="1">AVERAGE(OFFSET($FI$3,0,0,'Données projet'!$E$16+1,1))-AVERAGE(OFFSET($H$3,0,0,'Données projet'!$E$16+1,1))</f>
        <v>347.17049316703486</v>
      </c>
      <c r="FK30" s="59">
        <f t="shared" si="48"/>
        <v>255.45365487683489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7">
        <f t="shared" si="1"/>
        <v>323.95183439748814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609.47521981504519</v>
      </c>
      <c r="S31" s="59">
        <f ca="1">AVERAGE(OFFSET($R$3,0,0,'Données projet'!$E$9+1,1))-AVERAGE(OFFSET($H$3,0,0,'Données projet'!$E$9+1,1))</f>
        <v>266.02599413192075</v>
      </c>
      <c r="T31" s="59">
        <f t="shared" si="34"/>
        <v>332.94146254783254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4.0628205128205126</v>
      </c>
      <c r="AI31" s="13">
        <f>IF('Données projet'!$A$62&gt;35,AI30+AH31-AQ30,IF(A31&lt;'Données projet'!$A$62,$AF$205^A31,IF(A31='Données projet'!$A$62,'Données projet'!$B$62,AI30+AH31-AQ30)))</f>
        <v>88.488255196060223</v>
      </c>
      <c r="AJ31" s="13">
        <f>AI31*VLOOKUP('Données projet'!$B$10,Paramètres!$A$1:$I$89,3,0)*VLOOKUP('Données projet'!$B$10,Paramètres!$A$1:$I$89,5,0)</f>
        <v>80.064173301395286</v>
      </c>
      <c r="AK31" s="13">
        <f t="shared" si="35"/>
        <v>22.15287410215139</v>
      </c>
      <c r="AL31" s="20">
        <f t="shared" si="4"/>
        <v>178.02802422784376</v>
      </c>
      <c r="AM31" s="59">
        <f t="shared" si="5"/>
        <v>471.3613575611771</v>
      </c>
      <c r="AN31" s="59">
        <f ca="1">AVERAGE(OFFSET($AM$3,0,0,'Données projet'!$E$10+1,1))-AVERAGE(OFFSET($H$3,0,0,'Données projet'!$E$10+1,1))</f>
        <v>282.13645166362238</v>
      </c>
      <c r="AO31" s="59">
        <f t="shared" si="36"/>
        <v>210.5345332979457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>
        <f>VLOOKUP(A31,'Données projet'!$A$87:$I$107,2,0)</f>
        <v>235.7076923076923</v>
      </c>
      <c r="BB31" s="12">
        <f>VLOOKUP(A31,'Données projet'!$A$87:$I$107,9,0)</f>
        <v>16.687912087912089</v>
      </c>
      <c r="BC31" s="12">
        <f t="array" ref="BC31">INDEX(BB:BB,MIN(IF(ISNUMBER(BB31:BB227),ROW(BB31:BB227),"")))</f>
        <v>16.687912087912089</v>
      </c>
      <c r="BD31" s="12">
        <f>IF('Données projet'!$A$88&gt;35,BD30+BC31-BL30,IF(A31&lt;'Données projet'!$A$88,$BA$205^A31,IF(A31='Données projet'!$A$88,'Données projet'!$B$88,BD30+BC31-BL30)))</f>
        <v>235.70769230769224</v>
      </c>
      <c r="BE31" s="13">
        <f>BD31*VLOOKUP('Données projet'!$B$11,Paramètres!$A$1:$I$89,3,0)*VLOOKUP('Données projet'!$B$11,Paramètres!$A$1:$I$89,5,0)</f>
        <v>131.76059999999995</v>
      </c>
      <c r="BF31" s="13">
        <f t="shared" si="37"/>
        <v>34.402863243711892</v>
      </c>
      <c r="BG31" s="20">
        <f t="shared" si="7"/>
        <v>289.40136514946477</v>
      </c>
      <c r="BH31" s="59">
        <f t="shared" si="8"/>
        <v>582.73469848279808</v>
      </c>
      <c r="BI31" s="59">
        <f ca="1">AVERAGE(OFFSET($BH$3,0,0,'Données projet'!$E$11+1,1))-AVERAGE(OFFSET($H$3,0,0,'Données projet'!$E$11+1,1))</f>
        <v>254.6443970237226</v>
      </c>
      <c r="BJ31" s="59">
        <f t="shared" si="38"/>
        <v>231.81667808018062</v>
      </c>
      <c r="BK31" s="15">
        <f>IF(ISNA(VLOOKUP(A31,'Données projet'!$A$87:$I$107,3,0)),0,VLOOKUP(A31,'Données projet'!$A$87:$I$107,3,0))</f>
        <v>2</v>
      </c>
      <c r="BL31" s="15">
        <f>IF(ISNA(VLOOKUP(A31,'Données projet'!$A$87:$I$107,4,0)),0,VLOOKUP(A31,'Données projet'!$A$87:$I$107,4,0))</f>
        <v>56.91538461538461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0.30800000000000005</v>
      </c>
      <c r="BO31" s="16">
        <f>IF(ISNA(VLOOKUP(A31,'Données projet'!$A$87:$I$107,7,0)),0%,VLOOKUP(A31,'Données projet'!$A$87:$I$107,7,0))</f>
        <v>0.44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24.409124618308635</v>
      </c>
      <c r="BR31" s="21">
        <f>EXP(-LN(2)/2)*BR30+(1-EXP(-LN(2)/2))/(LN(2)/2)*BL31*BO31*VLOOKUP('Données projet'!$B$11,Paramètres!$A$1:$I$89,3,0)*0.475*44/12</f>
        <v>17.355679737085048</v>
      </c>
      <c r="BS31" s="22">
        <f t="shared" si="9"/>
        <v>41.764804355393679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2.9235042735042733</v>
      </c>
      <c r="BY31" s="12">
        <f>IF('Données projet'!$A$114&gt;35,BY30+BX31-CG30,IF(A31&lt;'Données projet'!$A$114,$BV$205^A31,IF(A31='Données projet'!$A$114,'Données projet'!$B$114,BY30+BX31-CG30)))</f>
        <v>65.086360682202411</v>
      </c>
      <c r="BZ31" s="13">
        <f>BY31*VLOOKUP('Données projet'!$B$12,Paramètres!$A$1:$I$89,3,0)*VLOOKUP('Données projet'!$B$12,Paramètres!$A$1:$I$89,5,0)</f>
        <v>65.997569731753245</v>
      </c>
      <c r="CA31" s="13">
        <f t="shared" si="39"/>
        <v>18.67613290281286</v>
      </c>
      <c r="CB31" s="20">
        <f t="shared" si="10"/>
        <v>147.47336542186929</v>
      </c>
      <c r="CC31" s="59">
        <f t="shared" si="11"/>
        <v>440.8066987552026</v>
      </c>
      <c r="CD31" s="59">
        <f ca="1">AVERAGE(OFFSET($CC$3,0,0,'Données projet'!$E$12+1,1))-AVERAGE(OFFSET($H$3,0,0,'Données projet'!$E$12+1,1))</f>
        <v>264.08050363622294</v>
      </c>
      <c r="CE31" s="59">
        <f t="shared" si="40"/>
        <v>164.48884512322883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>
        <f>VLOOKUP(A31,'Données projet'!$A$139:$I$159,2,0)</f>
        <v>235.7076923076923</v>
      </c>
      <c r="CR31" s="12">
        <f>VLOOKUP(A31,'Données projet'!$A$139:$I$159,9,0)</f>
        <v>16.687912087912089</v>
      </c>
      <c r="CS31" s="12">
        <f t="array" ref="CS31">INDEX(CR:CR,MIN(IF(ISNUMBER(CR31:CR227),ROW(CR31:CR227),"")))</f>
        <v>16.687912087912089</v>
      </c>
      <c r="CT31" s="12">
        <f>IF('Données projet'!$A$140&gt;35,CT30+CS31-DB30,IF(A31&lt;'Données projet'!$A$140,$CQ$205^A31,IF(A31='Données projet'!$A$140,'Données projet'!$B$140,CT30+CS31-DB30)))</f>
        <v>235.70769230769224</v>
      </c>
      <c r="CU31" s="17">
        <f>CT31*VLOOKUP('Données projet'!$B$13,Paramètres!$A$1:$I$89,3,0)*VLOOKUP('Données projet'!$B$13,Paramètres!$A$1:$I$89,5,0)</f>
        <v>104.18279999999999</v>
      </c>
      <c r="CV31" s="13">
        <f t="shared" si="41"/>
        <v>27.956103058685983</v>
      </c>
      <c r="CW31" s="20">
        <f t="shared" si="13"/>
        <v>230.14192282721137</v>
      </c>
      <c r="CX31" s="59">
        <f t="shared" si="14"/>
        <v>523.47525616054463</v>
      </c>
      <c r="CY31" s="59">
        <f ca="1">AVERAGE(OFFSET($CX$3,0,0,'Données projet'!$E$13+1,1))-AVERAGE(OFFSET($H$3,0,0,'Données projet'!$E$13+1,1))</f>
        <v>194.7221767407824</v>
      </c>
      <c r="CZ31" s="59">
        <f t="shared" si="42"/>
        <v>177.6550559568646</v>
      </c>
      <c r="DA31" s="15">
        <f>IF(ISNA(VLOOKUP(A31,'Données projet'!$A$139:$I$159,3,0)),0,VLOOKUP(A31,'Données projet'!$A$139:$I$159,3,0))</f>
        <v>2</v>
      </c>
      <c r="DB31" s="15">
        <f>IF(ISNA(VLOOKUP(A31,'Données projet'!$A$139:$I$159,4,0)),0,VLOOKUP(A31,'Données projet'!$A$139:$I$159,4,0))</f>
        <v>56.91538461538461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0.30800000000000005</v>
      </c>
      <c r="DE31" s="16">
        <f>IF(ISNA(VLOOKUP(A31,'Données projet'!$A$139:$I$159,7,0)),0%,VLOOKUP(A31,'Données projet'!$A$139:$I$159,7,0))</f>
        <v>0.44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19.300238070290547</v>
      </c>
      <c r="DH31" s="21">
        <f>EXP(-LN(2)/2)*DH30+(1-EXP(-LN(2)/2))/(LN(2)/2)*DB31*DE31*VLOOKUP('Données projet'!$B$13,Paramètres!$A$1:$I$89,3,0)*0.475*44/12</f>
        <v>13.723095606067247</v>
      </c>
      <c r="DI31" s="22">
        <f t="shared" si="15"/>
        <v>33.023333676357794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7.2264102564102561</v>
      </c>
      <c r="DO31" s="12">
        <f>IF('Données projet'!$A$166&gt;35,DO30+DN31-DW30,IF(A31&lt;'Données projet'!$A$166,$DL$205^A31,IF(A31='Données projet'!$A$166,'Données projet'!$B$166,DO30+DN31-DW30)))</f>
        <v>151.46336824615491</v>
      </c>
      <c r="DP31" s="17">
        <f>DO31*VLOOKUP('Données projet'!$B$14,Paramètres!$A$1:$I$89,3,0)*VLOOKUP('Données projet'!$B$14,Paramètres!$A$1:$I$89,5,0)</f>
        <v>70.884856339200496</v>
      </c>
      <c r="DQ31" s="13">
        <f t="shared" si="43"/>
        <v>19.893037679751526</v>
      </c>
      <c r="DR31" s="20">
        <f t="shared" si="16"/>
        <v>158.10483208300809</v>
      </c>
      <c r="DS31" s="59">
        <f t="shared" si="17"/>
        <v>451.43816541634141</v>
      </c>
      <c r="DT31" s="59">
        <f ca="1">AVERAGE(OFFSET($DS$3,0,0,'Données projet'!$E$14+1,1))-AVERAGE(OFFSET($H$3,0,0,'Données projet'!$E$14+1,1))</f>
        <v>207.25176714718668</v>
      </c>
      <c r="DU31" s="59">
        <f t="shared" si="44"/>
        <v>191.53228014642559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15.073076923076925</v>
      </c>
      <c r="EJ31" s="12">
        <f>IF('Données projet'!$A$192&gt;35,EJ30+EI31-ER30,IF(A31&lt;'Données projet'!$A$192,$EG$205^A31,IF(A31='Données projet'!$A$192,'Données projet'!$B$192,EJ30+EI31-ER30)))</f>
        <v>195.07307692307694</v>
      </c>
      <c r="EK31" s="17">
        <f>EJ31*VLOOKUP('Données projet'!$B$15,Paramètres!$A$1:$I$89,3,0)*VLOOKUP('Données projet'!$B$15,Paramètres!$A$1:$I$89,5,0)</f>
        <v>116.65370000000001</v>
      </c>
      <c r="EL31" s="13">
        <f t="shared" si="45"/>
        <v>30.893249762406356</v>
      </c>
      <c r="EM31" s="20">
        <f t="shared" si="19"/>
        <v>256.9776041695244</v>
      </c>
      <c r="EN31" s="59">
        <f t="shared" si="20"/>
        <v>550.31093750285777</v>
      </c>
      <c r="EO31" s="59">
        <f ca="1">AVERAGE(OFFSET($EN$3,0,0,'Données projet'!$E$15+1,1))-AVERAGE(OFFSET($H$3,0,0,'Données projet'!$E$15+1,1))</f>
        <v>200.15574321350221</v>
      </c>
      <c r="EP31" s="59">
        <f t="shared" si="46"/>
        <v>200.70728852570426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15.555083722376407</v>
      </c>
      <c r="EX31" s="21">
        <f>EXP(-LN(2)/2)*EX30+(1-EXP(-LN(2)/2))/(LN(2)/2)*ER31*EU31*VLOOKUP('Données projet'!$B$15,Paramètres!$A$1:$I$89,3,0)*0.475*44/12</f>
        <v>3.126169514832275</v>
      </c>
      <c r="EY31" s="22">
        <f t="shared" si="21"/>
        <v>18.681253237208683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4.0628205128205126</v>
      </c>
      <c r="FE31" s="12">
        <f>IF('Données projet'!$A$218&gt;35,FE30+FD31-FM30,IF(A31&lt;'Données projet'!$A$218,$FB$205^A31,IF(A31='Données projet'!$A$218,'Données projet'!$B$218,FE30+FD31-FM30)))</f>
        <v>88.488255196060223</v>
      </c>
      <c r="FF31" s="17">
        <f>FE31*VLOOKUP('Données projet'!$B$16,Paramètres!$A$1:$I$89,3,0)*VLOOKUP('Données projet'!$B$16,Paramètres!$A$1:$I$89,5,0)</f>
        <v>95.248757893039226</v>
      </c>
      <c r="FG31" s="13">
        <f t="shared" si="47"/>
        <v>25.826892853754671</v>
      </c>
      <c r="FH31" s="20">
        <f t="shared" si="22"/>
        <v>210.87342505066601</v>
      </c>
      <c r="FI31" s="59">
        <f t="shared" si="23"/>
        <v>504.20675838399933</v>
      </c>
      <c r="FJ31" s="59">
        <f ca="1">AVERAGE(OFFSET($FI$3,0,0,'Données projet'!$E$16+1,1))-AVERAGE(OFFSET($H$3,0,0,'Données projet'!$E$16+1,1))</f>
        <v>347.17049316703486</v>
      </c>
      <c r="FK31" s="59">
        <f t="shared" si="48"/>
        <v>255.45365487683489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7">
        <f t="shared" si="1"/>
        <v>325.01243977062239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634.26418558316107</v>
      </c>
      <c r="S32" s="59">
        <f ca="1">AVERAGE(OFFSET($R$3,0,0,'Données projet'!$E$9+1,1))-AVERAGE(OFFSET($H$3,0,0,'Données projet'!$E$9+1,1))</f>
        <v>266.02599413192075</v>
      </c>
      <c r="T32" s="59">
        <f t="shared" si="34"/>
        <v>332.94146254783254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4.0628205128205126</v>
      </c>
      <c r="AI32" s="13">
        <f>IF('Données projet'!$A$62&gt;35,AI31+AH32-AQ31,IF(A32&lt;'Données projet'!$A$62,$AF$205^A32,IF(A32='Données projet'!$A$62,'Données projet'!$B$62,AI31+AH32-AQ31)))</f>
        <v>103.85257315361756</v>
      </c>
      <c r="AJ32" s="13">
        <f>AI32*VLOOKUP('Données projet'!$B$10,Paramètres!$A$1:$I$89,3,0)*VLOOKUP('Données projet'!$B$10,Paramètres!$A$1:$I$89,5,0)</f>
        <v>93.965808189393158</v>
      </c>
      <c r="AK32" s="13">
        <f t="shared" si="35"/>
        <v>25.519268853524185</v>
      </c>
      <c r="AL32" s="20">
        <f t="shared" si="4"/>
        <v>208.10317584974769</v>
      </c>
      <c r="AM32" s="59">
        <f t="shared" si="5"/>
        <v>501.436509183081</v>
      </c>
      <c r="AN32" s="59">
        <f ca="1">AVERAGE(OFFSET($AM$3,0,0,'Données projet'!$E$10+1,1))-AVERAGE(OFFSET($H$3,0,0,'Données projet'!$E$10+1,1))</f>
        <v>282.13645166362238</v>
      </c>
      <c r="AO32" s="59">
        <f t="shared" si="36"/>
        <v>210.5345332979457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18.099999999999994</v>
      </c>
      <c r="BD32" s="12">
        <f>IF('Données projet'!$A$88&gt;35,BD31+BC32-BL31,IF(A32&lt;'Données projet'!$A$88,$BA$205^A32,IF(A32='Données projet'!$A$88,'Données projet'!$B$88,BD31+BC32-BL31)))</f>
        <v>196.89230769230761</v>
      </c>
      <c r="BE32" s="13">
        <f>BD32*VLOOKUP('Données projet'!$B$11,Paramètres!$A$1:$I$89,3,0)*VLOOKUP('Données projet'!$B$11,Paramètres!$A$1:$I$89,5,0)</f>
        <v>110.06279999999995</v>
      </c>
      <c r="BF32" s="13">
        <f t="shared" si="37"/>
        <v>29.345780250854357</v>
      </c>
      <c r="BG32" s="20">
        <f t="shared" si="7"/>
        <v>242.80327727023788</v>
      </c>
      <c r="BH32" s="59">
        <f t="shared" si="8"/>
        <v>536.13661060357117</v>
      </c>
      <c r="BI32" s="59">
        <f ca="1">AVERAGE(OFFSET($BH$3,0,0,'Données projet'!$E$11+1,1))-AVERAGE(OFFSET($H$3,0,0,'Données projet'!$E$11+1,1))</f>
        <v>254.6443970237226</v>
      </c>
      <c r="BJ32" s="59">
        <f t="shared" si="38"/>
        <v>231.81667808018062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23.741655822000908</v>
      </c>
      <c r="BR32" s="21">
        <f>EXP(-LN(2)/2)*BR31+(1-EXP(-LN(2)/2))/(LN(2)/2)*BL32*BO32*VLOOKUP('Données projet'!$B$11,Paramètres!$A$1:$I$89,3,0)*0.475*44/12</f>
        <v>12.272318834194794</v>
      </c>
      <c r="BS32" s="22">
        <f t="shared" si="9"/>
        <v>36.0139746561957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2.9235042735042733</v>
      </c>
      <c r="BY32" s="12">
        <f>IF('Données projet'!$A$114&gt;35,BY31+BX32-CG31,IF(A32&lt;'Données projet'!$A$114,$BV$205^A32,IF(A32='Données projet'!$A$114,'Données projet'!$B$114,BY31+BX32-CG31)))</f>
        <v>75.55400457975604</v>
      </c>
      <c r="BZ32" s="13">
        <f>BY32*VLOOKUP('Données projet'!$B$12,Paramètres!$A$1:$I$89,3,0)*VLOOKUP('Données projet'!$B$12,Paramètres!$A$1:$I$89,5,0)</f>
        <v>76.611760643872628</v>
      </c>
      <c r="CA32" s="13">
        <f t="shared" si="39"/>
        <v>21.306667002338269</v>
      </c>
      <c r="CB32" s="20">
        <f t="shared" si="10"/>
        <v>170.54126148381732</v>
      </c>
      <c r="CC32" s="59">
        <f t="shared" si="11"/>
        <v>463.87459481715064</v>
      </c>
      <c r="CD32" s="59">
        <f ca="1">AVERAGE(OFFSET($CC$3,0,0,'Données projet'!$E$12+1,1))-AVERAGE(OFFSET($H$3,0,0,'Données projet'!$E$12+1,1))</f>
        <v>264.08050363622294</v>
      </c>
      <c r="CE32" s="59">
        <f t="shared" si="40"/>
        <v>164.48884512322883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18.099999999999994</v>
      </c>
      <c r="CT32" s="12">
        <f>IF('Données projet'!$A$140&gt;35,CT31+CS32-DB31,IF(A32&lt;'Données projet'!$A$140,$CQ$205^A32,IF(A32='Données projet'!$A$140,'Données projet'!$B$140,CT31+CS32-DB31)))</f>
        <v>196.89230769230761</v>
      </c>
      <c r="CU32" s="17">
        <f>CT32*VLOOKUP('Données projet'!$B$13,Paramètres!$A$1:$I$89,3,0)*VLOOKUP('Données projet'!$B$13,Paramètres!$A$1:$I$89,5,0)</f>
        <v>87.026399999999967</v>
      </c>
      <c r="CV32" s="13">
        <f t="shared" si="41"/>
        <v>23.846667971172021</v>
      </c>
      <c r="CW32" s="20">
        <f t="shared" si="13"/>
        <v>193.10392671645786</v>
      </c>
      <c r="CX32" s="59">
        <f t="shared" si="14"/>
        <v>486.43726004979118</v>
      </c>
      <c r="CY32" s="59">
        <f ca="1">AVERAGE(OFFSET($CX$3,0,0,'Données projet'!$E$13+1,1))-AVERAGE(OFFSET($H$3,0,0,'Données projet'!$E$13+1,1))</f>
        <v>194.7221767407824</v>
      </c>
      <c r="CZ32" s="59">
        <f t="shared" si="42"/>
        <v>177.6550559568646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18.772472045303044</v>
      </c>
      <c r="DH32" s="21">
        <f>EXP(-LN(2)/2)*DH31+(1-EXP(-LN(2)/2))/(LN(2)/2)*DB32*DE32*VLOOKUP('Données projet'!$B$13,Paramètres!$A$1:$I$89,3,0)*0.475*44/12</f>
        <v>9.7036939619214646</v>
      </c>
      <c r="DI32" s="22">
        <f t="shared" si="15"/>
        <v>28.476166007224506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7.2264102564102561</v>
      </c>
      <c r="DO32" s="12">
        <f>IF('Données projet'!$A$166&gt;35,DO31+DN32-DW31,IF(A32&lt;'Données projet'!$A$166,$DL$205^A32,IF(A32='Données projet'!$A$166,'Données projet'!$B$166,DO31+DN32-DW31)))</f>
        <v>181.20732085910257</v>
      </c>
      <c r="DP32" s="17">
        <f>DO32*VLOOKUP('Données projet'!$B$14,Paramètres!$A$1:$I$89,3,0)*VLOOKUP('Données projet'!$B$14,Paramètres!$A$1:$I$89,5,0)</f>
        <v>84.805026162060003</v>
      </c>
      <c r="DQ32" s="13">
        <f t="shared" si="43"/>
        <v>23.308020101846395</v>
      </c>
      <c r="DR32" s="20">
        <f t="shared" si="16"/>
        <v>188.29688890963698</v>
      </c>
      <c r="DS32" s="59">
        <f t="shared" si="17"/>
        <v>481.63022224297026</v>
      </c>
      <c r="DT32" s="59">
        <f ca="1">AVERAGE(OFFSET($DS$3,0,0,'Données projet'!$E$14+1,1))-AVERAGE(OFFSET($H$3,0,0,'Données projet'!$E$14+1,1))</f>
        <v>207.25176714718668</v>
      </c>
      <c r="DU32" s="59">
        <f t="shared" si="44"/>
        <v>191.53228014642559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>
        <f>VLOOKUP(A32,'Données projet'!$A$191:$I$211,2,0)</f>
        <v>210.14615384615385</v>
      </c>
      <c r="EH32" s="12">
        <f>VLOOKUP(A32,'Données projet'!$A$191:$I$211,9,0)</f>
        <v>15.073076923076925</v>
      </c>
      <c r="EI32" s="12">
        <f t="array" ref="EI32">INDEX(EH:EH,MIN(IF(ISNUMBER(EH32:EH228),ROW(EH32:EH228),"")))</f>
        <v>15.073076923076925</v>
      </c>
      <c r="EJ32" s="12">
        <f>IF('Données projet'!$A$192&gt;35,EJ31+EI32-ER31,IF(A32&lt;'Données projet'!$A$192,$EG$205^A32,IF(A32='Données projet'!$A$192,'Données projet'!$B$192,EJ31+EI32-ER31)))</f>
        <v>210.14615384615388</v>
      </c>
      <c r="EK32" s="17">
        <f>EJ32*VLOOKUP('Données projet'!$B$15,Paramètres!$A$1:$I$89,3,0)*VLOOKUP('Données projet'!$B$15,Paramètres!$A$1:$I$89,5,0)</f>
        <v>125.66740000000003</v>
      </c>
      <c r="EL32" s="13">
        <f t="shared" si="45"/>
        <v>32.993256286656127</v>
      </c>
      <c r="EM32" s="20">
        <f t="shared" si="19"/>
        <v>276.33397636592611</v>
      </c>
      <c r="EN32" s="59">
        <f t="shared" si="20"/>
        <v>569.66730969925948</v>
      </c>
      <c r="EO32" s="59">
        <f ca="1">AVERAGE(OFFSET($EN$3,0,0,'Données projet'!$E$15+1,1))-AVERAGE(OFFSET($H$3,0,0,'Données projet'!$E$15+1,1))</f>
        <v>200.15574321350221</v>
      </c>
      <c r="EP32" s="59">
        <f t="shared" si="46"/>
        <v>200.70728852570426</v>
      </c>
      <c r="EQ32" s="15">
        <f>IF(ISNA(VLOOKUP(A32,'Données projet'!$A$191:$I$211,3,0)),0,VLOOKUP(A32,'Données projet'!$A$191:$I$211,3,0))</f>
        <v>3</v>
      </c>
      <c r="ER32" s="15">
        <f>IF(ISNA(VLOOKUP(A32,'Données projet'!$A$191:$I$211,4,0)),0,VLOOKUP(A32,'Données projet'!$A$191:$I$211,4,0))</f>
        <v>47.661538461538463</v>
      </c>
      <c r="ES32" s="16">
        <f>IF(ISNA(VLOOKUP(A32,'Données projet'!$A$191:$I$211,5,0)),0%,VLOOKUP(A32,'Données projet'!$A$191:$I$211,5,0)*VLOOKUP('Données projet'!$B$15,Paramètres!$A$1:$I$89,7,0))</f>
        <v>0.315</v>
      </c>
      <c r="ET32" s="16">
        <f>IF(ISNA(VLOOKUP(A32,'Données projet'!$A$191:$I$211,6,0)),0%,VLOOKUP(A32,'Données projet'!$A$191:$I$211,6,0)*VLOOKUP('Données projet'!$B$15,Paramètres!$A$1:$I$89,7,0))</f>
        <v>7.5600000000000001E-2</v>
      </c>
      <c r="EU32" s="16">
        <f>IF(ISNA(VLOOKUP(A32,'Données projet'!$A$191:$I$211,7,0)),0%,VLOOKUP(A32,'Données projet'!$A$191:$I$211,7,0))</f>
        <v>0.13200000000000001</v>
      </c>
      <c r="EV32" s="21">
        <f>EXP(-LN(2)/35)*EV31+(1-EXP(-LN(2)/35))/(LN(2)/35)*ER32*ES32*VLOOKUP('Données projet'!$B$15,Paramètres!$A$1:$I$89,3,0)*0.475*44/12</f>
        <v>11.909900987194014</v>
      </c>
      <c r="EW32" s="21">
        <f>EXP(-LN(2)/25)*EW31+(1-EXP(-LN(2)/25))/(LN(2)/25)*Calculateur!ER32*Calculateur!ET32*VLOOKUP('Données projet'!$B$15,Paramètres!$A$1:$I$89,3,0)*0.475*44/12</f>
        <v>17.976850860536775</v>
      </c>
      <c r="EX32" s="21">
        <f>EXP(-LN(2)/2)*EX31+(1-EXP(-LN(2)/2))/(LN(2)/2)*ER32*EU32*VLOOKUP('Données projet'!$B$15,Paramètres!$A$1:$I$89,3,0)*0.475*44/12</f>
        <v>6.4702326938323633</v>
      </c>
      <c r="EY32" s="22">
        <f t="shared" si="21"/>
        <v>36.356984541563151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4.0628205128205126</v>
      </c>
      <c r="FE32" s="12">
        <f>IF('Données projet'!$A$218&gt;35,FE31+FD32-FM31,IF(A32&lt;'Données projet'!$A$218,$FB$205^A32,IF(A32='Données projet'!$A$218,'Données projet'!$B$218,FE31+FD32-FM31)))</f>
        <v>103.85257315361756</v>
      </c>
      <c r="FF32" s="17">
        <f>FE32*VLOOKUP('Données projet'!$B$16,Paramètres!$A$1:$I$89,3,0)*VLOOKUP('Données projet'!$B$16,Paramètres!$A$1:$I$89,5,0)</f>
        <v>111.78690974255393</v>
      </c>
      <c r="FG32" s="13">
        <f t="shared" si="47"/>
        <v>29.751598792416779</v>
      </c>
      <c r="FH32" s="20">
        <f t="shared" si="22"/>
        <v>246.51290236507396</v>
      </c>
      <c r="FI32" s="59">
        <f t="shared" si="23"/>
        <v>539.84623569840733</v>
      </c>
      <c r="FJ32" s="59">
        <f ca="1">AVERAGE(OFFSET($FI$3,0,0,'Données projet'!$E$16+1,1))-AVERAGE(OFFSET($H$3,0,0,'Données projet'!$E$16+1,1))</f>
        <v>347.17049316703486</v>
      </c>
      <c r="FK32" s="59">
        <f t="shared" si="48"/>
        <v>255.45365487683489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7">
        <f t="shared" si="1"/>
        <v>326.07206150502611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659.01352405285866</v>
      </c>
      <c r="S33" s="59">
        <f ca="1">AVERAGE(OFFSET($R$3,0,0,'Données projet'!$E$9+1,1))-AVERAGE(OFFSET($H$3,0,0,'Données projet'!$E$9+1,1))</f>
        <v>266.02599413192075</v>
      </c>
      <c r="T33" s="59">
        <f t="shared" si="34"/>
        <v>332.94146254783254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121.88461538461537</v>
      </c>
      <c r="AG33" s="12">
        <f>VLOOKUP(A33,'Données projet'!$A$61:$I$81,9,0)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projet'!$A$62&gt;35,AI32+AH33-AQ32,IF(A33&lt;'Données projet'!$A$62,$AF$205^A33,IF(A33='Données projet'!$A$62,'Données projet'!$B$62,AI32+AH33-AQ32)))</f>
        <v>121.88461538461537</v>
      </c>
      <c r="AJ33" s="13">
        <f>AI33*VLOOKUP('Données projet'!$B$10,Paramètres!$A$1:$I$89,3,0)*VLOOKUP('Données projet'!$B$10,Paramètres!$A$1:$I$89,5,0)</f>
        <v>110.2812</v>
      </c>
      <c r="AK33" s="13">
        <f t="shared" si="35"/>
        <v>29.397227638069996</v>
      </c>
      <c r="AL33" s="20">
        <f t="shared" si="4"/>
        <v>243.27326146963856</v>
      </c>
      <c r="AM33" s="59">
        <f t="shared" si="5"/>
        <v>536.60659480297181</v>
      </c>
      <c r="AN33" s="59">
        <f ca="1">AVERAGE(OFFSET($AM$3,0,0,'Données projet'!$E$10+1,1))-AVERAGE(OFFSET($H$3,0,0,'Données projet'!$E$10+1,1))</f>
        <v>282.13645166362238</v>
      </c>
      <c r="AO33" s="59">
        <f t="shared" si="36"/>
        <v>210.5345332979457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214.99230769230769</v>
      </c>
      <c r="BB33" s="12">
        <f>VLOOKUP(A33,'Données projet'!$A$87:$I$107,9,0)</f>
        <v>18.099999999999994</v>
      </c>
      <c r="BC33" s="12">
        <f t="array" ref="BC33">INDEX(BB:BB,MIN(IF(ISNUMBER(BB33:BB229),ROW(BB33:BB229),"")))</f>
        <v>18.099999999999994</v>
      </c>
      <c r="BD33" s="12">
        <f>IF('Données projet'!$A$88&gt;35,BD32+BC33-BL32,IF(A33&lt;'Données projet'!$A$88,$BA$205^A33,IF(A33='Données projet'!$A$88,'Données projet'!$B$88,BD32+BC33-BL32)))</f>
        <v>214.99230769230761</v>
      </c>
      <c r="BE33" s="13">
        <f>BD33*VLOOKUP('Données projet'!$B$11,Paramètres!$A$1:$I$89,3,0)*VLOOKUP('Données projet'!$B$11,Paramètres!$A$1:$I$89,5,0)</f>
        <v>120.18069999999996</v>
      </c>
      <c r="BF33" s="13">
        <f t="shared" si="37"/>
        <v>31.717140910166616</v>
      </c>
      <c r="BG33" s="20">
        <f t="shared" si="7"/>
        <v>264.55540625187342</v>
      </c>
      <c r="BH33" s="59">
        <f t="shared" si="8"/>
        <v>557.88873958520674</v>
      </c>
      <c r="BI33" s="59">
        <f ca="1">AVERAGE(OFFSET($BH$3,0,0,'Données projet'!$E$11+1,1))-AVERAGE(OFFSET($H$3,0,0,'Données projet'!$E$11+1,1))</f>
        <v>254.6443970237226</v>
      </c>
      <c r="BJ33" s="59">
        <f t="shared" si="38"/>
        <v>231.81667808018062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23.092438995028875</v>
      </c>
      <c r="BR33" s="21">
        <f>EXP(-LN(2)/2)*BR32+(1-EXP(-LN(2)/2))/(LN(2)/2)*BL33*BO33*VLOOKUP('Données projet'!$B$11,Paramètres!$A$1:$I$89,3,0)*0.475*44/12</f>
        <v>8.6778398685425238</v>
      </c>
      <c r="BS33" s="22">
        <f t="shared" si="9"/>
        <v>31.770278863571399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87.705128205128204</v>
      </c>
      <c r="BW33" s="12">
        <f>VLOOKUP(A33,'Données projet'!$A$113:$I$133,9,0)</f>
        <v>2.9235042735042733</v>
      </c>
      <c r="BX33" s="12">
        <f t="array" ref="BX33">INDEX(BW:BW,MIN(IF(ISNUMBER(BW33:BW229),ROW(BW33:BW229),"")))</f>
        <v>2.9235042735042733</v>
      </c>
      <c r="BY33" s="12">
        <f>IF('Données projet'!$A$114&gt;35,BY32+BX33-CG32,IF(A33&lt;'Données projet'!$A$114,$BV$205^A33,IF(A33='Données projet'!$A$114,'Données projet'!$B$114,BY32+BX33-CG32)))</f>
        <v>87.705128205128204</v>
      </c>
      <c r="BZ33" s="13">
        <f>BY33*VLOOKUP('Données projet'!$B$12,Paramètres!$A$1:$I$89,3,0)*VLOOKUP('Données projet'!$B$12,Paramètres!$A$1:$I$89,5,0)</f>
        <v>88.933000000000007</v>
      </c>
      <c r="CA33" s="13">
        <f t="shared" si="39"/>
        <v>24.307711939667918</v>
      </c>
      <c r="CB33" s="20">
        <f t="shared" si="10"/>
        <v>197.22757329492163</v>
      </c>
      <c r="CC33" s="59">
        <f t="shared" si="11"/>
        <v>490.56090662825494</v>
      </c>
      <c r="CD33" s="59">
        <f ca="1">AVERAGE(OFFSET($CC$3,0,0,'Données projet'!$E$12+1,1))-AVERAGE(OFFSET($H$3,0,0,'Données projet'!$E$12+1,1))</f>
        <v>264.08050363622294</v>
      </c>
      <c r="CE33" s="59">
        <f t="shared" si="40"/>
        <v>164.48884512322883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214.99230769230769</v>
      </c>
      <c r="CR33" s="12">
        <f>VLOOKUP(A33,'Données projet'!$A$139:$I$159,9,0)</f>
        <v>18.099999999999994</v>
      </c>
      <c r="CS33" s="12">
        <f t="array" ref="CS33">INDEX(CR:CR,MIN(IF(ISNUMBER(CR33:CR229),ROW(CR33:CR229),"")))</f>
        <v>18.099999999999994</v>
      </c>
      <c r="CT33" s="12">
        <f>IF('Données projet'!$A$140&gt;35,CT32+CS33-DB32,IF(A33&lt;'Données projet'!$A$140,$CQ$205^A33,IF(A33='Données projet'!$A$140,'Données projet'!$B$140,CT32+CS33-DB32)))</f>
        <v>214.99230769230761</v>
      </c>
      <c r="CU33" s="17">
        <f>CT33*VLOOKUP('Données projet'!$B$13,Paramètres!$A$1:$I$89,3,0)*VLOOKUP('Données projet'!$B$13,Paramètres!$A$1:$I$89,5,0)</f>
        <v>95.026599999999959</v>
      </c>
      <c r="CV33" s="13">
        <f t="shared" si="41"/>
        <v>25.773658829793771</v>
      </c>
      <c r="CW33" s="20">
        <f t="shared" si="13"/>
        <v>210.3937841285574</v>
      </c>
      <c r="CX33" s="59">
        <f t="shared" si="14"/>
        <v>503.72711746189071</v>
      </c>
      <c r="CY33" s="59">
        <f ca="1">AVERAGE(OFFSET($CX$3,0,0,'Données projet'!$E$13+1,1))-AVERAGE(OFFSET($H$3,0,0,'Données projet'!$E$13+1,1))</f>
        <v>194.7221767407824</v>
      </c>
      <c r="CZ33" s="59">
        <f t="shared" si="42"/>
        <v>177.6550559568646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18.259137810022832</v>
      </c>
      <c r="DH33" s="21">
        <f>EXP(-LN(2)/2)*DH32+(1-EXP(-LN(2)/2))/(LN(2)/2)*DB33*DE33*VLOOKUP('Données projet'!$B$13,Paramètres!$A$1:$I$89,3,0)*0.475*44/12</f>
        <v>6.8615478030336243</v>
      </c>
      <c r="DI33" s="22">
        <f t="shared" si="15"/>
        <v>25.120685613056455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216.79230769230767</v>
      </c>
      <c r="DM33" s="12">
        <f>VLOOKUP(A33,'Données projet'!$A$165:$I$185,9,0)</f>
        <v>7.2264102564102561</v>
      </c>
      <c r="DN33" s="12">
        <f t="array" ref="DN33">INDEX(DM:DM,MIN(IF(ISNUMBER(DM33:DM229),ROW(DM33:DM229),"")))</f>
        <v>7.2264102564102561</v>
      </c>
      <c r="DO33" s="12">
        <f>IF('Données projet'!$A$166&gt;35,DO32+DN33-DW32,IF(A33&lt;'Données projet'!$A$166,$DL$205^A33,IF(A33='Données projet'!$A$166,'Données projet'!$B$166,DO32+DN33-DW32)))</f>
        <v>216.79230769230767</v>
      </c>
      <c r="DP33" s="17">
        <f>DO33*VLOOKUP('Données projet'!$B$14,Paramètres!$A$1:$I$89,3,0)*VLOOKUP('Données projet'!$B$14,Paramètres!$A$1:$I$89,5,0)</f>
        <v>101.45879999999998</v>
      </c>
      <c r="DQ33" s="13">
        <f t="shared" si="43"/>
        <v>27.309243053465156</v>
      </c>
      <c r="DR33" s="20">
        <f t="shared" si="16"/>
        <v>224.27100831811845</v>
      </c>
      <c r="DS33" s="59">
        <f t="shared" si="17"/>
        <v>517.6043416514517</v>
      </c>
      <c r="DT33" s="59">
        <f ca="1">AVERAGE(OFFSET($DS$3,0,0,'Données projet'!$E$14+1,1))-AVERAGE(OFFSET($H$3,0,0,'Données projet'!$E$14+1,1))</f>
        <v>207.25176714718668</v>
      </c>
      <c r="DU33" s="59">
        <f t="shared" si="44"/>
        <v>191.53228014642559</v>
      </c>
      <c r="DV33" s="15" t="str">
        <f>IF(ISNA(VLOOKUP(A33,'Données projet'!$A$165:$I$185,3,0)),0,VLOOKUP(A33,'Données projet'!$A$165:$I$185,3,0))</f>
        <v>na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0.38500000000000001</v>
      </c>
      <c r="DY33" s="16">
        <f>IF(ISNA(VLOOKUP(A33,'Données projet'!$A$165:$I$185,6,0)),0%,VLOOKUP(A33,'Données projet'!$A$165:$I$185,6,0)*VLOOKUP('Données projet'!$B$14,Paramètres!$A$1:$I$89,7,0))</f>
        <v>9.240000000000001E-2</v>
      </c>
      <c r="DZ33" s="16">
        <f>IF(ISNA(VLOOKUP(A33,'Données projet'!$A$165:$I$185,7,0)),0%,VLOOKUP(A33,'Données projet'!$A$165:$I$185,7,0))</f>
        <v>0.13200000000000001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14.298901098901101</v>
      </c>
      <c r="EJ33" s="12">
        <f>IF('Données projet'!$A$192&gt;35,EJ32+EI33-ER32,IF(A33&lt;'Données projet'!$A$192,$EG$205^A33,IF(A33='Données projet'!$A$192,'Données projet'!$B$192,EJ32+EI33-ER32)))</f>
        <v>176.78351648351651</v>
      </c>
      <c r="EK33" s="17">
        <f>EJ33*VLOOKUP('Données projet'!$B$15,Paramètres!$A$1:$I$89,3,0)*VLOOKUP('Données projet'!$B$15,Paramètres!$A$1:$I$89,5,0)</f>
        <v>105.71654285714287</v>
      </c>
      <c r="EL33" s="13">
        <f t="shared" si="45"/>
        <v>28.319447591123378</v>
      </c>
      <c r="EM33" s="20">
        <f t="shared" si="19"/>
        <v>233.44601669739703</v>
      </c>
      <c r="EN33" s="59">
        <f t="shared" si="20"/>
        <v>526.77935003073037</v>
      </c>
      <c r="EO33" s="59">
        <f ca="1">AVERAGE(OFFSET($EN$3,0,0,'Données projet'!$E$15+1,1))-AVERAGE(OFFSET($H$3,0,0,'Données projet'!$E$15+1,1))</f>
        <v>200.15574321350221</v>
      </c>
      <c r="EP33" s="59">
        <f t="shared" si="46"/>
        <v>200.70728852570426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11.676355093157449</v>
      </c>
      <c r="EW33" s="21">
        <f>EXP(-LN(2)/25)*EW32+(1-EXP(-LN(2)/25))/(LN(2)/25)*Calculateur!ER33*Calculateur!ET33*VLOOKUP('Données projet'!$B$15,Paramètres!$A$1:$I$89,3,0)*0.475*44/12</f>
        <v>17.485272928393897</v>
      </c>
      <c r="EX33" s="21">
        <f>EXP(-LN(2)/2)*EX32+(1-EXP(-LN(2)/2))/(LN(2)/2)*ER33*EU33*VLOOKUP('Données projet'!$B$15,Paramètres!$A$1:$I$89,3,0)*0.475*44/12</f>
        <v>4.5751454136637673</v>
      </c>
      <c r="EY33" s="22">
        <f t="shared" si="21"/>
        <v>33.736773435215113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121.88461538461537</v>
      </c>
      <c r="FC33" s="12">
        <f>VLOOKUP(A33,'Données projet'!$A$217:$I$237,9,0)</f>
        <v>4.0628205128205126</v>
      </c>
      <c r="FD33" s="12">
        <f t="array" ref="FD33">INDEX(FC:FC,MIN(IF(ISNUMBER(FC33:FC229),ROW(FC33:FC229),"")))</f>
        <v>4.0628205128205126</v>
      </c>
      <c r="FE33" s="12">
        <f>IF('Données projet'!$A$218&gt;35,FE32+FD33-FM32,IF(A33&lt;'Données projet'!$A$218,$FB$205^A33,IF(A33='Données projet'!$A$218,'Données projet'!$B$218,FE32+FD33-FM32)))</f>
        <v>121.88461538461537</v>
      </c>
      <c r="FF33" s="17">
        <f>FE33*VLOOKUP('Données projet'!$B$16,Paramètres!$A$1:$I$89,3,0)*VLOOKUP('Données projet'!$B$16,Paramètres!$A$1:$I$89,5,0)</f>
        <v>131.19659999999999</v>
      </c>
      <c r="FG33" s="13">
        <f t="shared" si="47"/>
        <v>34.272710841259901</v>
      </c>
      <c r="FH33" s="20">
        <f t="shared" si="22"/>
        <v>288.19238304852763</v>
      </c>
      <c r="FI33" s="59">
        <f t="shared" si="23"/>
        <v>581.525716381861</v>
      </c>
      <c r="FJ33" s="59">
        <f ca="1">AVERAGE(OFFSET($FI$3,0,0,'Données projet'!$E$16+1,1))-AVERAGE(OFFSET($H$3,0,0,'Données projet'!$E$16+1,1))</f>
        <v>347.17049316703486</v>
      </c>
      <c r="FK33" s="59">
        <f t="shared" si="48"/>
        <v>255.45365487683489</v>
      </c>
      <c r="FL33" s="15" t="str">
        <f>IF(ISNA(VLOOKUP(A33,'Données projet'!$A$217:$I$237,3,0)),0,VLOOKUP(A33,'Données projet'!$A$217:$I$237,3,0))</f>
        <v>na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7">
        <f t="shared" si="1"/>
        <v>327.13073614800129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683.72629208814999</v>
      </c>
      <c r="S34" s="59">
        <f ca="1">AVERAGE(OFFSET($R$3,0,0,'Données projet'!$E$9+1,1))-AVERAGE(OFFSET($H$3,0,0,'Données projet'!$E$9+1,1))</f>
        <v>266.02599413192075</v>
      </c>
      <c r="T34" s="59">
        <f t="shared" si="34"/>
        <v>332.94146254783254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8.0564102564102633</v>
      </c>
      <c r="AI34" s="13">
        <f>IF('Données projet'!$A$62&gt;35,AI33+AH34-AQ33,IF(A34&lt;'Données projet'!$A$62,$AF$205^A34,IF(A34='Données projet'!$A$62,'Données projet'!$B$62,AI33+AH34-AQ33)))</f>
        <v>129.94102564102565</v>
      </c>
      <c r="AJ34" s="13">
        <f>AI34*VLOOKUP('Données projet'!$B$10,Paramètres!$A$1:$I$89,3,0)*VLOOKUP('Données projet'!$B$10,Paramètres!$A$1:$I$89,5,0)</f>
        <v>117.57064000000001</v>
      </c>
      <c r="AK34" s="13">
        <f t="shared" si="35"/>
        <v>31.107718284302781</v>
      </c>
      <c r="AL34" s="20">
        <f t="shared" si="4"/>
        <v>258.94814067849398</v>
      </c>
      <c r="AM34" s="59">
        <f t="shared" si="5"/>
        <v>552.2814740118273</v>
      </c>
      <c r="AN34" s="59">
        <f ca="1">AVERAGE(OFFSET($AM$3,0,0,'Données projet'!$E$10+1,1))-AVERAGE(OFFSET($H$3,0,0,'Données projet'!$E$10+1,1))</f>
        <v>282.13645166362238</v>
      </c>
      <c r="AO34" s="59">
        <f t="shared" si="36"/>
        <v>210.5345332979457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18.100000000000001</v>
      </c>
      <c r="BD34" s="12">
        <f>IF('Données projet'!$A$88&gt;35,BD33+BC34-BL33,IF(A34&lt;'Données projet'!$A$88,$BA$205^A34,IF(A34='Données projet'!$A$88,'Données projet'!$B$88,BD33+BC34-BL33)))</f>
        <v>233.0923076923076</v>
      </c>
      <c r="BE34" s="13">
        <f>BD34*VLOOKUP('Données projet'!$B$11,Paramètres!$A$1:$I$89,3,0)*VLOOKUP('Données projet'!$B$11,Paramètres!$A$1:$I$89,5,0)</f>
        <v>130.29859999999994</v>
      </c>
      <c r="BF34" s="13">
        <f t="shared" si="37"/>
        <v>34.065347809437171</v>
      </c>
      <c r="BG34" s="20">
        <f t="shared" si="7"/>
        <v>286.26720910143626</v>
      </c>
      <c r="BH34" s="59">
        <f t="shared" si="8"/>
        <v>579.60054243476952</v>
      </c>
      <c r="BI34" s="59">
        <f ca="1">AVERAGE(OFFSET($BH$3,0,0,'Données projet'!$E$11+1,1))-AVERAGE(OFFSET($H$3,0,0,'Données projet'!$E$11+1,1))</f>
        <v>254.6443970237226</v>
      </c>
      <c r="BJ34" s="59">
        <f t="shared" si="38"/>
        <v>231.81667808018062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22.460975036331224</v>
      </c>
      <c r="BR34" s="21">
        <f>EXP(-LN(2)/2)*BR33+(1-EXP(-LN(2)/2))/(LN(2)/2)*BL34*BO34*VLOOKUP('Données projet'!$B$11,Paramètres!$A$1:$I$89,3,0)*0.475*44/12</f>
        <v>6.1361594170973968</v>
      </c>
      <c r="BS34" s="22">
        <f t="shared" si="9"/>
        <v>28.59713445342862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5.3369963369963358</v>
      </c>
      <c r="BY34" s="12">
        <f>IF('Données projet'!$A$114&gt;35,BY33+BX34-CG33,IF(A34&lt;'Données projet'!$A$114,$BV$205^A34,IF(A34='Données projet'!$A$114,'Données projet'!$B$114,BY33+BX34-CG33)))</f>
        <v>93.04212454212454</v>
      </c>
      <c r="BZ34" s="13">
        <f>BY34*VLOOKUP('Données projet'!$B$12,Paramètres!$A$1:$I$89,3,0)*VLOOKUP('Données projet'!$B$12,Paramètres!$A$1:$I$89,5,0)</f>
        <v>94.344714285714289</v>
      </c>
      <c r="CA34" s="13">
        <f t="shared" si="39"/>
        <v>25.610173041635999</v>
      </c>
      <c r="CB34" s="20">
        <f t="shared" si="10"/>
        <v>208.92142876180176</v>
      </c>
      <c r="CC34" s="59">
        <f t="shared" si="11"/>
        <v>502.25476209513511</v>
      </c>
      <c r="CD34" s="59">
        <f ca="1">AVERAGE(OFFSET($CC$3,0,0,'Données projet'!$E$12+1,1))-AVERAGE(OFFSET($H$3,0,0,'Données projet'!$E$12+1,1))</f>
        <v>264.08050363622294</v>
      </c>
      <c r="CE34" s="59">
        <f t="shared" si="40"/>
        <v>164.48884512322883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18.100000000000001</v>
      </c>
      <c r="CT34" s="12">
        <f>IF('Données projet'!$A$140&gt;35,CT33+CS34-DB33,IF(A34&lt;'Données projet'!$A$140,$CQ$205^A34,IF(A34='Données projet'!$A$140,'Données projet'!$B$140,CT33+CS34-DB33)))</f>
        <v>233.0923076923076</v>
      </c>
      <c r="CU34" s="17">
        <f>CT34*VLOOKUP('Données projet'!$B$13,Paramètres!$A$1:$I$89,3,0)*VLOOKUP('Données projet'!$B$13,Paramètres!$A$1:$I$89,5,0)</f>
        <v>103.02679999999998</v>
      </c>
      <c r="CV34" s="13">
        <f t="shared" si="41"/>
        <v>27.681834716611117</v>
      </c>
      <c r="CW34" s="20">
        <f t="shared" si="13"/>
        <v>227.65087213143102</v>
      </c>
      <c r="CX34" s="59">
        <f t="shared" si="14"/>
        <v>520.98420546476427</v>
      </c>
      <c r="CY34" s="59">
        <f ca="1">AVERAGE(OFFSET($CX$3,0,0,'Données projet'!$E$13+1,1))-AVERAGE(OFFSET($H$3,0,0,'Données projet'!$E$13+1,1))</f>
        <v>194.7221767407824</v>
      </c>
      <c r="CZ34" s="59">
        <f t="shared" si="42"/>
        <v>177.6550559568646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17.759840726401432</v>
      </c>
      <c r="DH34" s="21">
        <f>EXP(-LN(2)/2)*DH33+(1-EXP(-LN(2)/2))/(LN(2)/2)*DB34*DE34*VLOOKUP('Données projet'!$B$13,Paramètres!$A$1:$I$89,3,0)*0.475*44/12</f>
        <v>4.8518469809607332</v>
      </c>
      <c r="DI34" s="22">
        <f t="shared" si="15"/>
        <v>22.611687707362165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16.131410256410259</v>
      </c>
      <c r="DO34" s="12">
        <f>IF('Données projet'!$A$166&gt;35,DO33+DN34-DW33,IF(A34&lt;'Données projet'!$A$166,$DL$205^A34,IF(A34='Données projet'!$A$166,'Données projet'!$B$166,DO33+DN34-DW33)))</f>
        <v>232.92371794871792</v>
      </c>
      <c r="DP34" s="17">
        <f>DO34*VLOOKUP('Données projet'!$B$14,Paramètres!$A$1:$I$89,3,0)*VLOOKUP('Données projet'!$B$14,Paramètres!$A$1:$I$89,5,0)</f>
        <v>109.00829999999998</v>
      </c>
      <c r="DQ34" s="13">
        <f t="shared" si="43"/>
        <v>29.097209307093255</v>
      </c>
      <c r="DR34" s="20">
        <f t="shared" si="16"/>
        <v>240.53376204318738</v>
      </c>
      <c r="DS34" s="59">
        <f t="shared" si="17"/>
        <v>533.86709537652064</v>
      </c>
      <c r="DT34" s="59">
        <f ca="1">AVERAGE(OFFSET($DS$3,0,0,'Données projet'!$E$14+1,1))-AVERAGE(OFFSET($H$3,0,0,'Données projet'!$E$14+1,1))</f>
        <v>207.25176714718668</v>
      </c>
      <c r="DU34" s="59">
        <f t="shared" si="44"/>
        <v>191.53228014642559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14.298901098901101</v>
      </c>
      <c r="EJ34" s="12">
        <f>IF('Données projet'!$A$192&gt;35,EJ33+EI34-ER33,IF(A34&lt;'Données projet'!$A$192,$EG$205^A34,IF(A34='Données projet'!$A$192,'Données projet'!$B$192,EJ33+EI34-ER33)))</f>
        <v>191.08241758241761</v>
      </c>
      <c r="EK34" s="17">
        <f>EJ34*VLOOKUP('Données projet'!$B$15,Paramètres!$A$1:$I$89,3,0)*VLOOKUP('Données projet'!$B$15,Paramètres!$A$1:$I$89,5,0)</f>
        <v>114.26728571428573</v>
      </c>
      <c r="EL34" s="13">
        <f t="shared" si="45"/>
        <v>30.334152496808123</v>
      </c>
      <c r="EM34" s="20">
        <f t="shared" si="19"/>
        <v>251.84750488432181</v>
      </c>
      <c r="EN34" s="59">
        <f t="shared" si="20"/>
        <v>545.18083821765515</v>
      </c>
      <c r="EO34" s="59">
        <f ca="1">AVERAGE(OFFSET($EN$3,0,0,'Données projet'!$E$15+1,1))-AVERAGE(OFFSET($H$3,0,0,'Données projet'!$E$15+1,1))</f>
        <v>200.15574321350221</v>
      </c>
      <c r="EP34" s="59">
        <f t="shared" si="46"/>
        <v>200.70728852570426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11.447388891654011</v>
      </c>
      <c r="EW34" s="21">
        <f>EXP(-LN(2)/25)*EW33+(1-EXP(-LN(2)/25))/(LN(2)/25)*Calculateur!ER34*Calculateur!ET34*VLOOKUP('Données projet'!$B$15,Paramètres!$A$1:$I$89,3,0)*0.475*44/12</f>
        <v>17.007137220656425</v>
      </c>
      <c r="EX34" s="21">
        <f>EXP(-LN(2)/2)*EX33+(1-EXP(-LN(2)/2))/(LN(2)/2)*ER34*EU34*VLOOKUP('Données projet'!$B$15,Paramètres!$A$1:$I$89,3,0)*0.475*44/12</f>
        <v>3.2351163469161821</v>
      </c>
      <c r="EY34" s="22">
        <f t="shared" si="21"/>
        <v>31.689642459226619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8.0564102564102633</v>
      </c>
      <c r="FE34" s="12">
        <f>IF('Données projet'!$A$218&gt;35,FE33+FD34-FM33,IF(A34&lt;'Données projet'!$A$218,$FB$205^A34,IF(A34='Données projet'!$A$218,'Données projet'!$B$218,FE33+FD34-FM33)))</f>
        <v>129.94102564102565</v>
      </c>
      <c r="FF34" s="17">
        <f>FE34*VLOOKUP('Données projet'!$B$16,Paramètres!$A$1:$I$89,3,0)*VLOOKUP('Données projet'!$B$16,Paramètres!$A$1:$I$89,5,0)</f>
        <v>139.86852000000002</v>
      </c>
      <c r="FG34" s="13">
        <f t="shared" si="47"/>
        <v>36.266883626420665</v>
      </c>
      <c r="FH34" s="20">
        <f t="shared" si="22"/>
        <v>306.76916131601598</v>
      </c>
      <c r="FI34" s="59">
        <f t="shared" si="23"/>
        <v>600.1024946493493</v>
      </c>
      <c r="FJ34" s="59">
        <f ca="1">AVERAGE(OFFSET($FI$3,0,0,'Données projet'!$E$16+1,1))-AVERAGE(OFFSET($H$3,0,0,'Données projet'!$E$16+1,1))</f>
        <v>347.17049316703486</v>
      </c>
      <c r="FK34" s="59">
        <f t="shared" si="48"/>
        <v>255.45365487683489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7">
        <f t="shared" si="1"/>
        <v>328.18849775509608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266.02599413192075</v>
      </c>
      <c r="T35" s="59">
        <f t="shared" si="34"/>
        <v>332.94146254783254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8.0564102564102633</v>
      </c>
      <c r="AI35" s="13">
        <f>IF('Données projet'!$A$62&gt;35,AI34+AH35-AQ34,IF(A35&lt;'Données projet'!$A$62,$AF$205^A35,IF(A35='Données projet'!$A$62,'Données projet'!$B$62,AI34+AH35-AQ34)))</f>
        <v>137.99743589743591</v>
      </c>
      <c r="AJ35" s="13">
        <f>AI35*VLOOKUP('Données projet'!$B$10,Paramètres!$A$1:$I$89,3,0)*VLOOKUP('Données projet'!$B$10,Paramètres!$A$1:$I$89,5,0)</f>
        <v>124.86008000000001</v>
      </c>
      <c r="AK35" s="13">
        <f t="shared" si="35"/>
        <v>32.805900674075268</v>
      </c>
      <c r="AL35" s="20">
        <f t="shared" si="4"/>
        <v>274.60158300734776</v>
      </c>
      <c r="AM35" s="59">
        <f t="shared" si="5"/>
        <v>567.93491634068107</v>
      </c>
      <c r="AN35" s="59">
        <f ca="1">AVERAGE(OFFSET($AM$3,0,0,'Données projet'!$E$10+1,1))-AVERAGE(OFFSET($H$3,0,0,'Données projet'!$E$10+1,1))</f>
        <v>282.13645166362238</v>
      </c>
      <c r="AO35" s="59">
        <f t="shared" si="36"/>
        <v>210.5345332979457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18.100000000000001</v>
      </c>
      <c r="BD35" s="12">
        <f>IF('Données projet'!$A$88&gt;35,BD34+BC35-BL34,IF(A35&lt;'Données projet'!$A$88,$BA$205^A35,IF(A35='Données projet'!$A$88,'Données projet'!$B$88,BD34+BC35-BL34)))</f>
        <v>251.19230769230759</v>
      </c>
      <c r="BE35" s="13">
        <f>BD35*VLOOKUP('Données projet'!$B$11,Paramètres!$A$1:$I$89,3,0)*VLOOKUP('Données projet'!$B$11,Paramètres!$A$1:$I$89,5,0)</f>
        <v>140.41649999999996</v>
      </c>
      <c r="BF35" s="13">
        <f t="shared" si="37"/>
        <v>36.392403294074647</v>
      </c>
      <c r="BG35" s="20">
        <f t="shared" si="7"/>
        <v>307.94217323717993</v>
      </c>
      <c r="BH35" s="59">
        <f t="shared" si="8"/>
        <v>601.27550657051324</v>
      </c>
      <c r="BI35" s="59">
        <f ca="1">AVERAGE(OFFSET($BH$3,0,0,'Données projet'!$E$11+1,1))-AVERAGE(OFFSET($H$3,0,0,'Données projet'!$E$11+1,1))</f>
        <v>254.6443970237226</v>
      </c>
      <c r="BJ35" s="59">
        <f t="shared" si="38"/>
        <v>231.81667808018062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21.846778492791405</v>
      </c>
      <c r="BR35" s="21">
        <f>EXP(-LN(2)/2)*BR34+(1-EXP(-LN(2)/2))/(LN(2)/2)*BL35*BO35*VLOOKUP('Données projet'!$B$11,Paramètres!$A$1:$I$89,3,0)*0.475*44/12</f>
        <v>4.3389199342712619</v>
      </c>
      <c r="BS35" s="22">
        <f t="shared" si="9"/>
        <v>26.185698427062668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5.3369963369963358</v>
      </c>
      <c r="BY35" s="12">
        <f>IF('Données projet'!$A$114&gt;35,BY34+BX35-CG34,IF(A35&lt;'Données projet'!$A$114,$BV$205^A35,IF(A35='Données projet'!$A$114,'Données projet'!$B$114,BY34+BX35-CG34)))</f>
        <v>98.379120879120876</v>
      </c>
      <c r="BZ35" s="13">
        <f>BY35*VLOOKUP('Données projet'!$B$12,Paramètres!$A$1:$I$89,3,0)*VLOOKUP('Données projet'!$B$12,Paramètres!$A$1:$I$89,5,0)</f>
        <v>99.756428571428572</v>
      </c>
      <c r="CA35" s="13">
        <f t="shared" si="39"/>
        <v>26.903961780895703</v>
      </c>
      <c r="CB35" s="20">
        <f t="shared" si="10"/>
        <v>220.60017986363141</v>
      </c>
      <c r="CC35" s="59">
        <f t="shared" si="11"/>
        <v>513.93351319696467</v>
      </c>
      <c r="CD35" s="59">
        <f ca="1">AVERAGE(OFFSET($CC$3,0,0,'Données projet'!$E$12+1,1))-AVERAGE(OFFSET($H$3,0,0,'Données projet'!$E$12+1,1))</f>
        <v>264.08050363622294</v>
      </c>
      <c r="CE35" s="59">
        <f t="shared" si="40"/>
        <v>164.48884512322883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18.100000000000001</v>
      </c>
      <c r="CT35" s="12">
        <f>IF('Données projet'!$A$140&gt;35,CT34+CS35-DB34,IF(A35&lt;'Données projet'!$A$140,$CQ$205^A35,IF(A35='Données projet'!$A$140,'Données projet'!$B$140,CT34+CS35-DB34)))</f>
        <v>251.19230769230759</v>
      </c>
      <c r="CU35" s="17">
        <f>CT35*VLOOKUP('Données projet'!$B$13,Paramètres!$A$1:$I$89,3,0)*VLOOKUP('Données projet'!$B$13,Paramètres!$A$1:$I$89,5,0)</f>
        <v>111.02699999999997</v>
      </c>
      <c r="CV35" s="13">
        <f t="shared" si="41"/>
        <v>29.572822757081695</v>
      </c>
      <c r="CW35" s="20">
        <f t="shared" si="13"/>
        <v>244.87802463525054</v>
      </c>
      <c r="CX35" s="59">
        <f t="shared" si="14"/>
        <v>538.2113579685838</v>
      </c>
      <c r="CY35" s="59">
        <f ca="1">AVERAGE(OFFSET($CX$3,0,0,'Données projet'!$E$13+1,1))-AVERAGE(OFFSET($H$3,0,0,'Données projet'!$E$13+1,1))</f>
        <v>194.7221767407824</v>
      </c>
      <c r="CZ35" s="59">
        <f t="shared" si="42"/>
        <v>177.6550559568646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17.274196947788553</v>
      </c>
      <c r="DH35" s="21">
        <f>EXP(-LN(2)/2)*DH34+(1-EXP(-LN(2)/2))/(LN(2)/2)*DB35*DE35*VLOOKUP('Données projet'!$B$13,Paramètres!$A$1:$I$89,3,0)*0.475*44/12</f>
        <v>3.4307739015168126</v>
      </c>
      <c r="DI35" s="22">
        <f t="shared" si="15"/>
        <v>20.704970849305365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16.131410256410259</v>
      </c>
      <c r="DO35" s="12">
        <f>IF('Données projet'!$A$166&gt;35,DO34+DN35-DW34,IF(A35&lt;'Données projet'!$A$166,$DL$205^A35,IF(A35='Données projet'!$A$166,'Données projet'!$B$166,DO34+DN35-DW34)))</f>
        <v>249.05512820512817</v>
      </c>
      <c r="DP35" s="17">
        <f>DO35*VLOOKUP('Données projet'!$B$14,Paramètres!$A$1:$I$89,3,0)*VLOOKUP('Données projet'!$B$14,Paramètres!$A$1:$I$89,5,0)</f>
        <v>116.55779999999997</v>
      </c>
      <c r="DQ35" s="13">
        <f t="shared" si="43"/>
        <v>30.870807833785406</v>
      </c>
      <c r="DR35" s="20">
        <f t="shared" si="16"/>
        <v>256.7714919771762</v>
      </c>
      <c r="DS35" s="59">
        <f t="shared" si="17"/>
        <v>550.10482531050957</v>
      </c>
      <c r="DT35" s="59">
        <f ca="1">AVERAGE(OFFSET($DS$3,0,0,'Données projet'!$E$14+1,1))-AVERAGE(OFFSET($H$3,0,0,'Données projet'!$E$14+1,1))</f>
        <v>207.25176714718668</v>
      </c>
      <c r="DU35" s="59">
        <f t="shared" si="44"/>
        <v>191.53228014642559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14.298901098901101</v>
      </c>
      <c r="EJ35" s="12">
        <f>IF('Données projet'!$A$192&gt;35,EJ34+EI35-ER34,IF(A35&lt;'Données projet'!$A$192,$EG$205^A35,IF(A35='Données projet'!$A$192,'Données projet'!$B$192,EJ34+EI35-ER34)))</f>
        <v>205.3813186813187</v>
      </c>
      <c r="EK35" s="17">
        <f>EJ35*VLOOKUP('Données projet'!$B$15,Paramètres!$A$1:$I$89,3,0)*VLOOKUP('Données projet'!$B$15,Paramètres!$A$1:$I$89,5,0)</f>
        <v>122.81802857142858</v>
      </c>
      <c r="EL35" s="13">
        <f t="shared" si="45"/>
        <v>32.331367630744694</v>
      </c>
      <c r="EM35" s="20">
        <f t="shared" si="19"/>
        <v>270.21853171878513</v>
      </c>
      <c r="EN35" s="59">
        <f t="shared" si="20"/>
        <v>563.5518650521185</v>
      </c>
      <c r="EO35" s="59">
        <f ca="1">AVERAGE(OFFSET($EN$3,0,0,'Données projet'!$E$15+1,1))-AVERAGE(OFFSET($H$3,0,0,'Données projet'!$E$15+1,1))</f>
        <v>200.15574321350221</v>
      </c>
      <c r="EP35" s="59">
        <f t="shared" si="46"/>
        <v>200.70728852570426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11.222912577706463</v>
      </c>
      <c r="EW35" s="21">
        <f>EXP(-LN(2)/25)*EW34+(1-EXP(-LN(2)/25))/(LN(2)/25)*Calculateur!ER35*Calculateur!ET35*VLOOKUP('Données projet'!$B$15,Paramètres!$A$1:$I$89,3,0)*0.475*44/12</f>
        <v>16.542076158991097</v>
      </c>
      <c r="EX35" s="21">
        <f>EXP(-LN(2)/2)*EX34+(1-EXP(-LN(2)/2))/(LN(2)/2)*ER35*EU35*VLOOKUP('Données projet'!$B$15,Paramètres!$A$1:$I$89,3,0)*0.475*44/12</f>
        <v>2.2875727068318841</v>
      </c>
      <c r="EY35" s="22">
        <f t="shared" si="21"/>
        <v>30.052561443529445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8.0564102564102633</v>
      </c>
      <c r="FE35" s="12">
        <f>IF('Données projet'!$A$218&gt;35,FE34+FD35-FM34,IF(A35&lt;'Données projet'!$A$218,$FB$205^A35,IF(A35='Données projet'!$A$218,'Données projet'!$B$218,FE34+FD35-FM34)))</f>
        <v>137.99743589743591</v>
      </c>
      <c r="FF35" s="17">
        <f>FE35*VLOOKUP('Données projet'!$B$16,Paramètres!$A$1:$I$89,3,0)*VLOOKUP('Données projet'!$B$16,Paramètres!$A$1:$I$89,5,0)</f>
        <v>148.54044000000002</v>
      </c>
      <c r="FG35" s="13">
        <f t="shared" si="47"/>
        <v>38.246706850465792</v>
      </c>
      <c r="FH35" s="20">
        <f t="shared" si="22"/>
        <v>325.32094743122792</v>
      </c>
      <c r="FI35" s="59">
        <f t="shared" si="23"/>
        <v>618.65428076456124</v>
      </c>
      <c r="FJ35" s="59">
        <f ca="1">AVERAGE(OFFSET($FI$3,0,0,'Données projet'!$E$16+1,1))-AVERAGE(OFFSET($H$3,0,0,'Données projet'!$E$16+1,1))</f>
        <v>347.17049316703486</v>
      </c>
      <c r="FK35" s="59">
        <f t="shared" si="48"/>
        <v>255.45365487683489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7">
        <f t="shared" si="1"/>
        <v>329.2453781324906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649.21697908824899</v>
      </c>
      <c r="S36" s="59">
        <f ca="1">AVERAGE(OFFSET($R$3,0,0,'Données projet'!$E$9+1,1))-AVERAGE(OFFSET($H$3,0,0,'Données projet'!$E$9+1,1))</f>
        <v>266.02599413192075</v>
      </c>
      <c r="T36" s="59">
        <f t="shared" si="34"/>
        <v>332.94146254783254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8.0564102564102633</v>
      </c>
      <c r="AI36" s="13">
        <f>IF('Données projet'!$A$62&gt;35,AI35+AH36-AQ35,IF(A36&lt;'Données projet'!$A$62,$AF$205^A36,IF(A36='Données projet'!$A$62,'Données projet'!$B$62,AI35+AH36-AQ35)))</f>
        <v>146.05384615384617</v>
      </c>
      <c r="AJ36" s="13">
        <f>AI36*VLOOKUP('Données projet'!$B$10,Paramètres!$A$1:$I$89,3,0)*VLOOKUP('Données projet'!$B$10,Paramètres!$A$1:$I$89,5,0)</f>
        <v>132.14952</v>
      </c>
      <c r="AK36" s="13">
        <f t="shared" si="35"/>
        <v>34.49257523106499</v>
      </c>
      <c r="AL36" s="20">
        <f t="shared" si="4"/>
        <v>290.23498252743815</v>
      </c>
      <c r="AM36" s="59">
        <f t="shared" si="5"/>
        <v>583.56831586077146</v>
      </c>
      <c r="AN36" s="59">
        <f ca="1">AVERAGE(OFFSET($AM$3,0,0,'Données projet'!$E$10+1,1))-AVERAGE(OFFSET($H$3,0,0,'Données projet'!$E$10+1,1))</f>
        <v>282.13645166362238</v>
      </c>
      <c r="AO36" s="59">
        <f t="shared" si="36"/>
        <v>210.5345332979457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18.100000000000001</v>
      </c>
      <c r="BD36" s="12">
        <f>IF('Données projet'!$A$88&gt;35,BD35+BC36-BL35,IF(A36&lt;'Données projet'!$A$88,$BA$205^A36,IF(A36='Données projet'!$A$88,'Données projet'!$B$88,BD35+BC36-BL35)))</f>
        <v>269.29230769230759</v>
      </c>
      <c r="BE36" s="13">
        <f>BD36*VLOOKUP('Données projet'!$B$11,Paramètres!$A$1:$I$89,3,0)*VLOOKUP('Données projet'!$B$11,Paramètres!$A$1:$I$89,5,0)</f>
        <v>150.53439999999995</v>
      </c>
      <c r="BF36" s="13">
        <f t="shared" si="37"/>
        <v>38.700004790658191</v>
      </c>
      <c r="BG36" s="20">
        <f t="shared" si="7"/>
        <v>329.58325501039627</v>
      </c>
      <c r="BH36" s="59">
        <f t="shared" si="8"/>
        <v>622.91658834372959</v>
      </c>
      <c r="BI36" s="59">
        <f ca="1">AVERAGE(OFFSET($BH$3,0,0,'Données projet'!$E$11+1,1))-AVERAGE(OFFSET($H$3,0,0,'Données projet'!$E$11+1,1))</f>
        <v>254.6443970237226</v>
      </c>
      <c r="BJ36" s="59">
        <f t="shared" si="38"/>
        <v>231.81667808018062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21.249377186033875</v>
      </c>
      <c r="BR36" s="21">
        <f>EXP(-LN(2)/2)*BR35+(1-EXP(-LN(2)/2))/(LN(2)/2)*BL36*BO36*VLOOKUP('Données projet'!$B$11,Paramètres!$A$1:$I$89,3,0)*0.475*44/12</f>
        <v>3.0680797085486984</v>
      </c>
      <c r="BS36" s="22">
        <f t="shared" si="9"/>
        <v>24.317456894582573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5.3369963369963358</v>
      </c>
      <c r="BY36" s="12">
        <f>IF('Données projet'!$A$114&gt;35,BY35+BX36-CG35,IF(A36&lt;'Données projet'!$A$114,$BV$205^A36,IF(A36='Données projet'!$A$114,'Données projet'!$B$114,BY35+BX36-CG35)))</f>
        <v>103.71611721611721</v>
      </c>
      <c r="BZ36" s="13">
        <f>BY36*VLOOKUP('Données projet'!$B$12,Paramètres!$A$1:$I$89,3,0)*VLOOKUP('Données projet'!$B$12,Paramètres!$A$1:$I$89,5,0)</f>
        <v>105.16814285714285</v>
      </c>
      <c r="CA36" s="13">
        <f t="shared" si="39"/>
        <v>28.189602262365472</v>
      </c>
      <c r="CB36" s="20">
        <f t="shared" si="10"/>
        <v>232.264739416477</v>
      </c>
      <c r="CC36" s="59">
        <f t="shared" si="11"/>
        <v>525.59807274981029</v>
      </c>
      <c r="CD36" s="59">
        <f ca="1">AVERAGE(OFFSET($CC$3,0,0,'Données projet'!$E$12+1,1))-AVERAGE(OFFSET($H$3,0,0,'Données projet'!$E$12+1,1))</f>
        <v>264.08050363622294</v>
      </c>
      <c r="CE36" s="59">
        <f t="shared" si="40"/>
        <v>164.48884512322883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18.100000000000001</v>
      </c>
      <c r="CT36" s="12">
        <f>IF('Données projet'!$A$140&gt;35,CT35+CS36-DB35,IF(A36&lt;'Données projet'!$A$140,$CQ$205^A36,IF(A36='Données projet'!$A$140,'Données projet'!$B$140,CT35+CS36-DB35)))</f>
        <v>269.29230769230759</v>
      </c>
      <c r="CU36" s="17">
        <f>CT36*VLOOKUP('Données projet'!$B$13,Paramètres!$A$1:$I$89,3,0)*VLOOKUP('Données projet'!$B$13,Paramètres!$A$1:$I$89,5,0)</f>
        <v>119.02719999999997</v>
      </c>
      <c r="CV36" s="13">
        <f t="shared" si="41"/>
        <v>31.448002296641057</v>
      </c>
      <c r="CW36" s="20">
        <f t="shared" si="13"/>
        <v>262.07764399998308</v>
      </c>
      <c r="CX36" s="59">
        <f t="shared" si="14"/>
        <v>555.4109773333164</v>
      </c>
      <c r="CY36" s="59">
        <f ca="1">AVERAGE(OFFSET($CX$3,0,0,'Données projet'!$E$13+1,1))-AVERAGE(OFFSET($H$3,0,0,'Données projet'!$E$13+1,1))</f>
        <v>194.7221767407824</v>
      </c>
      <c r="CZ36" s="59">
        <f t="shared" si="42"/>
        <v>177.6550559568646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16.801833123840737</v>
      </c>
      <c r="DH36" s="21">
        <f>EXP(-LN(2)/2)*DH35+(1-EXP(-LN(2)/2))/(LN(2)/2)*DB36*DE36*VLOOKUP('Données projet'!$B$13,Paramètres!$A$1:$I$89,3,0)*0.475*44/12</f>
        <v>2.425923490480367</v>
      </c>
      <c r="DI36" s="22">
        <f t="shared" si="15"/>
        <v>19.227756614321105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16.131410256410259</v>
      </c>
      <c r="DO36" s="12">
        <f>IF('Données projet'!$A$166&gt;35,DO35+DN36-DW35,IF(A36&lt;'Données projet'!$A$166,$DL$205^A36,IF(A36='Données projet'!$A$166,'Données projet'!$B$166,DO35+DN36-DW35)))</f>
        <v>265.18653846153842</v>
      </c>
      <c r="DP36" s="17">
        <f>DO36*VLOOKUP('Données projet'!$B$14,Paramètres!$A$1:$I$89,3,0)*VLOOKUP('Données projet'!$B$14,Paramètres!$A$1:$I$89,5,0)</f>
        <v>124.10729999999997</v>
      </c>
      <c r="DQ36" s="13">
        <f t="shared" si="43"/>
        <v>32.631075149258578</v>
      </c>
      <c r="DR36" s="20">
        <f t="shared" si="16"/>
        <v>272.98600338495862</v>
      </c>
      <c r="DS36" s="59">
        <f t="shared" si="17"/>
        <v>566.31933671829188</v>
      </c>
      <c r="DT36" s="59">
        <f ca="1">AVERAGE(OFFSET($DS$3,0,0,'Données projet'!$E$14+1,1))-AVERAGE(OFFSET($H$3,0,0,'Données projet'!$E$14+1,1))</f>
        <v>207.25176714718668</v>
      </c>
      <c r="DU36" s="59">
        <f t="shared" si="44"/>
        <v>191.53228014642559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14.298901098901101</v>
      </c>
      <c r="EJ36" s="12">
        <f>IF('Données projet'!$A$192&gt;35,EJ35+EI36-ER35,IF(A36&lt;'Données projet'!$A$192,$EG$205^A36,IF(A36='Données projet'!$A$192,'Données projet'!$B$192,EJ35+EI36-ER35)))</f>
        <v>219.6802197802198</v>
      </c>
      <c r="EK36" s="17">
        <f>EJ36*VLOOKUP('Données projet'!$B$15,Paramètres!$A$1:$I$89,3,0)*VLOOKUP('Données projet'!$B$15,Paramètres!$A$1:$I$89,5,0)</f>
        <v>131.36877142857145</v>
      </c>
      <c r="EL36" s="13">
        <f t="shared" si="45"/>
        <v>34.312449162076589</v>
      </c>
      <c r="EM36" s="20">
        <f t="shared" si="19"/>
        <v>288.56145919537863</v>
      </c>
      <c r="EN36" s="59">
        <f t="shared" si="20"/>
        <v>581.89479252871195</v>
      </c>
      <c r="EO36" s="59">
        <f ca="1">AVERAGE(OFFSET($EN$3,0,0,'Données projet'!$E$15+1,1))-AVERAGE(OFFSET($H$3,0,0,'Données projet'!$E$15+1,1))</f>
        <v>200.15574321350221</v>
      </c>
      <c r="EP36" s="59">
        <f t="shared" si="46"/>
        <v>200.70728852570426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11.002838107358395</v>
      </c>
      <c r="EW36" s="21">
        <f>EXP(-LN(2)/25)*EW35+(1-EXP(-LN(2)/25))/(LN(2)/25)*Calculateur!ER36*Calculateur!ET36*VLOOKUP('Données projet'!$B$15,Paramètres!$A$1:$I$89,3,0)*0.475*44/12</f>
        <v>16.089732216513507</v>
      </c>
      <c r="EX36" s="21">
        <f>EXP(-LN(2)/2)*EX35+(1-EXP(-LN(2)/2))/(LN(2)/2)*ER36*EU36*VLOOKUP('Données projet'!$B$15,Paramètres!$A$1:$I$89,3,0)*0.475*44/12</f>
        <v>1.6175581734580915</v>
      </c>
      <c r="EY36" s="22">
        <f t="shared" si="21"/>
        <v>28.710128497329997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8.0564102564102633</v>
      </c>
      <c r="FE36" s="12">
        <f>IF('Données projet'!$A$218&gt;35,FE35+FD36-FM35,IF(A36&lt;'Données projet'!$A$218,$FB$205^A36,IF(A36='Données projet'!$A$218,'Données projet'!$B$218,FE35+FD36-FM35)))</f>
        <v>146.05384615384617</v>
      </c>
      <c r="FF36" s="17">
        <f>FE36*VLOOKUP('Données projet'!$B$16,Paramètres!$A$1:$I$89,3,0)*VLOOKUP('Données projet'!$B$16,Paramètres!$A$1:$I$89,5,0)</f>
        <v>157.21236000000002</v>
      </c>
      <c r="FG36" s="13">
        <f t="shared" si="47"/>
        <v>40.213113686059998</v>
      </c>
      <c r="FH36" s="20">
        <f t="shared" si="22"/>
        <v>343.84936666988779</v>
      </c>
      <c r="FI36" s="59">
        <f t="shared" si="23"/>
        <v>637.18270000322104</v>
      </c>
      <c r="FJ36" s="59">
        <f ca="1">AVERAGE(OFFSET($FI$3,0,0,'Données projet'!$E$16+1,1))-AVERAGE(OFFSET($H$3,0,0,'Données projet'!$E$16+1,1))</f>
        <v>347.17049316703486</v>
      </c>
      <c r="FK36" s="59">
        <f t="shared" si="48"/>
        <v>255.45365487683489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7">
        <f t="shared" si="1"/>
        <v>330.3014070491767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672.23931706992664</v>
      </c>
      <c r="S37" s="59">
        <f ca="1">AVERAGE(OFFSET($R$3,0,0,'Données projet'!$E$9+1,1))-AVERAGE(OFFSET($H$3,0,0,'Données projet'!$E$9+1,1))</f>
        <v>266.02599413192075</v>
      </c>
      <c r="T37" s="59">
        <f t="shared" si="34"/>
        <v>332.94146254783254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8.0564102564102633</v>
      </c>
      <c r="AI37" s="13">
        <f>IF('Données projet'!$A$62&gt;35,AI36+AH37-AQ36,IF(A37&lt;'Données projet'!$A$62,$AF$205^A37,IF(A37='Données projet'!$A$62,'Données projet'!$B$62,AI36+AH37-AQ36)))</f>
        <v>154.11025641025643</v>
      </c>
      <c r="AJ37" s="13">
        <f>AI37*VLOOKUP('Données projet'!$B$10,Paramètres!$A$1:$I$89,3,0)*VLOOKUP('Données projet'!$B$10,Paramètres!$A$1:$I$89,5,0)</f>
        <v>139.43896000000001</v>
      </c>
      <c r="AK37" s="13">
        <f t="shared" si="35"/>
        <v>36.168449088081644</v>
      </c>
      <c r="AL37" s="20">
        <f t="shared" si="4"/>
        <v>305.8495708284089</v>
      </c>
      <c r="AM37" s="59">
        <f t="shared" si="5"/>
        <v>599.18290416174227</v>
      </c>
      <c r="AN37" s="59">
        <f ca="1">AVERAGE(OFFSET($AM$3,0,0,'Données projet'!$E$10+1,1))-AVERAGE(OFFSET($H$3,0,0,'Données projet'!$E$10+1,1))</f>
        <v>282.13645166362238</v>
      </c>
      <c r="AO37" s="59">
        <f t="shared" si="36"/>
        <v>210.5345332979457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18.100000000000001</v>
      </c>
      <c r="BD37" s="12">
        <f>IF('Données projet'!$A$88&gt;35,BD36+BC37-BL36,IF(A37&lt;'Données projet'!$A$88,$BA$205^A37,IF(A37='Données projet'!$A$88,'Données projet'!$B$88,BD36+BC37-BL36)))</f>
        <v>287.39230769230761</v>
      </c>
      <c r="BE37" s="13">
        <f>BD37*VLOOKUP('Données projet'!$B$11,Paramètres!$A$1:$I$89,3,0)*VLOOKUP('Données projet'!$B$11,Paramètres!$A$1:$I$89,5,0)</f>
        <v>160.65229999999994</v>
      </c>
      <c r="BF37" s="13">
        <f t="shared" si="37"/>
        <v>40.989608635643791</v>
      </c>
      <c r="BG37" s="20">
        <f t="shared" si="7"/>
        <v>351.19299087374617</v>
      </c>
      <c r="BH37" s="59">
        <f t="shared" si="8"/>
        <v>644.52632420707948</v>
      </c>
      <c r="BI37" s="59">
        <f ca="1">AVERAGE(OFFSET($BH$3,0,0,'Données projet'!$E$11+1,1))-AVERAGE(OFFSET($H$3,0,0,'Données projet'!$E$11+1,1))</f>
        <v>254.6443970237226</v>
      </c>
      <c r="BJ37" s="59">
        <f t="shared" si="38"/>
        <v>231.81667808018062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20.668311849425599</v>
      </c>
      <c r="BR37" s="21">
        <f>EXP(-LN(2)/2)*BR36+(1-EXP(-LN(2)/2))/(LN(2)/2)*BL37*BO37*VLOOKUP('Données projet'!$B$11,Paramètres!$A$1:$I$89,3,0)*0.475*44/12</f>
        <v>2.1694599671356309</v>
      </c>
      <c r="BS37" s="22">
        <f t="shared" si="9"/>
        <v>22.837771816561229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5.3369963369963358</v>
      </c>
      <c r="BY37" s="12">
        <f>IF('Données projet'!$A$114&gt;35,BY36+BX37-CG36,IF(A37&lt;'Données projet'!$A$114,$BV$205^A37,IF(A37='Données projet'!$A$114,'Données projet'!$B$114,BY36+BX37-CG36)))</f>
        <v>109.05311355311355</v>
      </c>
      <c r="BZ37" s="13">
        <f>BY37*VLOOKUP('Données projet'!$B$12,Paramètres!$A$1:$I$89,3,0)*VLOOKUP('Données projet'!$B$12,Paramètres!$A$1:$I$89,5,0)</f>
        <v>110.57985714285715</v>
      </c>
      <c r="CA37" s="13">
        <f t="shared" si="39"/>
        <v>29.467561605850825</v>
      </c>
      <c r="CB37" s="20">
        <f t="shared" si="10"/>
        <v>243.91592098733301</v>
      </c>
      <c r="CC37" s="59">
        <f t="shared" si="11"/>
        <v>537.2492543206663</v>
      </c>
      <c r="CD37" s="59">
        <f ca="1">AVERAGE(OFFSET($CC$3,0,0,'Données projet'!$E$12+1,1))-AVERAGE(OFFSET($H$3,0,0,'Données projet'!$E$12+1,1))</f>
        <v>264.08050363622294</v>
      </c>
      <c r="CE37" s="59">
        <f t="shared" si="40"/>
        <v>164.48884512322883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18.100000000000001</v>
      </c>
      <c r="CT37" s="12">
        <f>IF('Données projet'!$A$140&gt;35,CT36+CS37-DB36,IF(A37&lt;'Données projet'!$A$140,$CQ$205^A37,IF(A37='Données projet'!$A$140,'Données projet'!$B$140,CT36+CS37-DB36)))</f>
        <v>287.39230769230761</v>
      </c>
      <c r="CU37" s="17">
        <f>CT37*VLOOKUP('Données projet'!$B$13,Paramètres!$A$1:$I$89,3,0)*VLOOKUP('Données projet'!$B$13,Paramètres!$A$1:$I$89,5,0)</f>
        <v>127.02739999999999</v>
      </c>
      <c r="CV37" s="13">
        <f t="shared" si="41"/>
        <v>33.308556768533201</v>
      </c>
      <c r="CW37" s="20">
        <f t="shared" si="13"/>
        <v>279.25179137186194</v>
      </c>
      <c r="CX37" s="59">
        <f t="shared" si="14"/>
        <v>572.58512470519531</v>
      </c>
      <c r="CY37" s="59">
        <f ca="1">AVERAGE(OFFSET($CX$3,0,0,'Données projet'!$E$13+1,1))-AVERAGE(OFFSET($H$3,0,0,'Données projet'!$E$13+1,1))</f>
        <v>194.7221767407824</v>
      </c>
      <c r="CZ37" s="59">
        <f t="shared" si="42"/>
        <v>177.6550559568646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16.342386113499309</v>
      </c>
      <c r="DH37" s="21">
        <f>EXP(-LN(2)/2)*DH36+(1-EXP(-LN(2)/2))/(LN(2)/2)*DB37*DE37*VLOOKUP('Données projet'!$B$13,Paramètres!$A$1:$I$89,3,0)*0.475*44/12</f>
        <v>1.7153869507584065</v>
      </c>
      <c r="DI37" s="22">
        <f t="shared" si="15"/>
        <v>18.057773064257717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16.131410256410259</v>
      </c>
      <c r="DO37" s="12">
        <f>IF('Données projet'!$A$166&gt;35,DO36+DN37-DW36,IF(A37&lt;'Données projet'!$A$166,$DL$205^A37,IF(A37='Données projet'!$A$166,'Données projet'!$B$166,DO36+DN37-DW36)))</f>
        <v>281.3179487179487</v>
      </c>
      <c r="DP37" s="17">
        <f>DO37*VLOOKUP('Données projet'!$B$14,Paramètres!$A$1:$I$89,3,0)*VLOOKUP('Données projet'!$B$14,Paramètres!$A$1:$I$89,5,0)</f>
        <v>131.65679999999998</v>
      </c>
      <c r="DQ37" s="13">
        <f t="shared" si="43"/>
        <v>34.378914540413547</v>
      </c>
      <c r="DR37" s="20">
        <f t="shared" si="16"/>
        <v>289.17886949122021</v>
      </c>
      <c r="DS37" s="59">
        <f t="shared" si="17"/>
        <v>582.51220282455347</v>
      </c>
      <c r="DT37" s="59">
        <f ca="1">AVERAGE(OFFSET($DS$3,0,0,'Données projet'!$E$14+1,1))-AVERAGE(OFFSET($H$3,0,0,'Données projet'!$E$14+1,1))</f>
        <v>207.25176714718668</v>
      </c>
      <c r="DU37" s="59">
        <f t="shared" si="44"/>
        <v>191.53228014642559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14.298901098901101</v>
      </c>
      <c r="EJ37" s="12">
        <f>IF('Données projet'!$A$192&gt;35,EJ36+EI37-ER36,IF(A37&lt;'Données projet'!$A$192,$EG$205^A37,IF(A37='Données projet'!$A$192,'Données projet'!$B$192,EJ36+EI37-ER36)))</f>
        <v>233.9791208791209</v>
      </c>
      <c r="EK37" s="17">
        <f>EJ37*VLOOKUP('Données projet'!$B$15,Paramètres!$A$1:$I$89,3,0)*VLOOKUP('Données projet'!$B$15,Paramètres!$A$1:$I$89,5,0)</f>
        <v>139.91951428571431</v>
      </c>
      <c r="EL37" s="13">
        <f t="shared" si="45"/>
        <v>36.278566731027588</v>
      </c>
      <c r="EM37" s="20">
        <f t="shared" si="19"/>
        <v>306.87832443749215</v>
      </c>
      <c r="EN37" s="59">
        <f t="shared" si="20"/>
        <v>600.21165777082547</v>
      </c>
      <c r="EO37" s="59">
        <f ca="1">AVERAGE(OFFSET($EN$3,0,0,'Données projet'!$E$15+1,1))-AVERAGE(OFFSET($H$3,0,0,'Données projet'!$E$15+1,1))</f>
        <v>200.15574321350221</v>
      </c>
      <c r="EP37" s="59">
        <f t="shared" si="46"/>
        <v>200.70728852570426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10.787079163141678</v>
      </c>
      <c r="EW37" s="21">
        <f>EXP(-LN(2)/25)*EW36+(1-EXP(-LN(2)/25))/(LN(2)/25)*Calculateur!ER37*Calculateur!ET37*VLOOKUP('Données projet'!$B$15,Paramètres!$A$1:$I$89,3,0)*0.475*44/12</f>
        <v>15.649757642930702</v>
      </c>
      <c r="EX37" s="21">
        <f>EXP(-LN(2)/2)*EX36+(1-EXP(-LN(2)/2))/(LN(2)/2)*ER37*EU37*VLOOKUP('Données projet'!$B$15,Paramètres!$A$1:$I$89,3,0)*0.475*44/12</f>
        <v>1.1437863534159423</v>
      </c>
      <c r="EY37" s="22">
        <f t="shared" si="21"/>
        <v>27.580623159488319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8.0564102564102633</v>
      </c>
      <c r="FE37" s="12">
        <f>IF('Données projet'!$A$218&gt;35,FE36+FD37-FM36,IF(A37&lt;'Données projet'!$A$218,$FB$205^A37,IF(A37='Données projet'!$A$218,'Données projet'!$B$218,FE36+FD37-FM36)))</f>
        <v>154.11025641025643</v>
      </c>
      <c r="FF37" s="17">
        <f>FE37*VLOOKUP('Données projet'!$B$16,Paramètres!$A$1:$I$89,3,0)*VLOOKUP('Données projet'!$B$16,Paramètres!$A$1:$I$89,5,0)</f>
        <v>165.88428000000002</v>
      </c>
      <c r="FG37" s="13">
        <f t="shared" si="47"/>
        <v>42.166928542858805</v>
      </c>
      <c r="FH37" s="20">
        <f t="shared" si="22"/>
        <v>362.35585487881241</v>
      </c>
      <c r="FI37" s="59">
        <f t="shared" si="23"/>
        <v>655.68918821214572</v>
      </c>
      <c r="FJ37" s="59">
        <f ca="1">AVERAGE(OFFSET($FI$3,0,0,'Données projet'!$E$16+1,1))-AVERAGE(OFFSET($H$3,0,0,'Données projet'!$E$16+1,1))</f>
        <v>347.17049316703486</v>
      </c>
      <c r="FK37" s="59">
        <f t="shared" si="48"/>
        <v>255.45365487683489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7">
        <f t="shared" si="1"/>
        <v>331.35661242347453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266.02599413192075</v>
      </c>
      <c r="T38" s="59">
        <f t="shared" si="34"/>
        <v>332.94146254783254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162.16666666666669</v>
      </c>
      <c r="AG38" s="12">
        <f>VLOOKUP(A38,'Données projet'!$A$61:$I$81,9,0)</f>
        <v>8.0564102564102633</v>
      </c>
      <c r="AH38" s="12">
        <f t="array" ref="AH38">INDEX(AG:AG,MIN(IF(ISNUMBER(AG38:AG234),ROW(AG38:AG234),"")))</f>
        <v>8.0564102564102633</v>
      </c>
      <c r="AI38" s="13">
        <f>IF('Données projet'!$A$62&gt;35,AI37+AH38-AQ37,IF(A38&lt;'Données projet'!$A$62,$AF$205^A38,IF(A38='Données projet'!$A$62,'Données projet'!$B$62,AI37+AH38-AQ37)))</f>
        <v>162.16666666666669</v>
      </c>
      <c r="AJ38" s="13">
        <f>AI38*VLOOKUP('Données projet'!$B$10,Paramètres!$A$1:$I$89,3,0)*VLOOKUP('Données projet'!$B$10,Paramètres!$A$1:$I$89,5,0)</f>
        <v>146.72840000000002</v>
      </c>
      <c r="AK38" s="13">
        <f t="shared" si="35"/>
        <v>37.834151268675086</v>
      </c>
      <c r="AL38" s="20">
        <f t="shared" si="4"/>
        <v>321.44644345960916</v>
      </c>
      <c r="AM38" s="59">
        <f t="shared" si="5"/>
        <v>614.77977679294247</v>
      </c>
      <c r="AN38" s="59">
        <f ca="1">AVERAGE(OFFSET($AM$3,0,0,'Données projet'!$E$10+1,1))-AVERAGE(OFFSET($H$3,0,0,'Données projet'!$E$10+1,1))</f>
        <v>282.13645166362238</v>
      </c>
      <c r="AO38" s="59">
        <f t="shared" si="36"/>
        <v>210.5345332979457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60.602564102564102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305.49230769230769</v>
      </c>
      <c r="BB38" s="12">
        <f>VLOOKUP(A38,'Données projet'!$A$87:$I$107,9,0)</f>
        <v>18.100000000000001</v>
      </c>
      <c r="BC38" s="12">
        <f t="array" ref="BC38">INDEX(BB:BB,MIN(IF(ISNUMBER(BB38:BB234),ROW(BB38:BB234),"")))</f>
        <v>18.100000000000001</v>
      </c>
      <c r="BD38" s="12">
        <f>IF('Données projet'!$A$88&gt;35,BD37+BC38-BL37,IF(A38&lt;'Données projet'!$A$88,$BA$205^A38,IF(A38='Données projet'!$A$88,'Données projet'!$B$88,BD37+BC38-BL37)))</f>
        <v>305.49230769230763</v>
      </c>
      <c r="BE38" s="13">
        <f>BD38*VLOOKUP('Données projet'!$B$11,Paramètres!$A$1:$I$89,3,0)*VLOOKUP('Données projet'!$B$11,Paramètres!$A$1:$I$89,5,0)</f>
        <v>170.77019999999999</v>
      </c>
      <c r="BF38" s="13">
        <f t="shared" si="37"/>
        <v>43.26247735598961</v>
      </c>
      <c r="BG38" s="20">
        <f t="shared" si="7"/>
        <v>372.77357972834852</v>
      </c>
      <c r="BH38" s="59">
        <f t="shared" si="8"/>
        <v>666.10691306168178</v>
      </c>
      <c r="BI38" s="59">
        <f ca="1">AVERAGE(OFFSET($BH$3,0,0,'Données projet'!$E$11+1,1))-AVERAGE(OFFSET($H$3,0,0,'Données projet'!$E$11+1,1))</f>
        <v>254.6443970237226</v>
      </c>
      <c r="BJ38" s="59">
        <f t="shared" si="38"/>
        <v>231.81667808018062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70.5</v>
      </c>
      <c r="BM38" s="16">
        <f>IF(ISNA(VLOOKUP(A38,'Données projet'!$A$87:$I$107,5,0)),0%,VLOOKUP(A38,'Données projet'!$A$87:$I$107,5,0)*VLOOKUP('Données projet'!$B$11,Paramètres!$A$1:$I$89,7,0))</f>
        <v>0.38500000000000001</v>
      </c>
      <c r="BN38" s="16">
        <f>IF(ISNA(VLOOKUP(A38,'Données projet'!$A$87:$I$107,6,0)),0%,VLOOKUP(A38,'Données projet'!$A$87:$I$107,6,0)*VLOOKUP('Données projet'!$B$11,Paramètres!$A$1:$I$89,7,0))</f>
        <v>9.240000000000001E-2</v>
      </c>
      <c r="BO38" s="16">
        <f>IF(ISNA(VLOOKUP(A38,'Données projet'!$A$87:$I$107,7,0)),0%,VLOOKUP(A38,'Données projet'!$A$87:$I$107,7,0))</f>
        <v>0.13200000000000001</v>
      </c>
      <c r="BP38" s="21">
        <f>EXP(-LN(2)/35)*BP37+(1-EXP(-LN(2)/35))/(LN(2)/35)*BL38*BM38*VLOOKUP('Données projet'!$B$11,Paramètres!$A$1:$I$89,3,0)*0.475*44/12</f>
        <v>20.127508134058157</v>
      </c>
      <c r="BQ38" s="21">
        <f>EXP(-LN(2)/25)*BQ37+(1-EXP(-LN(2)/25))/(LN(2)/25)*Calculateur!BL38*Calculateur!BN38*VLOOKUP('Données projet'!$B$11,Paramètres!$A$1:$I$89,3,0)*0.475*44/12</f>
        <v>24.91471780668838</v>
      </c>
      <c r="BR38" s="21">
        <f>EXP(-LN(2)/2)*BR37+(1-EXP(-LN(2)/2))/(LN(2)/2)*BL38*BO38*VLOOKUP('Données projet'!$B$11,Paramètres!$A$1:$I$89,3,0)*0.475*44/12</f>
        <v>7.4239734065510907</v>
      </c>
      <c r="BS38" s="22">
        <f t="shared" si="9"/>
        <v>52.466199347297625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5.3369963369963358</v>
      </c>
      <c r="BY38" s="12">
        <f>IF('Données projet'!$A$114&gt;35,BY37+BX38-CG37,IF(A38&lt;'Données projet'!$A$114,$BV$205^A38,IF(A38='Données projet'!$A$114,'Données projet'!$B$114,BY37+BX38-CG37)))</f>
        <v>114.39010989010988</v>
      </c>
      <c r="BZ38" s="13">
        <f>BY38*VLOOKUP('Données projet'!$B$12,Paramètres!$A$1:$I$89,3,0)*VLOOKUP('Données projet'!$B$12,Paramètres!$A$1:$I$89,5,0)</f>
        <v>115.99157142857143</v>
      </c>
      <c r="CA38" s="13">
        <f t="shared" si="39"/>
        <v>30.738258626956586</v>
      </c>
      <c r="CB38" s="20">
        <f t="shared" si="10"/>
        <v>255.55445401337798</v>
      </c>
      <c r="CC38" s="59">
        <f t="shared" si="11"/>
        <v>548.88778734671132</v>
      </c>
      <c r="CD38" s="59">
        <f ca="1">AVERAGE(OFFSET($CC$3,0,0,'Données projet'!$E$12+1,1))-AVERAGE(OFFSET($H$3,0,0,'Données projet'!$E$12+1,1))</f>
        <v>264.08050363622294</v>
      </c>
      <c r="CE38" s="59">
        <f t="shared" si="40"/>
        <v>164.48884512322883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305.49230769230769</v>
      </c>
      <c r="CR38" s="12">
        <f>VLOOKUP(A38,'Données projet'!$A$139:$I$159,9,0)</f>
        <v>18.100000000000001</v>
      </c>
      <c r="CS38" s="12">
        <f t="array" ref="CS38">INDEX(CR:CR,MIN(IF(ISNUMBER(CR38:CR234),ROW(CR38:CR234),"")))</f>
        <v>18.100000000000001</v>
      </c>
      <c r="CT38" s="12">
        <f>IF('Données projet'!$A$140&gt;35,CT37+CS38-DB37,IF(A38&lt;'Données projet'!$A$140,$CQ$205^A38,IF(A38='Données projet'!$A$140,'Données projet'!$B$140,CT37+CS38-DB37)))</f>
        <v>305.49230769230763</v>
      </c>
      <c r="CU38" s="17">
        <f>CT38*VLOOKUP('Données projet'!$B$13,Paramètres!$A$1:$I$89,3,0)*VLOOKUP('Données projet'!$B$13,Paramètres!$A$1:$I$89,5,0)</f>
        <v>135.02760000000001</v>
      </c>
      <c r="CV38" s="13">
        <f t="shared" si="41"/>
        <v>35.155512114509101</v>
      </c>
      <c r="CW38" s="20">
        <f t="shared" si="13"/>
        <v>296.40225359943668</v>
      </c>
      <c r="CX38" s="59">
        <f t="shared" si="14"/>
        <v>589.73558693277005</v>
      </c>
      <c r="CY38" s="59">
        <f ca="1">AVERAGE(OFFSET($CX$3,0,0,'Données projet'!$E$13+1,1))-AVERAGE(OFFSET($H$3,0,0,'Données projet'!$E$13+1,1))</f>
        <v>194.7221767407824</v>
      </c>
      <c r="CZ38" s="59">
        <f t="shared" si="42"/>
        <v>177.6550559568646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70.5</v>
      </c>
      <c r="DC38" s="16">
        <f>IF(ISNA(VLOOKUP(A38,'Données projet'!$A$139:$I$159,5,0)),0%,VLOOKUP(A38,'Données projet'!$A$139:$I$159,5,0)*VLOOKUP('Données projet'!$B$13,Paramètres!$A$1:$I$89,7,0))</f>
        <v>0.38500000000000001</v>
      </c>
      <c r="DD38" s="16">
        <f>IF(ISNA(VLOOKUP(A38,'Données projet'!$A$139:$I$159,6,0)),0%,VLOOKUP(A38,'Données projet'!$A$139:$I$159,6,0)*VLOOKUP('Données projet'!$B$13,Paramètres!$A$1:$I$89,7,0))</f>
        <v>9.240000000000001E-2</v>
      </c>
      <c r="DE38" s="16">
        <f>IF(ISNA(VLOOKUP(A38,'Données projet'!$A$139:$I$159,7,0)),0%,VLOOKUP(A38,'Données projet'!$A$139:$I$159,7,0))</f>
        <v>0.13200000000000001</v>
      </c>
      <c r="DF38" s="21">
        <f>EXP(-LN(2)/35)*DF37+(1-EXP(-LN(2)/35))/(LN(2)/35)*DB38*DC38*VLOOKUP('Données projet'!$B$13,Paramètres!$A$1:$I$89,3,0)*0.475*44/12</f>
        <v>15.914773873441334</v>
      </c>
      <c r="DG38" s="21">
        <f>EXP(-LN(2)/25)*DG37+(1-EXP(-LN(2)/25))/(LN(2)/25)*Calculateur!DB38*Calculateur!DD38*VLOOKUP('Données projet'!$B$13,Paramètres!$A$1:$I$89,3,0)*0.475*44/12</f>
        <v>19.700009428544298</v>
      </c>
      <c r="DH38" s="21">
        <f>EXP(-LN(2)/2)*DH37+(1-EXP(-LN(2)/2))/(LN(2)/2)*DB38*DE38*VLOOKUP('Données projet'!$B$13,Paramètres!$A$1:$I$89,3,0)*0.475*44/12</f>
        <v>5.8701185075055147</v>
      </c>
      <c r="DI38" s="22">
        <f t="shared" si="15"/>
        <v>41.484901809491149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16.131410256410259</v>
      </c>
      <c r="DO38" s="12">
        <f>IF('Données projet'!$A$166&gt;35,DO37+DN38-DW37,IF(A38&lt;'Données projet'!$A$166,$DL$205^A38,IF(A38='Données projet'!$A$166,'Données projet'!$B$166,DO37+DN38-DW37)))</f>
        <v>297.44935897435897</v>
      </c>
      <c r="DP38" s="17">
        <f>DO38*VLOOKUP('Données projet'!$B$14,Paramètres!$A$1:$I$89,3,0)*VLOOKUP('Données projet'!$B$14,Paramètres!$A$1:$I$89,5,0)</f>
        <v>139.2063</v>
      </c>
      <c r="DQ38" s="13">
        <f t="shared" si="43"/>
        <v>36.115119849784641</v>
      </c>
      <c r="DR38" s="20">
        <f t="shared" si="16"/>
        <v>305.35147290504159</v>
      </c>
      <c r="DS38" s="59">
        <f t="shared" si="17"/>
        <v>598.6848062383749</v>
      </c>
      <c r="DT38" s="59">
        <f ca="1">AVERAGE(OFFSET($DS$3,0,0,'Données projet'!$E$14+1,1))-AVERAGE(OFFSET($H$3,0,0,'Données projet'!$E$14+1,1))</f>
        <v>207.25176714718668</v>
      </c>
      <c r="DU38" s="59">
        <f t="shared" si="44"/>
        <v>191.53228014642559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14.298901098901101</v>
      </c>
      <c r="EJ38" s="12">
        <f>IF('Données projet'!$A$192&gt;35,EJ37+EI38-ER37,IF(A38&lt;'Données projet'!$A$192,$EG$205^A38,IF(A38='Données projet'!$A$192,'Données projet'!$B$192,EJ37+EI38-ER37)))</f>
        <v>248.278021978022</v>
      </c>
      <c r="EK38" s="17">
        <f>EJ38*VLOOKUP('Données projet'!$B$15,Paramètres!$A$1:$I$89,3,0)*VLOOKUP('Données projet'!$B$15,Paramètres!$A$1:$I$89,5,0)</f>
        <v>148.47025714285718</v>
      </c>
      <c r="EL38" s="13">
        <f t="shared" si="45"/>
        <v>38.230738941903269</v>
      </c>
      <c r="EM38" s="20">
        <f t="shared" si="19"/>
        <v>325.17090151429107</v>
      </c>
      <c r="EN38" s="59">
        <f t="shared" si="20"/>
        <v>618.50423484762439</v>
      </c>
      <c r="EO38" s="59">
        <f ca="1">AVERAGE(OFFSET($EN$3,0,0,'Données projet'!$E$15+1,1))-AVERAGE(OFFSET($H$3,0,0,'Données projet'!$E$15+1,1))</f>
        <v>200.15574321350221</v>
      </c>
      <c r="EP38" s="59">
        <f t="shared" si="46"/>
        <v>200.70728852570426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10.575551120221091</v>
      </c>
      <c r="EW38" s="21">
        <f>EXP(-LN(2)/25)*EW37+(1-EXP(-LN(2)/25))/(LN(2)/25)*Calculateur!ER38*Calculateur!ET38*VLOOKUP('Données projet'!$B$15,Paramètres!$A$1:$I$89,3,0)*0.475*44/12</f>
        <v>15.221814197199775</v>
      </c>
      <c r="EX38" s="21">
        <f>EXP(-LN(2)/2)*EX37+(1-EXP(-LN(2)/2))/(LN(2)/2)*ER38*EU38*VLOOKUP('Données projet'!$B$15,Paramètres!$A$1:$I$89,3,0)*0.475*44/12</f>
        <v>0.80877908672904586</v>
      </c>
      <c r="EY38" s="22">
        <f t="shared" si="21"/>
        <v>26.606144404149912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162.16666666666669</v>
      </c>
      <c r="FC38" s="12">
        <f>VLOOKUP(A38,'Données projet'!$A$217:$I$237,9,0)</f>
        <v>8.0564102564102633</v>
      </c>
      <c r="FD38" s="12">
        <f t="array" ref="FD38">INDEX(FC:FC,MIN(IF(ISNUMBER(FC38:FC234),ROW(FC38:FC234),"")))</f>
        <v>8.0564102564102633</v>
      </c>
      <c r="FE38" s="12">
        <f>IF('Données projet'!$A$218&gt;35,FE37+FD38-FM37,IF(A38&lt;'Données projet'!$A$218,$FB$205^A38,IF(A38='Données projet'!$A$218,'Données projet'!$B$218,FE37+FD38-FM37)))</f>
        <v>162.16666666666669</v>
      </c>
      <c r="FF38" s="17">
        <f>FE38*VLOOKUP('Données projet'!$B$16,Paramètres!$A$1:$I$89,3,0)*VLOOKUP('Données projet'!$B$16,Paramètres!$A$1:$I$89,5,0)</f>
        <v>174.55620000000002</v>
      </c>
      <c r="FG38" s="13">
        <f t="shared" si="47"/>
        <v>44.108884766962227</v>
      </c>
      <c r="FH38" s="20">
        <f t="shared" si="22"/>
        <v>380.8416893024592</v>
      </c>
      <c r="FI38" s="59">
        <f t="shared" si="23"/>
        <v>674.17502263579252</v>
      </c>
      <c r="FJ38" s="59">
        <f ca="1">AVERAGE(OFFSET($FI$3,0,0,'Données projet'!$E$16+1,1))-AVERAGE(OFFSET($H$3,0,0,'Données projet'!$E$16+1,1))</f>
        <v>347.17049316703486</v>
      </c>
      <c r="FK38" s="59">
        <f t="shared" si="48"/>
        <v>255.45365487683489</v>
      </c>
      <c r="FL38" s="15">
        <f>IF(ISNA(VLOOKUP(A38,'Données projet'!$A$217:$I$237,3,0)),0,VLOOKUP(A38,'Données projet'!$A$217:$I$237,3,0))</f>
        <v>1</v>
      </c>
      <c r="FM38" s="15">
        <f>IF(ISNA(VLOOKUP(A38,'Données projet'!$A$217:$I$237,4,0)),0,VLOOKUP(A38,'Données projet'!$A$217:$I$237,4,0))</f>
        <v>60.602564102564102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7">
        <f t="shared" si="1"/>
        <v>332.4110204876331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718.19468264481588</v>
      </c>
      <c r="S39" s="59">
        <f ca="1">AVERAGE(OFFSET($R$3,0,0,'Données projet'!$E$9+1,1))-AVERAGE(OFFSET($H$3,0,0,'Données projet'!$E$9+1,1))</f>
        <v>266.02599413192075</v>
      </c>
      <c r="T39" s="59">
        <f t="shared" si="34"/>
        <v>332.94146254783254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9.3141025641025621</v>
      </c>
      <c r="AI39" s="13">
        <f>IF('Données projet'!$A$62&gt;35,AI38+AH39-AQ38,IF(A39&lt;'Données projet'!$A$62,$AF$205^A39,IF(A39='Données projet'!$A$62,'Données projet'!$B$62,AI38+AH39-AQ38)))</f>
        <v>110.87820512820515</v>
      </c>
      <c r="AJ39" s="13">
        <f>AI39*VLOOKUP('Données projet'!$B$10,Paramètres!$A$1:$I$89,3,0)*VLOOKUP('Données projet'!$B$10,Paramètres!$A$1:$I$89,5,0)</f>
        <v>100.32260000000002</v>
      </c>
      <c r="AK39" s="13">
        <f t="shared" si="35"/>
        <v>27.038838137326771</v>
      </c>
      <c r="AL39" s="20">
        <f t="shared" si="4"/>
        <v>221.82117142251082</v>
      </c>
      <c r="AM39" s="59">
        <f t="shared" si="5"/>
        <v>515.15450475584407</v>
      </c>
      <c r="AN39" s="59">
        <f ca="1">AVERAGE(OFFSET($AM$3,0,0,'Données projet'!$E$10+1,1))-AVERAGE(OFFSET($H$3,0,0,'Données projet'!$E$10+1,1))</f>
        <v>282.13645166362238</v>
      </c>
      <c r="AO39" s="59">
        <f t="shared" si="36"/>
        <v>210.5345332979457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18.229670329670324</v>
      </c>
      <c r="BD39" s="12">
        <f>IF('Données projet'!$A$88&gt;35,BD38+BC39-BL38,IF(A39&lt;'Données projet'!$A$88,$BA$205^A39,IF(A39='Données projet'!$A$88,'Données projet'!$B$88,BD38+BC39-BL38)))</f>
        <v>253.22197802197798</v>
      </c>
      <c r="BE39" s="13">
        <f>BD39*VLOOKUP('Données projet'!$B$11,Paramètres!$A$1:$I$89,3,0)*VLOOKUP('Données projet'!$B$11,Paramètres!$A$1:$I$89,5,0)</f>
        <v>141.55108571428568</v>
      </c>
      <c r="BF39" s="13">
        <f t="shared" si="37"/>
        <v>36.652109269178737</v>
      </c>
      <c r="BG39" s="20">
        <f t="shared" si="7"/>
        <v>310.3705645962005</v>
      </c>
      <c r="BH39" s="59">
        <f t="shared" si="8"/>
        <v>603.70389792953381</v>
      </c>
      <c r="BI39" s="59">
        <f ca="1">AVERAGE(OFFSET($BH$3,0,0,'Données projet'!$E$11+1,1))-AVERAGE(OFFSET($H$3,0,0,'Données projet'!$E$11+1,1))</f>
        <v>254.6443970237226</v>
      </c>
      <c r="BJ39" s="59">
        <f t="shared" si="38"/>
        <v>231.81667808018062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19.732819976117028</v>
      </c>
      <c r="BQ39" s="21">
        <f>EXP(-LN(2)/25)*BQ38+(1-EXP(-LN(2)/25))/(LN(2)/25)*Calculateur!BL39*Calculateur!BN39*VLOOKUP('Données projet'!$B$11,Paramètres!$A$1:$I$89,3,0)*0.475*44/12</f>
        <v>24.233423538056421</v>
      </c>
      <c r="BR39" s="21">
        <f>EXP(-LN(2)/2)*BR38+(1-EXP(-LN(2)/2))/(LN(2)/2)*BL39*BO39*VLOOKUP('Données projet'!$B$11,Paramètres!$A$1:$I$89,3,0)*0.475*44/12</f>
        <v>5.2495419391208706</v>
      </c>
      <c r="BS39" s="22">
        <f t="shared" si="9"/>
        <v>49.215785453294316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5.3369963369963358</v>
      </c>
      <c r="BY39" s="12">
        <f>IF('Données projet'!$A$114&gt;35,BY38+BX39-CG38,IF(A39&lt;'Données projet'!$A$114,$BV$205^A39,IF(A39='Données projet'!$A$114,'Données projet'!$B$114,BY38+BX39-CG38)))</f>
        <v>119.72710622710622</v>
      </c>
      <c r="BZ39" s="13">
        <f>BY39*VLOOKUP('Données projet'!$B$12,Paramètres!$A$1:$I$89,3,0)*VLOOKUP('Données projet'!$B$12,Paramètres!$A$1:$I$89,5,0)</f>
        <v>121.40328571428572</v>
      </c>
      <c r="CA39" s="13">
        <f t="shared" si="39"/>
        <v>32.002070852076919</v>
      </c>
      <c r="CB39" s="20">
        <f t="shared" si="10"/>
        <v>267.18099601974819</v>
      </c>
      <c r="CC39" s="59">
        <f t="shared" si="11"/>
        <v>560.51432935308151</v>
      </c>
      <c r="CD39" s="59">
        <f ca="1">AVERAGE(OFFSET($CC$3,0,0,'Données projet'!$E$12+1,1))-AVERAGE(OFFSET($H$3,0,0,'Données projet'!$E$12+1,1))</f>
        <v>264.08050363622294</v>
      </c>
      <c r="CE39" s="59">
        <f t="shared" si="40"/>
        <v>164.48884512322883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18.229670329670324</v>
      </c>
      <c r="CT39" s="12">
        <f>IF('Données projet'!$A$140&gt;35,CT38+CS39-DB38,IF(A39&lt;'Données projet'!$A$140,$CQ$205^A39,IF(A39='Données projet'!$A$140,'Données projet'!$B$140,CT38+CS39-DB38)))</f>
        <v>253.22197802197798</v>
      </c>
      <c r="CU39" s="17">
        <f>CT39*VLOOKUP('Données projet'!$B$13,Paramètres!$A$1:$I$89,3,0)*VLOOKUP('Données projet'!$B$13,Paramètres!$A$1:$I$89,5,0)</f>
        <v>111.92411428571428</v>
      </c>
      <c r="CV39" s="13">
        <f t="shared" si="41"/>
        <v>29.783862371823506</v>
      </c>
      <c r="CW39" s="20">
        <f t="shared" si="13"/>
        <v>246.80805934521163</v>
      </c>
      <c r="CX39" s="59">
        <f t="shared" si="14"/>
        <v>540.14139267854489</v>
      </c>
      <c r="CY39" s="59">
        <f ca="1">AVERAGE(OFFSET($CX$3,0,0,'Données projet'!$E$13+1,1))-AVERAGE(OFFSET($H$3,0,0,'Données projet'!$E$13+1,1))</f>
        <v>194.7221767407824</v>
      </c>
      <c r="CZ39" s="59">
        <f t="shared" si="42"/>
        <v>177.6550559568646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15.602694864836719</v>
      </c>
      <c r="DG39" s="21">
        <f>EXP(-LN(2)/25)*DG38+(1-EXP(-LN(2)/25))/(LN(2)/25)*Calculateur!DB39*Calculateur!DD39*VLOOKUP('Données projet'!$B$13,Paramètres!$A$1:$I$89,3,0)*0.475*44/12</f>
        <v>19.161311634742283</v>
      </c>
      <c r="DH39" s="21">
        <f>EXP(-LN(2)/2)*DH38+(1-EXP(-LN(2)/2))/(LN(2)/2)*DB39*DE39*VLOOKUP('Données projet'!$B$13,Paramètres!$A$1:$I$89,3,0)*0.475*44/12</f>
        <v>4.1508006030258056</v>
      </c>
      <c r="DI39" s="22">
        <f t="shared" si="15"/>
        <v>38.914807102604811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16.131410256410259</v>
      </c>
      <c r="DO39" s="12">
        <f>IF('Données projet'!$A$166&gt;35,DO38+DN39-DW38,IF(A39&lt;'Données projet'!$A$166,$DL$205^A39,IF(A39='Données projet'!$A$166,'Données projet'!$B$166,DO38+DN39-DW38)))</f>
        <v>313.58076923076925</v>
      </c>
      <c r="DP39" s="17">
        <f>DO39*VLOOKUP('Données projet'!$B$14,Paramètres!$A$1:$I$89,3,0)*VLOOKUP('Données projet'!$B$14,Paramètres!$A$1:$I$89,5,0)</f>
        <v>146.75580000000002</v>
      </c>
      <c r="DQ39" s="13">
        <f t="shared" si="43"/>
        <v>37.840393952855997</v>
      </c>
      <c r="DR39" s="20">
        <f t="shared" si="16"/>
        <v>321.5050378012242</v>
      </c>
      <c r="DS39" s="59">
        <f t="shared" si="17"/>
        <v>614.83837113455752</v>
      </c>
      <c r="DT39" s="59">
        <f ca="1">AVERAGE(OFFSET($DS$3,0,0,'Données projet'!$E$14+1,1))-AVERAGE(OFFSET($H$3,0,0,'Données projet'!$E$14+1,1))</f>
        <v>207.25176714718668</v>
      </c>
      <c r="DU39" s="59">
        <f t="shared" si="44"/>
        <v>191.53228014642559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262.57692307692309</v>
      </c>
      <c r="EH39" s="12">
        <f>VLOOKUP(A39,'Données projet'!$A$191:$I$211,9,0)</f>
        <v>14.298901098901101</v>
      </c>
      <c r="EI39" s="12">
        <f t="array" ref="EI39">INDEX(EH:EH,MIN(IF(ISNUMBER(EH39:EH235),ROW(EH39:EH235),"")))</f>
        <v>14.298901098901101</v>
      </c>
      <c r="EJ39" s="12">
        <f>IF('Données projet'!$A$192&gt;35,EJ38+EI39-ER38,IF(A39&lt;'Données projet'!$A$192,$EG$205^A39,IF(A39='Données projet'!$A$192,'Données projet'!$B$192,EJ38+EI39-ER38)))</f>
        <v>262.57692307692309</v>
      </c>
      <c r="EK39" s="17">
        <f>EJ39*VLOOKUP('Données projet'!$B$15,Paramètres!$A$1:$I$89,3,0)*VLOOKUP('Données projet'!$B$15,Paramètres!$A$1:$I$89,5,0)</f>
        <v>157.02100000000002</v>
      </c>
      <c r="EL39" s="13">
        <f t="shared" si="45"/>
        <v>40.169860444278903</v>
      </c>
      <c r="EM39" s="20">
        <f t="shared" si="19"/>
        <v>343.44074860711908</v>
      </c>
      <c r="EN39" s="59">
        <f t="shared" si="20"/>
        <v>636.77408194045233</v>
      </c>
      <c r="EO39" s="59">
        <f ca="1">AVERAGE(OFFSET($EN$3,0,0,'Données projet'!$E$15+1,1))-AVERAGE(OFFSET($H$3,0,0,'Données projet'!$E$15+1,1))</f>
        <v>200.15574321350221</v>
      </c>
      <c r="EP39" s="59">
        <f t="shared" si="46"/>
        <v>200.70728852570426</v>
      </c>
      <c r="EQ39" s="15">
        <f>IF(ISNA(VLOOKUP(A39,'Données projet'!$A$191:$I$211,3,0)),0,VLOOKUP(A39,'Données projet'!$A$191:$I$211,3,0))</f>
        <v>4</v>
      </c>
      <c r="ER39" s="15">
        <f>IF(ISNA(VLOOKUP(A39,'Données projet'!$A$191:$I$211,4,0)),0,VLOOKUP(A39,'Données projet'!$A$191:$I$211,4,0))</f>
        <v>64.553846153846152</v>
      </c>
      <c r="ES39" s="16">
        <f>IF(ISNA(VLOOKUP(A39,'Données projet'!$A$191:$I$211,5,0)),0%,VLOOKUP(A39,'Données projet'!$A$191:$I$211,5,0)*VLOOKUP('Données projet'!$B$15,Paramètres!$A$1:$I$89,7,0))</f>
        <v>0.315</v>
      </c>
      <c r="ET39" s="16">
        <f>IF(ISNA(VLOOKUP(A39,'Données projet'!$A$191:$I$211,6,0)),0%,VLOOKUP(A39,'Données projet'!$A$191:$I$211,6,0)*VLOOKUP('Données projet'!$B$15,Paramètres!$A$1:$I$89,7,0))</f>
        <v>7.5600000000000001E-2</v>
      </c>
      <c r="EU39" s="16">
        <f>IF(ISNA(VLOOKUP(A39,'Données projet'!$A$191:$I$211,7,0)),0%,VLOOKUP(A39,'Données projet'!$A$191:$I$211,7,0))</f>
        <v>0.13200000000000001</v>
      </c>
      <c r="EV39" s="21">
        <f>EXP(-LN(2)/35)*EV38+(1-EXP(-LN(2)/35))/(LN(2)/35)*ER39*ES39*VLOOKUP('Données projet'!$B$15,Paramètres!$A$1:$I$89,3,0)*0.475*44/12</f>
        <v>26.499205403863257</v>
      </c>
      <c r="EW39" s="21">
        <f>EXP(-LN(2)/25)*EW38+(1-EXP(-LN(2)/25))/(LN(2)/25)*Calculateur!ER39*Calculateur!ET39*VLOOKUP('Données projet'!$B$15,Paramètres!$A$1:$I$89,3,0)*0.475*44/12</f>
        <v>18.661777774342958</v>
      </c>
      <c r="EX39" s="21">
        <f>EXP(-LN(2)/2)*EX38+(1-EXP(-LN(2)/2))/(LN(2)/2)*ER39*EU39*VLOOKUP('Données projet'!$B$15,Paramètres!$A$1:$I$89,3,0)*0.475*44/12</f>
        <v>6.3413214339872948</v>
      </c>
      <c r="EY39" s="22">
        <f t="shared" si="21"/>
        <v>51.502304612193512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9.3141025641025621</v>
      </c>
      <c r="FE39" s="12">
        <f>IF('Données projet'!$A$218&gt;35,FE38+FD39-FM38,IF(A39&lt;'Données projet'!$A$218,$FB$205^A39,IF(A39='Données projet'!$A$218,'Données projet'!$B$218,FE38+FD39-FM38)))</f>
        <v>110.87820512820515</v>
      </c>
      <c r="FF39" s="17">
        <f>FE39*VLOOKUP('Données projet'!$B$16,Paramètres!$A$1:$I$89,3,0)*VLOOKUP('Données projet'!$B$16,Paramètres!$A$1:$I$89,5,0)</f>
        <v>119.34930000000001</v>
      </c>
      <c r="FG39" s="13">
        <f t="shared" si="47"/>
        <v>31.523186212435331</v>
      </c>
      <c r="FH39" s="20">
        <f t="shared" si="22"/>
        <v>262.76958015332491</v>
      </c>
      <c r="FI39" s="59">
        <f t="shared" si="23"/>
        <v>556.10291348665828</v>
      </c>
      <c r="FJ39" s="59">
        <f ca="1">AVERAGE(OFFSET($FI$3,0,0,'Données projet'!$E$16+1,1))-AVERAGE(OFFSET($H$3,0,0,'Données projet'!$E$16+1,1))</f>
        <v>347.17049316703486</v>
      </c>
      <c r="FK39" s="59">
        <f t="shared" si="48"/>
        <v>255.45365487683489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7">
        <f t="shared" si="1"/>
        <v>333.46465593362842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266.02599413192075</v>
      </c>
      <c r="T40" s="59">
        <f t="shared" si="34"/>
        <v>332.94146254783254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9.3141025641025621</v>
      </c>
      <c r="AI40" s="13">
        <f>IF('Données projet'!$A$62&gt;35,AI39+AH40-AQ39,IF(A40&lt;'Données projet'!$A$62,$AF$205^A40,IF(A40='Données projet'!$A$62,'Données projet'!$B$62,AI39+AH40-AQ39)))</f>
        <v>120.19230769230771</v>
      </c>
      <c r="AJ40" s="13">
        <f>AI40*VLOOKUP('Données projet'!$B$10,Paramètres!$A$1:$I$89,3,0)*VLOOKUP('Données projet'!$B$10,Paramètres!$A$1:$I$89,5,0)</f>
        <v>108.75000000000001</v>
      </c>
      <c r="AK40" s="13">
        <f t="shared" si="35"/>
        <v>29.036279216217448</v>
      </c>
      <c r="AL40" s="20">
        <f t="shared" si="4"/>
        <v>239.97776963491205</v>
      </c>
      <c r="AM40" s="59">
        <f t="shared" si="5"/>
        <v>533.31110296824534</v>
      </c>
      <c r="AN40" s="59">
        <f ca="1">AVERAGE(OFFSET($AM$3,0,0,'Données projet'!$E$10+1,1))-AVERAGE(OFFSET($H$3,0,0,'Données projet'!$E$10+1,1))</f>
        <v>282.13645166362238</v>
      </c>
      <c r="AO40" s="59">
        <f t="shared" si="36"/>
        <v>210.5345332979457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18.229670329670324</v>
      </c>
      <c r="BD40" s="12">
        <f>IF('Données projet'!$A$88&gt;35,BD39+BC40-BL39,IF(A40&lt;'Données projet'!$A$88,$BA$205^A40,IF(A40='Données projet'!$A$88,'Données projet'!$B$88,BD39+BC40-BL39)))</f>
        <v>271.45164835164832</v>
      </c>
      <c r="BE40" s="13">
        <f>BD40*VLOOKUP('Données projet'!$B$11,Paramètres!$A$1:$I$89,3,0)*VLOOKUP('Données projet'!$B$11,Paramètres!$A$1:$I$89,5,0)</f>
        <v>151.74147142857143</v>
      </c>
      <c r="BF40" s="13">
        <f t="shared" si="37"/>
        <v>38.974074991810518</v>
      </c>
      <c r="BG40" s="20">
        <f t="shared" si="7"/>
        <v>332.16291001549854</v>
      </c>
      <c r="BH40" s="59">
        <f t="shared" si="8"/>
        <v>625.49624334883185</v>
      </c>
      <c r="BI40" s="59">
        <f ca="1">AVERAGE(OFFSET($BH$3,0,0,'Données projet'!$E$11+1,1))-AVERAGE(OFFSET($H$3,0,0,'Données projet'!$E$11+1,1))</f>
        <v>254.6443970237226</v>
      </c>
      <c r="BJ40" s="59">
        <f t="shared" si="38"/>
        <v>231.81667808018062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19.345871412217118</v>
      </c>
      <c r="BQ40" s="21">
        <f>EXP(-LN(2)/25)*BQ39+(1-EXP(-LN(2)/25))/(LN(2)/25)*Calculateur!BL40*Calculateur!BN40*VLOOKUP('Données projet'!$B$11,Paramètres!$A$1:$I$89,3,0)*0.475*44/12</f>
        <v>23.570759297027909</v>
      </c>
      <c r="BR40" s="21">
        <f>EXP(-LN(2)/2)*BR39+(1-EXP(-LN(2)/2))/(LN(2)/2)*BL40*BO40*VLOOKUP('Données projet'!$B$11,Paramètres!$A$1:$I$89,3,0)*0.475*44/12</f>
        <v>3.7119867032755463</v>
      </c>
      <c r="BS40" s="22">
        <f t="shared" si="9"/>
        <v>46.628617412520576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5.3369963369963358</v>
      </c>
      <c r="BY40" s="12">
        <f>IF('Données projet'!$A$114&gt;35,BY39+BX40-CG39,IF(A40&lt;'Données projet'!$A$114,$BV$205^A40,IF(A40='Données projet'!$A$114,'Données projet'!$B$114,BY39+BX40-CG39)))</f>
        <v>125.06410256410255</v>
      </c>
      <c r="BZ40" s="13">
        <f>BY40*VLOOKUP('Données projet'!$B$12,Paramètres!$A$1:$I$89,3,0)*VLOOKUP('Données projet'!$B$12,Paramètres!$A$1:$I$89,5,0)</f>
        <v>126.81499999999998</v>
      </c>
      <c r="CA40" s="13">
        <f t="shared" si="39"/>
        <v>33.259340247246584</v>
      </c>
      <c r="CB40" s="20">
        <f t="shared" si="10"/>
        <v>278.79614259728777</v>
      </c>
      <c r="CC40" s="59">
        <f t="shared" si="11"/>
        <v>572.12947593062108</v>
      </c>
      <c r="CD40" s="59">
        <f ca="1">AVERAGE(OFFSET($CC$3,0,0,'Données projet'!$E$12+1,1))-AVERAGE(OFFSET($H$3,0,0,'Données projet'!$E$12+1,1))</f>
        <v>264.08050363622294</v>
      </c>
      <c r="CE40" s="59">
        <f t="shared" si="40"/>
        <v>164.48884512322883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18.229670329670324</v>
      </c>
      <c r="CT40" s="12">
        <f>IF('Données projet'!$A$140&gt;35,CT39+CS40-DB39,IF(A40&lt;'Données projet'!$A$140,$CQ$205^A40,IF(A40='Données projet'!$A$140,'Données projet'!$B$140,CT39+CS40-DB39)))</f>
        <v>271.45164835164832</v>
      </c>
      <c r="CU40" s="17">
        <f>CT40*VLOOKUP('Données projet'!$B$13,Paramètres!$A$1:$I$89,3,0)*VLOOKUP('Données projet'!$B$13,Paramètres!$A$1:$I$89,5,0)</f>
        <v>119.98162857142857</v>
      </c>
      <c r="CV40" s="13">
        <f t="shared" si="41"/>
        <v>31.6707144219212</v>
      </c>
      <c r="CW40" s="20">
        <f t="shared" si="13"/>
        <v>264.1278307134175</v>
      </c>
      <c r="CX40" s="59">
        <f t="shared" si="14"/>
        <v>557.46116404675081</v>
      </c>
      <c r="CY40" s="59">
        <f ca="1">AVERAGE(OFFSET($CX$3,0,0,'Données projet'!$E$13+1,1))-AVERAGE(OFFSET($H$3,0,0,'Données projet'!$E$13+1,1))</f>
        <v>194.7221767407824</v>
      </c>
      <c r="CZ40" s="59">
        <f t="shared" si="42"/>
        <v>177.6550559568646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15.296735535241442</v>
      </c>
      <c r="DG40" s="21">
        <f>EXP(-LN(2)/25)*DG39+(1-EXP(-LN(2)/25))/(LN(2)/25)*Calculateur!DB40*Calculateur!DD40*VLOOKUP('Données projet'!$B$13,Paramètres!$A$1:$I$89,3,0)*0.475*44/12</f>
        <v>18.63734456044067</v>
      </c>
      <c r="DH40" s="21">
        <f>EXP(-LN(2)/2)*DH39+(1-EXP(-LN(2)/2))/(LN(2)/2)*DB40*DE40*VLOOKUP('Données projet'!$B$13,Paramètres!$A$1:$I$89,3,0)*0.475*44/12</f>
        <v>2.9350592537527582</v>
      </c>
      <c r="DI40" s="22">
        <f t="shared" si="15"/>
        <v>36.869139349434874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16.131410256410259</v>
      </c>
      <c r="DO40" s="12">
        <f>IF('Données projet'!$A$166&gt;35,DO39+DN40-DW39,IF(A40&lt;'Données projet'!$A$166,$DL$205^A40,IF(A40='Données projet'!$A$166,'Données projet'!$B$166,DO39+DN40-DW39)))</f>
        <v>329.71217948717953</v>
      </c>
      <c r="DP40" s="17">
        <f>DO40*VLOOKUP('Données projet'!$B$14,Paramètres!$A$1:$I$89,3,0)*VLOOKUP('Données projet'!$B$14,Paramètres!$A$1:$I$89,5,0)</f>
        <v>154.30530000000002</v>
      </c>
      <c r="DQ40" s="13">
        <f t="shared" si="43"/>
        <v>39.555363325024224</v>
      </c>
      <c r="DR40" s="20">
        <f t="shared" si="16"/>
        <v>337.64065529108387</v>
      </c>
      <c r="DS40" s="59">
        <f t="shared" si="17"/>
        <v>630.97398862441719</v>
      </c>
      <c r="DT40" s="59">
        <f ca="1">AVERAGE(OFFSET($DS$3,0,0,'Données projet'!$E$14+1,1))-AVERAGE(OFFSET($H$3,0,0,'Données projet'!$E$14+1,1))</f>
        <v>207.25176714718668</v>
      </c>
      <c r="DU40" s="59">
        <f t="shared" si="44"/>
        <v>191.53228014642559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13.14134615384615</v>
      </c>
      <c r="EJ40" s="12">
        <f>IF('Données projet'!$A$192&gt;35,EJ39+EI40-ER39,IF(A40&lt;'Données projet'!$A$192,$EG$205^A40,IF(A40='Données projet'!$A$192,'Données projet'!$B$192,EJ39+EI40-ER39)))</f>
        <v>211.16442307692307</v>
      </c>
      <c r="EK40" s="17">
        <f>EJ40*VLOOKUP('Données projet'!$B$15,Paramètres!$A$1:$I$89,3,0)*VLOOKUP('Données projet'!$B$15,Paramètres!$A$1:$I$89,5,0)</f>
        <v>126.27632500000001</v>
      </c>
      <c r="EL40" s="13">
        <f t="shared" si="45"/>
        <v>33.134477451871625</v>
      </c>
      <c r="EM40" s="20">
        <f t="shared" si="19"/>
        <v>277.64048093700978</v>
      </c>
      <c r="EN40" s="59">
        <f t="shared" si="20"/>
        <v>570.97381427034315</v>
      </c>
      <c r="EO40" s="59">
        <f ca="1">AVERAGE(OFFSET($EN$3,0,0,'Données projet'!$E$15+1,1))-AVERAGE(OFFSET($H$3,0,0,'Données projet'!$E$15+1,1))</f>
        <v>200.15574321350221</v>
      </c>
      <c r="EP40" s="59">
        <f t="shared" si="46"/>
        <v>200.70728852570426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25.979572148812839</v>
      </c>
      <c r="EW40" s="21">
        <f>EXP(-LN(2)/25)*EW39+(1-EXP(-LN(2)/25))/(LN(2)/25)*Calculateur!ER40*Calculateur!ET40*VLOOKUP('Données projet'!$B$15,Paramètres!$A$1:$I$89,3,0)*0.475*44/12</f>
        <v>18.151470479723308</v>
      </c>
      <c r="EX40" s="21">
        <f>EXP(-LN(2)/2)*EX39+(1-EXP(-LN(2)/2))/(LN(2)/2)*ER40*EU40*VLOOKUP('Données projet'!$B$15,Paramètres!$A$1:$I$89,3,0)*0.475*44/12</f>
        <v>4.483991387656018</v>
      </c>
      <c r="EY40" s="22">
        <f t="shared" si="21"/>
        <v>48.615034016192169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9.3141025641025621</v>
      </c>
      <c r="FE40" s="12">
        <f>IF('Données projet'!$A$218&gt;35,FE39+FD40-FM39,IF(A40&lt;'Données projet'!$A$218,$FB$205^A40,IF(A40='Données projet'!$A$218,'Données projet'!$B$218,FE39+FD40-FM39)))</f>
        <v>120.19230769230771</v>
      </c>
      <c r="FF40" s="17">
        <f>FE40*VLOOKUP('Données projet'!$B$16,Paramètres!$A$1:$I$89,3,0)*VLOOKUP('Données projet'!$B$16,Paramètres!$A$1:$I$89,5,0)</f>
        <v>129.375</v>
      </c>
      <c r="FG40" s="13">
        <f t="shared" si="47"/>
        <v>33.851899700731053</v>
      </c>
      <c r="FH40" s="20">
        <f t="shared" si="22"/>
        <v>284.28685031210659</v>
      </c>
      <c r="FI40" s="59">
        <f t="shared" si="23"/>
        <v>577.62018364543997</v>
      </c>
      <c r="FJ40" s="59">
        <f ca="1">AVERAGE(OFFSET($FI$3,0,0,'Données projet'!$E$16+1,1))-AVERAGE(OFFSET($H$3,0,0,'Données projet'!$E$16+1,1))</f>
        <v>347.17049316703486</v>
      </c>
      <c r="FK40" s="59">
        <f t="shared" si="48"/>
        <v>255.45365487683489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7">
        <f t="shared" si="1"/>
        <v>334.51754204275585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266.02599413192075</v>
      </c>
      <c r="T41" s="59">
        <f t="shared" si="34"/>
        <v>332.94146254783254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9.3141025641025621</v>
      </c>
      <c r="AI41" s="13">
        <f>IF('Données projet'!$A$62&gt;35,AI40+AH41-AQ40,IF(A41&lt;'Données projet'!$A$62,$AF$205^A41,IF(A41='Données projet'!$A$62,'Données projet'!$B$62,AI40+AH41-AQ40)))</f>
        <v>129.50641025641028</v>
      </c>
      <c r="AJ41" s="13">
        <f>AI41*VLOOKUP('Données projet'!$B$10,Paramètres!$A$1:$I$89,3,0)*VLOOKUP('Données projet'!$B$10,Paramètres!$A$1:$I$89,5,0)</f>
        <v>117.17740000000002</v>
      </c>
      <c r="AK41" s="13">
        <f t="shared" si="35"/>
        <v>31.015764986886897</v>
      </c>
      <c r="AL41" s="20">
        <f t="shared" si="4"/>
        <v>258.10309568549474</v>
      </c>
      <c r="AM41" s="59">
        <f t="shared" si="5"/>
        <v>551.43642901882799</v>
      </c>
      <c r="AN41" s="59">
        <f ca="1">AVERAGE(OFFSET($AM$3,0,0,'Données projet'!$E$10+1,1))-AVERAGE(OFFSET($H$3,0,0,'Données projet'!$E$10+1,1))</f>
        <v>282.13645166362238</v>
      </c>
      <c r="AO41" s="59">
        <f t="shared" si="36"/>
        <v>210.5345332979457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18.229670329670324</v>
      </c>
      <c r="BD41" s="12">
        <f>IF('Données projet'!$A$88&gt;35,BD40+BC41-BL40,IF(A41&lt;'Données projet'!$A$88,$BA$205^A41,IF(A41='Données projet'!$A$88,'Données projet'!$B$88,BD40+BC41-BL40)))</f>
        <v>289.68131868131866</v>
      </c>
      <c r="BE41" s="13">
        <f>BD41*VLOOKUP('Données projet'!$B$11,Paramètres!$A$1:$I$89,3,0)*VLOOKUP('Données projet'!$B$11,Paramètres!$A$1:$I$89,5,0)</f>
        <v>161.93185714285713</v>
      </c>
      <c r="BF41" s="13">
        <f t="shared" si="37"/>
        <v>41.277946347593272</v>
      </c>
      <c r="BG41" s="20">
        <f t="shared" si="7"/>
        <v>353.92374107920108</v>
      </c>
      <c r="BH41" s="59">
        <f t="shared" si="8"/>
        <v>647.25707441253439</v>
      </c>
      <c r="BI41" s="59">
        <f ca="1">AVERAGE(OFFSET($BH$3,0,0,'Données projet'!$E$11+1,1))-AVERAGE(OFFSET($H$3,0,0,'Données projet'!$E$11+1,1))</f>
        <v>254.6443970237226</v>
      </c>
      <c r="BJ41" s="59">
        <f t="shared" si="38"/>
        <v>231.81667808018062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18.966510673639966</v>
      </c>
      <c r="BQ41" s="21">
        <f>EXP(-LN(2)/25)*BQ40+(1-EXP(-LN(2)/25))/(LN(2)/25)*Calculateur!BL41*Calculateur!BN41*VLOOKUP('Données projet'!$B$11,Paramètres!$A$1:$I$89,3,0)*0.475*44/12</f>
        <v>22.926215644518322</v>
      </c>
      <c r="BR41" s="21">
        <f>EXP(-LN(2)/2)*BR40+(1-EXP(-LN(2)/2))/(LN(2)/2)*BL41*BO41*VLOOKUP('Données projet'!$B$11,Paramètres!$A$1:$I$89,3,0)*0.475*44/12</f>
        <v>2.6247709695604358</v>
      </c>
      <c r="BS41" s="22">
        <f t="shared" si="9"/>
        <v>44.517497287718726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5.3369963369963358</v>
      </c>
      <c r="BY41" s="12">
        <f>IF('Données projet'!$A$114&gt;35,BY40+BX41-CG40,IF(A41&lt;'Données projet'!$A$114,$BV$205^A41,IF(A41='Données projet'!$A$114,'Données projet'!$B$114,BY40+BX41-CG40)))</f>
        <v>130.40109890109889</v>
      </c>
      <c r="BZ41" s="13">
        <f>BY41*VLOOKUP('Données projet'!$B$12,Paramètres!$A$1:$I$89,3,0)*VLOOKUP('Données projet'!$B$12,Paramètres!$A$1:$I$89,5,0)</f>
        <v>132.22671428571428</v>
      </c>
      <c r="CA41" s="13">
        <f t="shared" si="39"/>
        <v>34.510377941523238</v>
      </c>
      <c r="CB41" s="20">
        <f t="shared" si="10"/>
        <v>290.4004356291054</v>
      </c>
      <c r="CC41" s="59">
        <f t="shared" si="11"/>
        <v>583.73376896243872</v>
      </c>
      <c r="CD41" s="59">
        <f ca="1">AVERAGE(OFFSET($CC$3,0,0,'Données projet'!$E$12+1,1))-AVERAGE(OFFSET($H$3,0,0,'Données projet'!$E$12+1,1))</f>
        <v>264.08050363622294</v>
      </c>
      <c r="CE41" s="59">
        <f t="shared" si="40"/>
        <v>164.48884512322883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18.229670329670324</v>
      </c>
      <c r="CT41" s="12">
        <f>IF('Données projet'!$A$140&gt;35,CT40+CS41-DB40,IF(A41&lt;'Données projet'!$A$140,$CQ$205^A41,IF(A41='Données projet'!$A$140,'Données projet'!$B$140,CT40+CS41-DB40)))</f>
        <v>289.68131868131866</v>
      </c>
      <c r="CU41" s="17">
        <f>CT41*VLOOKUP('Données projet'!$B$13,Paramètres!$A$1:$I$89,3,0)*VLOOKUP('Données projet'!$B$13,Paramètres!$A$1:$I$89,5,0)</f>
        <v>128.03914285714285</v>
      </c>
      <c r="CV41" s="13">
        <f t="shared" si="41"/>
        <v>33.542862812593</v>
      </c>
      <c r="CW41" s="20">
        <f t="shared" si="13"/>
        <v>281.42199320812324</v>
      </c>
      <c r="CX41" s="59">
        <f t="shared" si="14"/>
        <v>574.7553265414565</v>
      </c>
      <c r="CY41" s="59">
        <f ca="1">AVERAGE(OFFSET($CX$3,0,0,'Données projet'!$E$13+1,1))-AVERAGE(OFFSET($H$3,0,0,'Données projet'!$E$13+1,1))</f>
        <v>194.7221767407824</v>
      </c>
      <c r="CZ41" s="59">
        <f t="shared" si="42"/>
        <v>177.6550559568646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14.996775881482764</v>
      </c>
      <c r="DG41" s="21">
        <f>EXP(-LN(2)/25)*DG40+(1-EXP(-LN(2)/25))/(LN(2)/25)*Calculateur!DB41*Calculateur!DD41*VLOOKUP('Données projet'!$B$13,Paramètres!$A$1:$I$89,3,0)*0.475*44/12</f>
        <v>18.127705393340065</v>
      </c>
      <c r="DH41" s="21">
        <f>EXP(-LN(2)/2)*DH40+(1-EXP(-LN(2)/2))/(LN(2)/2)*DB41*DE41*VLOOKUP('Données projet'!$B$13,Paramètres!$A$1:$I$89,3,0)*0.475*44/12</f>
        <v>2.0754003015129032</v>
      </c>
      <c r="DI41" s="22">
        <f t="shared" si="15"/>
        <v>35.199881576335727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16.131410256410259</v>
      </c>
      <c r="DO41" s="12">
        <f>IF('Données projet'!$A$166&gt;35,DO40+DN41-DW40,IF(A41&lt;'Données projet'!$A$166,$DL$205^A41,IF(A41='Données projet'!$A$166,'Données projet'!$B$166,DO40+DN41-DW40)))</f>
        <v>345.8435897435898</v>
      </c>
      <c r="DP41" s="17">
        <f>DO41*VLOOKUP('Données projet'!$B$14,Paramètres!$A$1:$I$89,3,0)*VLOOKUP('Données projet'!$B$14,Paramètres!$A$1:$I$89,5,0)</f>
        <v>161.85480000000001</v>
      </c>
      <c r="DQ41" s="13">
        <f t="shared" si="43"/>
        <v>41.260589676862445</v>
      </c>
      <c r="DR41" s="20">
        <f t="shared" si="16"/>
        <v>353.75930368720213</v>
      </c>
      <c r="DS41" s="59">
        <f t="shared" si="17"/>
        <v>647.09263702053545</v>
      </c>
      <c r="DT41" s="59">
        <f ca="1">AVERAGE(OFFSET($DS$3,0,0,'Données projet'!$E$14+1,1))-AVERAGE(OFFSET($H$3,0,0,'Données projet'!$E$14+1,1))</f>
        <v>207.25176714718668</v>
      </c>
      <c r="DU41" s="59">
        <f t="shared" si="44"/>
        <v>191.53228014642559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13.14134615384615</v>
      </c>
      <c r="EJ41" s="12">
        <f>IF('Données projet'!$A$192&gt;35,EJ40+EI41-ER40,IF(A41&lt;'Données projet'!$A$192,$EG$205^A41,IF(A41='Données projet'!$A$192,'Données projet'!$B$192,EJ40+EI41-ER40)))</f>
        <v>224.30576923076922</v>
      </c>
      <c r="EK41" s="17">
        <f>EJ41*VLOOKUP('Données projet'!$B$15,Paramètres!$A$1:$I$89,3,0)*VLOOKUP('Données projet'!$B$15,Paramètres!$A$1:$I$89,5,0)</f>
        <v>134.13485</v>
      </c>
      <c r="EL41" s="13">
        <f t="shared" si="45"/>
        <v>34.950053695803156</v>
      </c>
      <c r="EM41" s="20">
        <f t="shared" si="19"/>
        <v>294.48954060352384</v>
      </c>
      <c r="EN41" s="59">
        <f t="shared" si="20"/>
        <v>587.82287393685715</v>
      </c>
      <c r="EO41" s="59">
        <f ca="1">AVERAGE(OFFSET($EN$3,0,0,'Données projet'!$E$15+1,1))-AVERAGE(OFFSET($H$3,0,0,'Données projet'!$E$15+1,1))</f>
        <v>200.15574321350221</v>
      </c>
      <c r="EP41" s="59">
        <f t="shared" si="46"/>
        <v>200.70728852570426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25.47012858494897</v>
      </c>
      <c r="EW41" s="21">
        <f>EXP(-LN(2)/25)*EW40+(1-EXP(-LN(2)/25))/(LN(2)/25)*Calculateur!ER41*Calculateur!ET41*VLOOKUP('Données projet'!$B$15,Paramètres!$A$1:$I$89,3,0)*0.475*44/12</f>
        <v>17.655117564910928</v>
      </c>
      <c r="EX41" s="21">
        <f>EXP(-LN(2)/2)*EX40+(1-EXP(-LN(2)/2))/(LN(2)/2)*ER41*EU41*VLOOKUP('Données projet'!$B$15,Paramètres!$A$1:$I$89,3,0)*0.475*44/12</f>
        <v>3.1706607169936478</v>
      </c>
      <c r="EY41" s="22">
        <f t="shared" si="21"/>
        <v>46.295906866853542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9.3141025641025621</v>
      </c>
      <c r="FE41" s="12">
        <f>IF('Données projet'!$A$218&gt;35,FE40+FD41-FM40,IF(A41&lt;'Données projet'!$A$218,$FB$205^A41,IF(A41='Données projet'!$A$218,'Données projet'!$B$218,FE40+FD41-FM40)))</f>
        <v>129.50641025641028</v>
      </c>
      <c r="FF41" s="17">
        <f>FE41*VLOOKUP('Données projet'!$B$16,Paramètres!$A$1:$I$89,3,0)*VLOOKUP('Données projet'!$B$16,Paramètres!$A$1:$I$89,5,0)</f>
        <v>139.4007</v>
      </c>
      <c r="FG41" s="13">
        <f t="shared" si="47"/>
        <v>36.159680021644249</v>
      </c>
      <c r="FH41" s="20">
        <f t="shared" si="22"/>
        <v>305.76766187103038</v>
      </c>
      <c r="FI41" s="59">
        <f t="shared" si="23"/>
        <v>599.1009952043637</v>
      </c>
      <c r="FJ41" s="59">
        <f ca="1">AVERAGE(OFFSET($FI$3,0,0,'Données projet'!$E$16+1,1))-AVERAGE(OFFSET($H$3,0,0,'Données projet'!$E$16+1,1))</f>
        <v>347.17049316703486</v>
      </c>
      <c r="FK41" s="59">
        <f t="shared" si="48"/>
        <v>255.45365487683489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7">
        <f t="shared" si="1"/>
        <v>335.56970080119794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266.02599413192075</v>
      </c>
      <c r="T42" s="59">
        <f t="shared" si="34"/>
        <v>332.94146254783254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9.3141025641025621</v>
      </c>
      <c r="AI42" s="13">
        <f>IF('Données projet'!$A$62&gt;35,AI41+AH42-AQ41,IF(A42&lt;'Données projet'!$A$62,$AF$205^A42,IF(A42='Données projet'!$A$62,'Données projet'!$B$62,AI41+AH42-AQ41)))</f>
        <v>138.82051282051285</v>
      </c>
      <c r="AJ42" s="13">
        <f>AI42*VLOOKUP('Données projet'!$B$10,Paramètres!$A$1:$I$89,3,0)*VLOOKUP('Données projet'!$B$10,Paramètres!$A$1:$I$89,5,0)</f>
        <v>125.60480000000001</v>
      </c>
      <c r="AK42" s="13">
        <f t="shared" si="35"/>
        <v>32.978733659615138</v>
      </c>
      <c r="AL42" s="20">
        <f t="shared" si="4"/>
        <v>276.19965445716304</v>
      </c>
      <c r="AM42" s="59">
        <f t="shared" si="5"/>
        <v>569.53298779049635</v>
      </c>
      <c r="AN42" s="59">
        <f ca="1">AVERAGE(OFFSET($AM$3,0,0,'Données projet'!$E$10+1,1))-AVERAGE(OFFSET($H$3,0,0,'Données projet'!$E$10+1,1))</f>
        <v>282.13645166362238</v>
      </c>
      <c r="AO42" s="59">
        <f t="shared" si="36"/>
        <v>210.5345332979457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18.229670329670324</v>
      </c>
      <c r="BD42" s="12">
        <f>IF('Données projet'!$A$88&gt;35,BD41+BC42-BL41,IF(A42&lt;'Données projet'!$A$88,$BA$205^A42,IF(A42='Données projet'!$A$88,'Données projet'!$B$88,BD41+BC42-BL41)))</f>
        <v>307.910989010989</v>
      </c>
      <c r="BE42" s="13">
        <f>BD42*VLOOKUP('Données projet'!$B$11,Paramètres!$A$1:$I$89,3,0)*VLOOKUP('Données projet'!$B$11,Paramètres!$A$1:$I$89,5,0)</f>
        <v>172.12224285714285</v>
      </c>
      <c r="BF42" s="13">
        <f t="shared" si="37"/>
        <v>43.564991640658711</v>
      </c>
      <c r="BG42" s="20">
        <f t="shared" si="7"/>
        <v>375.65526675033772</v>
      </c>
      <c r="BH42" s="59">
        <f t="shared" si="8"/>
        <v>668.98860008367103</v>
      </c>
      <c r="BI42" s="59">
        <f ca="1">AVERAGE(OFFSET($BH$3,0,0,'Données projet'!$E$11+1,1))-AVERAGE(OFFSET($H$3,0,0,'Données projet'!$E$11+1,1))</f>
        <v>254.6443970237226</v>
      </c>
      <c r="BJ42" s="59">
        <f t="shared" si="38"/>
        <v>231.81667808018062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18.594588967759112</v>
      </c>
      <c r="BQ42" s="21">
        <f>EXP(-LN(2)/25)*BQ41+(1-EXP(-LN(2)/25))/(LN(2)/25)*Calculateur!BL42*Calculateur!BN42*VLOOKUP('Données projet'!$B$11,Paramètres!$A$1:$I$89,3,0)*0.475*44/12</f>
        <v>22.299297072081686</v>
      </c>
      <c r="BR42" s="21">
        <f>EXP(-LN(2)/2)*BR41+(1-EXP(-LN(2)/2))/(LN(2)/2)*BL42*BO42*VLOOKUP('Données projet'!$B$11,Paramètres!$A$1:$I$89,3,0)*0.475*44/12</f>
        <v>1.8559933516377733</v>
      </c>
      <c r="BS42" s="22">
        <f t="shared" si="9"/>
        <v>42.749879391478565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5.3369963369963358</v>
      </c>
      <c r="BY42" s="12">
        <f>IF('Données projet'!$A$114&gt;35,BY41+BX42-CG41,IF(A42&lt;'Données projet'!$A$114,$BV$205^A42,IF(A42='Données projet'!$A$114,'Données projet'!$B$114,BY41+BX42-CG41)))</f>
        <v>135.73809523809524</v>
      </c>
      <c r="BZ42" s="13">
        <f>BY42*VLOOKUP('Données projet'!$B$12,Paramètres!$A$1:$I$89,3,0)*VLOOKUP('Données projet'!$B$12,Paramètres!$A$1:$I$89,5,0)</f>
        <v>137.63842857142859</v>
      </c>
      <c r="CA42" s="13">
        <f t="shared" si="39"/>
        <v>35.755468155325104</v>
      </c>
      <c r="CB42" s="20">
        <f t="shared" si="10"/>
        <v>301.99437013242931</v>
      </c>
      <c r="CC42" s="59">
        <f t="shared" si="11"/>
        <v>595.32770346576262</v>
      </c>
      <c r="CD42" s="59">
        <f ca="1">AVERAGE(OFFSET($CC$3,0,0,'Données projet'!$E$12+1,1))-AVERAGE(OFFSET($H$3,0,0,'Données projet'!$E$12+1,1))</f>
        <v>264.08050363622294</v>
      </c>
      <c r="CE42" s="59">
        <f t="shared" si="40"/>
        <v>164.48884512322883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18.229670329670324</v>
      </c>
      <c r="CT42" s="12">
        <f>IF('Données projet'!$A$140&gt;35,CT41+CS42-DB41,IF(A42&lt;'Données projet'!$A$140,$CQ$205^A42,IF(A42='Données projet'!$A$140,'Données projet'!$B$140,CT41+CS42-DB41)))</f>
        <v>307.910989010989</v>
      </c>
      <c r="CU42" s="17">
        <f>CT42*VLOOKUP('Données projet'!$B$13,Paramètres!$A$1:$I$89,3,0)*VLOOKUP('Données projet'!$B$13,Paramètres!$A$1:$I$89,5,0)</f>
        <v>136.09665714285714</v>
      </c>
      <c r="CV42" s="13">
        <f t="shared" si="41"/>
        <v>35.401338180177596</v>
      </c>
      <c r="CW42" s="20">
        <f t="shared" si="13"/>
        <v>298.69234185428553</v>
      </c>
      <c r="CX42" s="59">
        <f t="shared" si="14"/>
        <v>592.02567518761884</v>
      </c>
      <c r="CY42" s="59">
        <f ca="1">AVERAGE(OFFSET($CX$3,0,0,'Données projet'!$E$13+1,1))-AVERAGE(OFFSET($H$3,0,0,'Données projet'!$E$13+1,1))</f>
        <v>194.7221767407824</v>
      </c>
      <c r="CZ42" s="59">
        <f t="shared" si="42"/>
        <v>177.6550559568646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14.702698253576971</v>
      </c>
      <c r="DG42" s="21">
        <f>EXP(-LN(2)/25)*DG41+(1-EXP(-LN(2)/25))/(LN(2)/25)*Calculateur!DB42*Calculateur!DD42*VLOOKUP('Données projet'!$B$13,Paramètres!$A$1:$I$89,3,0)*0.475*44/12</f>
        <v>17.632002336064584</v>
      </c>
      <c r="DH42" s="21">
        <f>EXP(-LN(2)/2)*DH41+(1-EXP(-LN(2)/2))/(LN(2)/2)*DB42*DE42*VLOOKUP('Données projet'!$B$13,Paramètres!$A$1:$I$89,3,0)*0.475*44/12</f>
        <v>1.4675296268763793</v>
      </c>
      <c r="DI42" s="22">
        <f t="shared" si="15"/>
        <v>33.802230216517934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16.131410256410259</v>
      </c>
      <c r="DO42" s="12">
        <f>IF('Données projet'!$A$166&gt;35,DO41+DN42-DW41,IF(A42&lt;'Données projet'!$A$166,$DL$205^A42,IF(A42='Données projet'!$A$166,'Données projet'!$B$166,DO41+DN42-DW41)))</f>
        <v>361.97500000000008</v>
      </c>
      <c r="DP42" s="17">
        <f>DO42*VLOOKUP('Données projet'!$B$14,Paramètres!$A$1:$I$89,3,0)*VLOOKUP('Données projet'!$B$14,Paramètres!$A$1:$I$89,5,0)</f>
        <v>169.40430000000006</v>
      </c>
      <c r="DQ42" s="13">
        <f t="shared" si="43"/>
        <v>42.956579357099159</v>
      </c>
      <c r="DR42" s="20">
        <f t="shared" si="16"/>
        <v>369.86186488028119</v>
      </c>
      <c r="DS42" s="59">
        <f t="shared" si="17"/>
        <v>663.1951982136145</v>
      </c>
      <c r="DT42" s="59">
        <f ca="1">AVERAGE(OFFSET($DS$3,0,0,'Données projet'!$E$14+1,1))-AVERAGE(OFFSET($H$3,0,0,'Données projet'!$E$14+1,1))</f>
        <v>207.25176714718668</v>
      </c>
      <c r="DU42" s="59">
        <f t="shared" si="44"/>
        <v>191.53228014642559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13.14134615384615</v>
      </c>
      <c r="EJ42" s="12">
        <f>IF('Données projet'!$A$192&gt;35,EJ41+EI42-ER41,IF(A42&lt;'Données projet'!$A$192,$EG$205^A42,IF(A42='Données projet'!$A$192,'Données projet'!$B$192,EJ41+EI42-ER41)))</f>
        <v>237.44711538461536</v>
      </c>
      <c r="EK42" s="17">
        <f>EJ42*VLOOKUP('Données projet'!$B$15,Paramètres!$A$1:$I$89,3,0)*VLOOKUP('Données projet'!$B$15,Paramètres!$A$1:$I$89,5,0)</f>
        <v>141.99337499999999</v>
      </c>
      <c r="EL42" s="13">
        <f t="shared" si="45"/>
        <v>36.753283288028733</v>
      </c>
      <c r="EM42" s="20">
        <f t="shared" si="19"/>
        <v>311.31709651831665</v>
      </c>
      <c r="EN42" s="59">
        <f t="shared" si="20"/>
        <v>604.65042985164996</v>
      </c>
      <c r="EO42" s="59">
        <f ca="1">AVERAGE(OFFSET($EN$3,0,0,'Données projet'!$E$15+1,1))-AVERAGE(OFFSET($H$3,0,0,'Données projet'!$E$15+1,1))</f>
        <v>200.15574321350221</v>
      </c>
      <c r="EP42" s="59">
        <f t="shared" si="46"/>
        <v>200.70728852570426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24.970674898642578</v>
      </c>
      <c r="EW42" s="21">
        <f>EXP(-LN(2)/25)*EW41+(1-EXP(-LN(2)/25))/(LN(2)/25)*Calculateur!ER42*Calculateur!ET42*VLOOKUP('Données projet'!$B$15,Paramètres!$A$1:$I$89,3,0)*0.475*44/12</f>
        <v>17.172337446656158</v>
      </c>
      <c r="EX42" s="21">
        <f>EXP(-LN(2)/2)*EX41+(1-EXP(-LN(2)/2))/(LN(2)/2)*ER42*EU42*VLOOKUP('Données projet'!$B$15,Paramètres!$A$1:$I$89,3,0)*0.475*44/12</f>
        <v>2.2419956938280095</v>
      </c>
      <c r="EY42" s="22">
        <f t="shared" si="21"/>
        <v>44.385008039126745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9.3141025641025621</v>
      </c>
      <c r="FE42" s="12">
        <f>IF('Données projet'!$A$218&gt;35,FE41+FD42-FM41,IF(A42&lt;'Données projet'!$A$218,$FB$205^A42,IF(A42='Données projet'!$A$218,'Données projet'!$B$218,FE41+FD42-FM41)))</f>
        <v>138.82051282051285</v>
      </c>
      <c r="FF42" s="17">
        <f>FE42*VLOOKUP('Données projet'!$B$16,Paramètres!$A$1:$I$89,3,0)*VLOOKUP('Données projet'!$B$16,Paramètres!$A$1:$I$89,5,0)</f>
        <v>149.4264</v>
      </c>
      <c r="FG42" s="13">
        <f t="shared" si="47"/>
        <v>38.448203910330356</v>
      </c>
      <c r="FH42" s="20">
        <f t="shared" si="22"/>
        <v>327.21493514382536</v>
      </c>
      <c r="FI42" s="59">
        <f t="shared" si="23"/>
        <v>620.54826847715867</v>
      </c>
      <c r="FJ42" s="59">
        <f ca="1">AVERAGE(OFFSET($FI$3,0,0,'Données projet'!$E$16+1,1))-AVERAGE(OFFSET($H$3,0,0,'Données projet'!$E$16+1,1))</f>
        <v>347.17049316703486</v>
      </c>
      <c r="FK42" s="59">
        <f t="shared" si="48"/>
        <v>255.45365487683489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7">
        <f t="shared" si="1"/>
        <v>336.62115300340497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266.02599413192075</v>
      </c>
      <c r="T43" s="59">
        <f t="shared" si="34"/>
        <v>332.94146254783254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9.3141025641025621</v>
      </c>
      <c r="AI43" s="13">
        <f>IF('Données projet'!$A$62&gt;35,AI42+AH43-AQ42,IF(A43&lt;'Données projet'!$A$62,$AF$205^A43,IF(A43='Données projet'!$A$62,'Données projet'!$B$62,AI42+AH43-AQ42)))</f>
        <v>148.13461538461542</v>
      </c>
      <c r="AJ43" s="13">
        <f>AI43*VLOOKUP('Données projet'!$B$10,Paramètres!$A$1:$I$89,3,0)*VLOOKUP('Données projet'!$B$10,Paramètres!$A$1:$I$89,5,0)</f>
        <v>134.03220000000002</v>
      </c>
      <c r="AK43" s="13">
        <f t="shared" si="35"/>
        <v>34.926419532696755</v>
      </c>
      <c r="AL43" s="20">
        <f t="shared" si="4"/>
        <v>294.26959568611358</v>
      </c>
      <c r="AM43" s="59">
        <f t="shared" si="5"/>
        <v>587.60292901944695</v>
      </c>
      <c r="AN43" s="59">
        <f ca="1">AVERAGE(OFFSET($AM$3,0,0,'Données projet'!$E$10+1,1))-AVERAGE(OFFSET($H$3,0,0,'Données projet'!$E$10+1,1))</f>
        <v>282.13645166362238</v>
      </c>
      <c r="AO43" s="59">
        <f t="shared" si="36"/>
        <v>210.5345332979457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18.229670329670324</v>
      </c>
      <c r="BD43" s="12">
        <f>IF('Données projet'!$A$88&gt;35,BD42+BC43-BL42,IF(A43&lt;'Données projet'!$A$88,$BA$205^A43,IF(A43='Données projet'!$A$88,'Données projet'!$B$88,BD42+BC43-BL42)))</f>
        <v>326.14065934065934</v>
      </c>
      <c r="BE43" s="13">
        <f>BD43*VLOOKUP('Données projet'!$B$11,Paramètres!$A$1:$I$89,3,0)*VLOOKUP('Données projet'!$B$11,Paramètres!$A$1:$I$89,5,0)</f>
        <v>182.31262857142858</v>
      </c>
      <c r="BF43" s="13">
        <f t="shared" si="37"/>
        <v>45.836320512875403</v>
      </c>
      <c r="BG43" s="20">
        <f t="shared" si="7"/>
        <v>397.35941965516275</v>
      </c>
      <c r="BH43" s="59">
        <f t="shared" si="8"/>
        <v>690.69275298849607</v>
      </c>
      <c r="BI43" s="59">
        <f ca="1">AVERAGE(OFFSET($BH$3,0,0,'Données projet'!$E$11+1,1))-AVERAGE(OFFSET($H$3,0,0,'Données projet'!$E$11+1,1))</f>
        <v>254.6443970237226</v>
      </c>
      <c r="BJ43" s="59">
        <f t="shared" si="38"/>
        <v>231.81667808018062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18.229960419680737</v>
      </c>
      <c r="BQ43" s="21">
        <f>EXP(-LN(2)/25)*BQ42+(1-EXP(-LN(2)/25))/(LN(2)/25)*Calculateur!BL43*Calculateur!BN43*VLOOKUP('Données projet'!$B$11,Paramètres!$A$1:$I$89,3,0)*0.475*44/12</f>
        <v>21.689521620976546</v>
      </c>
      <c r="BR43" s="21">
        <f>EXP(-LN(2)/2)*BR42+(1-EXP(-LN(2)/2))/(LN(2)/2)*BL43*BO43*VLOOKUP('Données projet'!$B$11,Paramètres!$A$1:$I$89,3,0)*0.475*44/12</f>
        <v>1.3123854847802181</v>
      </c>
      <c r="BS43" s="22">
        <f t="shared" si="9"/>
        <v>41.231867525437501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5.3369963369963358</v>
      </c>
      <c r="BY43" s="12">
        <f>IF('Données projet'!$A$114&gt;35,BY42+BX43-CG42,IF(A43&lt;'Données projet'!$A$114,$BV$205^A43,IF(A43='Données projet'!$A$114,'Données projet'!$B$114,BY42+BX43-CG42)))</f>
        <v>141.07509157509156</v>
      </c>
      <c r="BZ43" s="13">
        <f>BY43*VLOOKUP('Données projet'!$B$12,Paramètres!$A$1:$I$89,3,0)*VLOOKUP('Données projet'!$B$12,Paramètres!$A$1:$I$89,5,0)</f>
        <v>143.05014285714284</v>
      </c>
      <c r="CA43" s="13">
        <f t="shared" si="39"/>
        <v>36.994871493561163</v>
      </c>
      <c r="CB43" s="20">
        <f t="shared" si="10"/>
        <v>313.57839999414279</v>
      </c>
      <c r="CC43" s="59">
        <f t="shared" si="11"/>
        <v>606.9117333274761</v>
      </c>
      <c r="CD43" s="59">
        <f ca="1">AVERAGE(OFFSET($CC$3,0,0,'Données projet'!$E$12+1,1))-AVERAGE(OFFSET($H$3,0,0,'Données projet'!$E$12+1,1))</f>
        <v>264.08050363622294</v>
      </c>
      <c r="CE43" s="59">
        <f t="shared" si="40"/>
        <v>164.48884512322883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18.229670329670324</v>
      </c>
      <c r="CT43" s="12">
        <f>IF('Données projet'!$A$140&gt;35,CT42+CS43-DB42,IF(A43&lt;'Données projet'!$A$140,$CQ$205^A43,IF(A43='Données projet'!$A$140,'Données projet'!$B$140,CT42+CS43-DB42)))</f>
        <v>326.14065934065934</v>
      </c>
      <c r="CU43" s="17">
        <f>CT43*VLOOKUP('Données projet'!$B$13,Paramètres!$A$1:$I$89,3,0)*VLOOKUP('Données projet'!$B$13,Paramètres!$A$1:$I$89,5,0)</f>
        <v>144.15417142857143</v>
      </c>
      <c r="CV43" s="13">
        <f t="shared" si="41"/>
        <v>37.24704223050739</v>
      </c>
      <c r="CW43" s="20">
        <f t="shared" si="13"/>
        <v>315.94044712289559</v>
      </c>
      <c r="CX43" s="59">
        <f t="shared" si="14"/>
        <v>609.27378045622891</v>
      </c>
      <c r="CY43" s="59">
        <f ca="1">AVERAGE(OFFSET($CX$3,0,0,'Données projet'!$E$13+1,1))-AVERAGE(OFFSET($H$3,0,0,'Données projet'!$E$13+1,1))</f>
        <v>194.7221767407824</v>
      </c>
      <c r="CZ43" s="59">
        <f t="shared" si="42"/>
        <v>177.6550559568646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14.414387308584768</v>
      </c>
      <c r="DG43" s="21">
        <f>EXP(-LN(2)/25)*DG42+(1-EXP(-LN(2)/25))/(LN(2)/25)*Calculateur!DB43*Calculateur!DD43*VLOOKUP('Données projet'!$B$13,Paramètres!$A$1:$I$89,3,0)*0.475*44/12</f>
        <v>17.149854304958193</v>
      </c>
      <c r="DH43" s="21">
        <f>EXP(-LN(2)/2)*DH42+(1-EXP(-LN(2)/2))/(LN(2)/2)*DB43*DE43*VLOOKUP('Données projet'!$B$13,Paramètres!$A$1:$I$89,3,0)*0.475*44/12</f>
        <v>1.0377001507564518</v>
      </c>
      <c r="DI43" s="22">
        <f t="shared" si="15"/>
        <v>32.601941764299411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16.131410256410259</v>
      </c>
      <c r="DO43" s="12">
        <f>IF('Données projet'!$A$166&gt;35,DO42+DN43-DW42,IF(A43&lt;'Données projet'!$A$166,$DL$205^A43,IF(A43='Données projet'!$A$166,'Données projet'!$B$166,DO42+DN43-DW42)))</f>
        <v>378.10641025641036</v>
      </c>
      <c r="DP43" s="17">
        <f>DO43*VLOOKUP('Données projet'!$B$14,Paramètres!$A$1:$I$89,3,0)*VLOOKUP('Données projet'!$B$14,Paramètres!$A$1:$I$89,5,0)</f>
        <v>176.95380000000006</v>
      </c>
      <c r="DQ43" s="13">
        <f t="shared" si="43"/>
        <v>44.643791032081154</v>
      </c>
      <c r="DR43" s="20">
        <f t="shared" si="16"/>
        <v>385.94913771420806</v>
      </c>
      <c r="DS43" s="59">
        <f t="shared" si="17"/>
        <v>679.28247104754132</v>
      </c>
      <c r="DT43" s="59">
        <f ca="1">AVERAGE(OFFSET($DS$3,0,0,'Données projet'!$E$14+1,1))-AVERAGE(OFFSET($H$3,0,0,'Données projet'!$E$14+1,1))</f>
        <v>207.25176714718668</v>
      </c>
      <c r="DU43" s="59">
        <f t="shared" si="44"/>
        <v>191.53228014642559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13.14134615384615</v>
      </c>
      <c r="EJ43" s="12">
        <f>IF('Données projet'!$A$192&gt;35,EJ42+EI43-ER42,IF(A43&lt;'Données projet'!$A$192,$EG$205^A43,IF(A43='Données projet'!$A$192,'Données projet'!$B$192,EJ42+EI43-ER42)))</f>
        <v>250.5884615384615</v>
      </c>
      <c r="EK43" s="17">
        <f>EJ43*VLOOKUP('Données projet'!$B$15,Paramètres!$A$1:$I$89,3,0)*VLOOKUP('Données projet'!$B$15,Paramètres!$A$1:$I$89,5,0)</f>
        <v>149.8519</v>
      </c>
      <c r="EL43" s="13">
        <f t="shared" si="45"/>
        <v>38.544927429723309</v>
      </c>
      <c r="EM43" s="20">
        <f t="shared" si="19"/>
        <v>328.12447444010144</v>
      </c>
      <c r="EN43" s="59">
        <f t="shared" si="20"/>
        <v>621.45780777343475</v>
      </c>
      <c r="EO43" s="59">
        <f ca="1">AVERAGE(OFFSET($EN$3,0,0,'Données projet'!$E$15+1,1))-AVERAGE(OFFSET($H$3,0,0,'Données projet'!$E$15+1,1))</f>
        <v>200.15574321350221</v>
      </c>
      <c r="EP43" s="59">
        <f t="shared" si="46"/>
        <v>200.70728852570426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24.481015194487988</v>
      </c>
      <c r="EW43" s="21">
        <f>EXP(-LN(2)/25)*EW42+(1-EXP(-LN(2)/25))/(LN(2)/25)*Calculateur!ER43*Calculateur!ET43*VLOOKUP('Données projet'!$B$15,Paramètres!$A$1:$I$89,3,0)*0.475*44/12</f>
        <v>16.702758976123366</v>
      </c>
      <c r="EX43" s="21">
        <f>EXP(-LN(2)/2)*EX42+(1-EXP(-LN(2)/2))/(LN(2)/2)*ER43*EU43*VLOOKUP('Données projet'!$B$15,Paramètres!$A$1:$I$89,3,0)*0.475*44/12</f>
        <v>1.5853303584968241</v>
      </c>
      <c r="EY43" s="22">
        <f t="shared" si="21"/>
        <v>42.769104529108183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9.3141025641025621</v>
      </c>
      <c r="FE43" s="12">
        <f>IF('Données projet'!$A$218&gt;35,FE42+FD43-FM42,IF(A43&lt;'Données projet'!$A$218,$FB$205^A43,IF(A43='Données projet'!$A$218,'Données projet'!$B$218,FE42+FD43-FM42)))</f>
        <v>148.13461538461542</v>
      </c>
      <c r="FF43" s="17">
        <f>FE43*VLOOKUP('Données projet'!$B$16,Paramètres!$A$1:$I$89,3,0)*VLOOKUP('Données projet'!$B$16,Paramètres!$A$1:$I$89,5,0)</f>
        <v>159.45210000000003</v>
      </c>
      <c r="FG43" s="13">
        <f t="shared" si="47"/>
        <v>40.718910371482714</v>
      </c>
      <c r="FH43" s="20">
        <f t="shared" si="22"/>
        <v>348.63117639699908</v>
      </c>
      <c r="FI43" s="59">
        <f t="shared" si="23"/>
        <v>641.96450973033234</v>
      </c>
      <c r="FJ43" s="59">
        <f ca="1">AVERAGE(OFFSET($FI$3,0,0,'Données projet'!$E$16+1,1))-AVERAGE(OFFSET($H$3,0,0,'Données projet'!$E$16+1,1))</f>
        <v>347.17049316703486</v>
      </c>
      <c r="FK43" s="59">
        <f t="shared" si="48"/>
        <v>255.45365487683489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7">
        <f t="shared" si="1"/>
        <v>337.6719183448472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266.02599413192075</v>
      </c>
      <c r="T44" s="59">
        <f t="shared" si="34"/>
        <v>332.94146254783254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157.44871794871796</v>
      </c>
      <c r="AG44" s="12">
        <f>VLOOKUP(A44,'Données projet'!$A$61:$I$81,9,0)</f>
        <v>9.3141025641025621</v>
      </c>
      <c r="AH44" s="12">
        <f t="array" ref="AH44">INDEX(AG:AG,MIN(IF(ISNUMBER(AG44:AG240),ROW(AG44:AG240),"")))</f>
        <v>9.3141025641025621</v>
      </c>
      <c r="AI44" s="13">
        <f>IF('Données projet'!$A$62&gt;35,AI43+AH44-AQ43,IF(A44&lt;'Données projet'!$A$62,$AF$205^A44,IF(A44='Données projet'!$A$62,'Données projet'!$B$62,AI43+AH44-AQ43)))</f>
        <v>157.44871794871798</v>
      </c>
      <c r="AJ44" s="13">
        <f>AI44*VLOOKUP('Données projet'!$B$10,Paramètres!$A$1:$I$89,3,0)*VLOOKUP('Données projet'!$B$10,Paramètres!$A$1:$I$89,5,0)</f>
        <v>142.45960000000002</v>
      </c>
      <c r="AK44" s="13">
        <f t="shared" si="35"/>
        <v>36.859892915688405</v>
      </c>
      <c r="AL44" s="20">
        <f t="shared" si="4"/>
        <v>312.31478349482404</v>
      </c>
      <c r="AM44" s="59">
        <f t="shared" si="5"/>
        <v>605.6481168281573</v>
      </c>
      <c r="AN44" s="59">
        <f ca="1">AVERAGE(OFFSET($AM$3,0,0,'Données projet'!$E$10+1,1))-AVERAGE(OFFSET($H$3,0,0,'Données projet'!$E$10+1,1))</f>
        <v>282.13645166362238</v>
      </c>
      <c r="AO44" s="59">
        <f t="shared" si="36"/>
        <v>210.5345332979457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38.512820512820511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18.229670329670324</v>
      </c>
      <c r="BD44" s="12">
        <f>IF('Données projet'!$A$88&gt;35,BD43+BC44-BL43,IF(A44&lt;'Données projet'!$A$88,$BA$205^A44,IF(A44='Données projet'!$A$88,'Données projet'!$B$88,BD43+BC44-BL43)))</f>
        <v>344.37032967032968</v>
      </c>
      <c r="BE44" s="13">
        <f>BD44*VLOOKUP('Données projet'!$B$11,Paramètres!$A$1:$I$89,3,0)*VLOOKUP('Données projet'!$B$11,Paramètres!$A$1:$I$89,5,0)</f>
        <v>192.50301428571427</v>
      </c>
      <c r="BF44" s="13">
        <f t="shared" si="37"/>
        <v>48.092911552862631</v>
      </c>
      <c r="BG44" s="20">
        <f t="shared" si="7"/>
        <v>419.03790416885477</v>
      </c>
      <c r="BH44" s="59">
        <f t="shared" si="8"/>
        <v>712.37123750218802</v>
      </c>
      <c r="BI44" s="59">
        <f ca="1">AVERAGE(OFFSET($BH$3,0,0,'Données projet'!$E$11+1,1))-AVERAGE(OFFSET($H$3,0,0,'Données projet'!$E$11+1,1))</f>
        <v>254.6443970237226</v>
      </c>
      <c r="BJ44" s="59">
        <f t="shared" si="38"/>
        <v>231.81667808018062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17.872482015028726</v>
      </c>
      <c r="BQ44" s="21">
        <f>EXP(-LN(2)/25)*BQ43+(1-EXP(-LN(2)/25))/(LN(2)/25)*Calculateur!BL44*Calculateur!BN44*VLOOKUP('Données projet'!$B$11,Paramètres!$A$1:$I$89,3,0)*0.475*44/12</f>
        <v>21.096420511648571</v>
      </c>
      <c r="BR44" s="21">
        <f>EXP(-LN(2)/2)*BR43+(1-EXP(-LN(2)/2))/(LN(2)/2)*BL44*BO44*VLOOKUP('Données projet'!$B$11,Paramètres!$A$1:$I$89,3,0)*0.475*44/12</f>
        <v>0.9279966758188869</v>
      </c>
      <c r="BS44" s="22">
        <f t="shared" si="9"/>
        <v>39.896899202496186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5.3369963369963358</v>
      </c>
      <c r="BY44" s="12">
        <f>IF('Données projet'!$A$114&gt;35,BY43+BX44-CG43,IF(A44&lt;'Données projet'!$A$114,$BV$205^A44,IF(A44='Données projet'!$A$114,'Données projet'!$B$114,BY43+BX44-CG43)))</f>
        <v>146.41208791208788</v>
      </c>
      <c r="BZ44" s="13">
        <f>BY44*VLOOKUP('Données projet'!$B$12,Paramètres!$A$1:$I$89,3,0)*VLOOKUP('Données projet'!$B$12,Paramètres!$A$1:$I$89,5,0)</f>
        <v>148.46185714285713</v>
      </c>
      <c r="CA44" s="13">
        <f t="shared" si="39"/>
        <v>38.228827726420505</v>
      </c>
      <c r="CB44" s="20">
        <f t="shared" si="10"/>
        <v>325.15294281399184</v>
      </c>
      <c r="CC44" s="59">
        <f t="shared" si="11"/>
        <v>618.48627614732516</v>
      </c>
      <c r="CD44" s="59">
        <f ca="1">AVERAGE(OFFSET($CC$3,0,0,'Données projet'!$E$12+1,1))-AVERAGE(OFFSET($H$3,0,0,'Données projet'!$E$12+1,1))</f>
        <v>264.08050363622294</v>
      </c>
      <c r="CE44" s="59">
        <f t="shared" si="40"/>
        <v>164.48884512322883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18.229670329670324</v>
      </c>
      <c r="CT44" s="12">
        <f>IF('Données projet'!$A$140&gt;35,CT43+CS44-DB43,IF(A44&lt;'Données projet'!$A$140,$CQ$205^A44,IF(A44='Données projet'!$A$140,'Données projet'!$B$140,CT43+CS44-DB43)))</f>
        <v>344.37032967032968</v>
      </c>
      <c r="CU44" s="17">
        <f>CT44*VLOOKUP('Données projet'!$B$13,Paramètres!$A$1:$I$89,3,0)*VLOOKUP('Données projet'!$B$13,Paramètres!$A$1:$I$89,5,0)</f>
        <v>152.21168571428575</v>
      </c>
      <c r="CV44" s="13">
        <f t="shared" si="41"/>
        <v>39.08077017426276</v>
      </c>
      <c r="CW44" s="20">
        <f t="shared" si="13"/>
        <v>333.16769400588868</v>
      </c>
      <c r="CX44" s="59">
        <f t="shared" si="14"/>
        <v>626.50102733922199</v>
      </c>
      <c r="CY44" s="59">
        <f ca="1">AVERAGE(OFFSET($CX$3,0,0,'Données projet'!$E$13+1,1))-AVERAGE(OFFSET($H$3,0,0,'Données projet'!$E$13+1,1))</f>
        <v>194.7221767407824</v>
      </c>
      <c r="CZ44" s="59">
        <f t="shared" si="42"/>
        <v>177.6550559568646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14.13172996537155</v>
      </c>
      <c r="DG44" s="21">
        <f>EXP(-LN(2)/25)*DG43+(1-EXP(-LN(2)/25))/(LN(2)/25)*Calculateur!DB44*Calculateur!DD44*VLOOKUP('Données projet'!$B$13,Paramètres!$A$1:$I$89,3,0)*0.475*44/12</f>
        <v>16.680890637117471</v>
      </c>
      <c r="DH44" s="21">
        <f>EXP(-LN(2)/2)*DH43+(1-EXP(-LN(2)/2))/(LN(2)/2)*DB44*DE44*VLOOKUP('Données projet'!$B$13,Paramètres!$A$1:$I$89,3,0)*0.475*44/12</f>
        <v>0.73376481343818978</v>
      </c>
      <c r="DI44" s="22">
        <f t="shared" si="15"/>
        <v>31.546385415927208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16.131410256410259</v>
      </c>
      <c r="DO44" s="12">
        <f>IF('Données projet'!$A$166&gt;35,DO43+DN44-DW43,IF(A44&lt;'Données projet'!$A$166,$DL$205^A44,IF(A44='Données projet'!$A$166,'Données projet'!$B$166,DO43+DN44-DW43)))</f>
        <v>394.23782051282063</v>
      </c>
      <c r="DP44" s="17">
        <f>DO44*VLOOKUP('Données projet'!$B$14,Paramètres!$A$1:$I$89,3,0)*VLOOKUP('Données projet'!$B$14,Paramètres!$A$1:$I$89,5,0)</f>
        <v>184.50330000000005</v>
      </c>
      <c r="DQ44" s="13">
        <f t="shared" si="43"/>
        <v>46.32264201774467</v>
      </c>
      <c r="DR44" s="20">
        <f t="shared" si="16"/>
        <v>402.02184901423874</v>
      </c>
      <c r="DS44" s="59">
        <f t="shared" si="17"/>
        <v>695.35518234757205</v>
      </c>
      <c r="DT44" s="59">
        <f ca="1">AVERAGE(OFFSET($DS$3,0,0,'Données projet'!$E$14+1,1))-AVERAGE(OFFSET($H$3,0,0,'Données projet'!$E$14+1,1))</f>
        <v>207.25176714718668</v>
      </c>
      <c r="DU44" s="59">
        <f t="shared" si="44"/>
        <v>191.53228014642559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13.14134615384615</v>
      </c>
      <c r="EJ44" s="12">
        <f>IF('Données projet'!$A$192&gt;35,EJ43+EI44-ER43,IF(A44&lt;'Données projet'!$A$192,$EG$205^A44,IF(A44='Données projet'!$A$192,'Données projet'!$B$192,EJ43+EI44-ER43)))</f>
        <v>263.72980769230765</v>
      </c>
      <c r="EK44" s="17">
        <f>EJ44*VLOOKUP('Données projet'!$B$15,Paramètres!$A$1:$I$89,3,0)*VLOOKUP('Données projet'!$B$15,Paramètres!$A$1:$I$89,5,0)</f>
        <v>157.71042499999999</v>
      </c>
      <c r="EL44" s="13">
        <f t="shared" si="45"/>
        <v>40.325662975074472</v>
      </c>
      <c r="EM44" s="20">
        <f t="shared" si="19"/>
        <v>344.91285322325461</v>
      </c>
      <c r="EN44" s="59">
        <f t="shared" si="20"/>
        <v>638.24618655658787</v>
      </c>
      <c r="EO44" s="59">
        <f ca="1">AVERAGE(OFFSET($EN$3,0,0,'Données projet'!$E$15+1,1))-AVERAGE(OFFSET($H$3,0,0,'Données projet'!$E$15+1,1))</f>
        <v>200.15574321350221</v>
      </c>
      <c r="EP44" s="59">
        <f t="shared" si="46"/>
        <v>200.70728852570426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24.000957418468939</v>
      </c>
      <c r="EW44" s="21">
        <f>EXP(-LN(2)/25)*EW43+(1-EXP(-LN(2)/25))/(LN(2)/25)*Calculateur!ER44*Calculateur!ET44*VLOOKUP('Données projet'!$B$15,Paramètres!$A$1:$I$89,3,0)*0.475*44/12</f>
        <v>16.246021153561355</v>
      </c>
      <c r="EX44" s="21">
        <f>EXP(-LN(2)/2)*EX43+(1-EXP(-LN(2)/2))/(LN(2)/2)*ER44*EU44*VLOOKUP('Données projet'!$B$15,Paramètres!$A$1:$I$89,3,0)*0.475*44/12</f>
        <v>1.1209978469140049</v>
      </c>
      <c r="EY44" s="22">
        <f t="shared" si="21"/>
        <v>41.367976418944302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>
        <f>VLOOKUP(A44,'Données projet'!$A$217:$I$237,2,0)</f>
        <v>157.44871794871796</v>
      </c>
      <c r="FC44" s="12">
        <f>VLOOKUP(A44,'Données projet'!$A$217:$I$237,9,0)</f>
        <v>9.3141025641025621</v>
      </c>
      <c r="FD44" s="12">
        <f t="array" ref="FD44">INDEX(FC:FC,MIN(IF(ISNUMBER(FC44:FC240),ROW(FC44:FC240),"")))</f>
        <v>9.3141025641025621</v>
      </c>
      <c r="FE44" s="12">
        <f>IF('Données projet'!$A$218&gt;35,FE43+FD44-FM43,IF(A44&lt;'Données projet'!$A$218,$FB$205^A44,IF(A44='Données projet'!$A$218,'Données projet'!$B$218,FE43+FD44-FM43)))</f>
        <v>157.44871794871798</v>
      </c>
      <c r="FF44" s="17">
        <f>FE44*VLOOKUP('Données projet'!$B$16,Paramètres!$A$1:$I$89,3,0)*VLOOKUP('Données projet'!$B$16,Paramètres!$A$1:$I$89,5,0)</f>
        <v>169.47780000000003</v>
      </c>
      <c r="FG44" s="13">
        <f t="shared" si="47"/>
        <v>42.973047223786786</v>
      </c>
      <c r="FH44" s="20">
        <f t="shared" si="22"/>
        <v>370.01855891476202</v>
      </c>
      <c r="FI44" s="59">
        <f t="shared" si="23"/>
        <v>663.35189224809528</v>
      </c>
      <c r="FJ44" s="59">
        <f ca="1">AVERAGE(OFFSET($FI$3,0,0,'Données projet'!$E$16+1,1))-AVERAGE(OFFSET($H$3,0,0,'Données projet'!$E$16+1,1))</f>
        <v>347.17049316703486</v>
      </c>
      <c r="FK44" s="59">
        <f t="shared" si="48"/>
        <v>255.45365487683489</v>
      </c>
      <c r="FL44" s="15">
        <f>IF(ISNA(VLOOKUP(A44,'Données projet'!$A$217:$I$237,3,0)),0,VLOOKUP(A44,'Données projet'!$A$217:$I$237,3,0))</f>
        <v>2</v>
      </c>
      <c r="FM44" s="15">
        <f>IF(ISNA(VLOOKUP(A44,'Données projet'!$A$217:$I$237,4,0)),0,VLOOKUP(A44,'Données projet'!$A$217:$I$237,4,0))</f>
        <v>38.512820512820511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7">
        <f t="shared" si="1"/>
        <v>338.72201550546265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730.88162312990744</v>
      </c>
      <c r="S45" s="59">
        <f ca="1">AVERAGE(OFFSET($R$3,0,0,'Données projet'!$E$9+1,1))-AVERAGE(OFFSET($H$3,0,0,'Données projet'!$E$9+1,1))</f>
        <v>266.02599413192075</v>
      </c>
      <c r="T45" s="59">
        <f t="shared" si="34"/>
        <v>332.94146254783254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9.3452380952380913</v>
      </c>
      <c r="AI45" s="13">
        <f>IF('Données projet'!$A$62&gt;35,AI44+AH45-AQ44,IF(A45&lt;'Données projet'!$A$62,$AF$205^A45,IF(A45='Données projet'!$A$62,'Données projet'!$B$62,AI44+AH45-AQ44)))</f>
        <v>128.28113553113559</v>
      </c>
      <c r="AJ45" s="13">
        <f>AI45*VLOOKUP('Données projet'!$B$10,Paramètres!$A$1:$I$89,3,0)*VLOOKUP('Données projet'!$B$10,Paramètres!$A$1:$I$89,5,0)</f>
        <v>116.06877142857148</v>
      </c>
      <c r="AK45" s="13">
        <f t="shared" si="35"/>
        <v>30.75633490516044</v>
      </c>
      <c r="AL45" s="20">
        <f t="shared" si="4"/>
        <v>255.72039353124975</v>
      </c>
      <c r="AM45" s="59">
        <f t="shared" si="5"/>
        <v>549.05372686458304</v>
      </c>
      <c r="AN45" s="59">
        <f ca="1">AVERAGE(OFFSET($AM$3,0,0,'Données projet'!$E$10+1,1))-AVERAGE(OFFSET($H$3,0,0,'Données projet'!$E$10+1,1))</f>
        <v>282.13645166362238</v>
      </c>
      <c r="AO45" s="59">
        <f t="shared" si="36"/>
        <v>210.5345332979457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362.59999999999997</v>
      </c>
      <c r="BB45" s="12">
        <f>VLOOKUP(A45,'Données projet'!$A$87:$I$107,9,0)</f>
        <v>18.229670329670324</v>
      </c>
      <c r="BC45" s="12">
        <f t="array" ref="BC45">INDEX(BB:BB,MIN(IF(ISNUMBER(BB45:BB241),ROW(BB45:BB241),"")))</f>
        <v>18.229670329670324</v>
      </c>
      <c r="BD45" s="12">
        <f>IF('Données projet'!$A$88&gt;35,BD44+BC45-BL44,IF(A45&lt;'Données projet'!$A$88,$BA$205^A45,IF(A45='Données projet'!$A$88,'Données projet'!$B$88,BD44+BC45-BL44)))</f>
        <v>362.6</v>
      </c>
      <c r="BE45" s="13">
        <f>BD45*VLOOKUP('Données projet'!$B$11,Paramètres!$A$1:$I$89,3,0)*VLOOKUP('Données projet'!$B$11,Paramètres!$A$1:$I$89,5,0)</f>
        <v>202.69340000000003</v>
      </c>
      <c r="BF45" s="13">
        <f t="shared" si="37"/>
        <v>50.335633892078647</v>
      </c>
      <c r="BG45" s="20">
        <f t="shared" si="7"/>
        <v>440.69223402870369</v>
      </c>
      <c r="BH45" s="59">
        <f t="shared" si="8"/>
        <v>734.02556736203701</v>
      </c>
      <c r="BI45" s="59">
        <f ca="1">AVERAGE(OFFSET($BH$3,0,0,'Données projet'!$E$11+1,1))-AVERAGE(OFFSET($H$3,0,0,'Données projet'!$E$11+1,1))</f>
        <v>254.6443970237226</v>
      </c>
      <c r="BJ45" s="59">
        <f t="shared" si="38"/>
        <v>231.81667808018062</v>
      </c>
      <c r="BK45" s="15">
        <f>IF(ISNA(VLOOKUP(A45,'Données projet'!$A$87:$I$107,3,0)),0,VLOOKUP(A45,'Données projet'!$A$87:$I$107,3,0))</f>
        <v>4</v>
      </c>
      <c r="BL45" s="15">
        <f>IF(ISNA(VLOOKUP(A45,'Données projet'!$A$87:$I$107,4,0)),0,VLOOKUP(A45,'Données projet'!$A$87:$I$107,4,0))</f>
        <v>80.669230769230765</v>
      </c>
      <c r="BM45" s="16">
        <f>IF(ISNA(VLOOKUP(A45,'Données projet'!$A$87:$I$107,5,0)),0%,VLOOKUP(A45,'Données projet'!$A$87:$I$107,5,0)*VLOOKUP('Données projet'!$B$11,Paramètres!$A$1:$I$89,7,0))</f>
        <v>0.38500000000000001</v>
      </c>
      <c r="BN45" s="16">
        <f>IF(ISNA(VLOOKUP(A45,'Données projet'!$A$87:$I$107,6,0)),0%,VLOOKUP(A45,'Données projet'!$A$87:$I$107,6,0)*VLOOKUP('Données projet'!$B$11,Paramètres!$A$1:$I$89,7,0))</f>
        <v>9.240000000000001E-2</v>
      </c>
      <c r="BO45" s="16">
        <f>IF(ISNA(VLOOKUP(A45,'Données projet'!$A$87:$I$107,7,0)),0%,VLOOKUP(A45,'Données projet'!$A$87:$I$107,7,0))</f>
        <v>0.13200000000000001</v>
      </c>
      <c r="BP45" s="21">
        <f>EXP(-LN(2)/35)*BP44+(1-EXP(-LN(2)/35))/(LN(2)/35)*BL45*BM45*VLOOKUP('Données projet'!$B$11,Paramètres!$A$1:$I$89,3,0)*0.475*44/12</f>
        <v>40.552802174715566</v>
      </c>
      <c r="BQ45" s="21">
        <f>EXP(-LN(2)/25)*BQ44+(1-EXP(-LN(2)/25))/(LN(2)/25)*Calculateur!BL45*Calculateur!BN45*VLOOKUP('Données projet'!$B$11,Paramètres!$A$1:$I$89,3,0)*0.475*44/12</f>
        <v>26.025163617090385</v>
      </c>
      <c r="BR45" s="21">
        <f>EXP(-LN(2)/2)*BR44+(1-EXP(-LN(2)/2))/(LN(2)/2)*BL45*BO45*VLOOKUP('Données projet'!$B$11,Paramètres!$A$1:$I$89,3,0)*0.475*44/12</f>
        <v>7.3957162735113524</v>
      </c>
      <c r="BS45" s="22">
        <f t="shared" si="9"/>
        <v>73.973682065317306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5.3369963369963358</v>
      </c>
      <c r="BY45" s="12">
        <f>IF('Données projet'!$A$114&gt;35,BY44+BX45-CG44,IF(A45&lt;'Données projet'!$A$114,$BV$205^A45,IF(A45='Données projet'!$A$114,'Données projet'!$B$114,BY44+BX45-CG44)))</f>
        <v>151.74908424908421</v>
      </c>
      <c r="BZ45" s="13">
        <f>BY45*VLOOKUP('Données projet'!$B$12,Paramètres!$A$1:$I$89,3,0)*VLOOKUP('Données projet'!$B$12,Paramètres!$A$1:$I$89,5,0)</f>
        <v>153.87357142857138</v>
      </c>
      <c r="CA45" s="13">
        <f t="shared" si="39"/>
        <v>39.457558153305143</v>
      </c>
      <c r="CB45" s="20">
        <f t="shared" si="10"/>
        <v>336.71838402176826</v>
      </c>
      <c r="CC45" s="59">
        <f t="shared" si="11"/>
        <v>630.05171735510157</v>
      </c>
      <c r="CD45" s="59">
        <f ca="1">AVERAGE(OFFSET($CC$3,0,0,'Données projet'!$E$12+1,1))-AVERAGE(OFFSET($H$3,0,0,'Données projet'!$E$12+1,1))</f>
        <v>264.08050363622294</v>
      </c>
      <c r="CE45" s="59">
        <f t="shared" si="40"/>
        <v>164.48884512322883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362.59999999999997</v>
      </c>
      <c r="CR45" s="12">
        <f>VLOOKUP(A45,'Données projet'!$A$139:$I$159,9,0)</f>
        <v>18.229670329670324</v>
      </c>
      <c r="CS45" s="12">
        <f t="array" ref="CS45">INDEX(CR:CR,MIN(IF(ISNUMBER(CR45:CR241),ROW(CR45:CR241),"")))</f>
        <v>18.229670329670324</v>
      </c>
      <c r="CT45" s="12">
        <f>IF('Données projet'!$A$140&gt;35,CT44+CS45-DB44,IF(A45&lt;'Données projet'!$A$140,$CQ$205^A45,IF(A45='Données projet'!$A$140,'Données projet'!$B$140,CT44+CS45-DB44)))</f>
        <v>362.6</v>
      </c>
      <c r="CU45" s="17">
        <f>CT45*VLOOKUP('Données projet'!$B$13,Paramètres!$A$1:$I$89,3,0)*VLOOKUP('Données projet'!$B$13,Paramètres!$A$1:$I$89,5,0)</f>
        <v>160.26920000000004</v>
      </c>
      <c r="CV45" s="13">
        <f t="shared" si="41"/>
        <v>40.903228276165081</v>
      </c>
      <c r="CW45" s="20">
        <f t="shared" si="13"/>
        <v>350.37531258098761</v>
      </c>
      <c r="CX45" s="59">
        <f t="shared" si="14"/>
        <v>643.70864591432087</v>
      </c>
      <c r="CY45" s="59">
        <f ca="1">AVERAGE(OFFSET($CX$3,0,0,'Données projet'!$E$13+1,1))-AVERAGE(OFFSET($H$3,0,0,'Données projet'!$E$13+1,1))</f>
        <v>194.7221767407824</v>
      </c>
      <c r="CZ45" s="59">
        <f t="shared" si="42"/>
        <v>177.6550559568646</v>
      </c>
      <c r="DA45" s="15">
        <f>IF(ISNA(VLOOKUP(A45,'Données projet'!$A$139:$I$159,3,0)),0,VLOOKUP(A45,'Données projet'!$A$139:$I$159,3,0))</f>
        <v>4</v>
      </c>
      <c r="DB45" s="15">
        <f>IF(ISNA(VLOOKUP(A45,'Données projet'!$A$139:$I$159,4,0)),0,VLOOKUP(A45,'Données projet'!$A$139:$I$159,4,0))</f>
        <v>80.669230769230765</v>
      </c>
      <c r="DC45" s="16">
        <f>IF(ISNA(VLOOKUP(A45,'Données projet'!$A$139:$I$159,5,0)),0%,VLOOKUP(A45,'Données projet'!$A$139:$I$159,5,0)*VLOOKUP('Données projet'!$B$13,Paramètres!$A$1:$I$89,7,0))</f>
        <v>0.38500000000000001</v>
      </c>
      <c r="DD45" s="16">
        <f>IF(ISNA(VLOOKUP(A45,'Données projet'!$A$139:$I$159,6,0)),0%,VLOOKUP(A45,'Données projet'!$A$139:$I$159,6,0)*VLOOKUP('Données projet'!$B$13,Paramètres!$A$1:$I$89,7,0))</f>
        <v>9.240000000000001E-2</v>
      </c>
      <c r="DE45" s="16">
        <f>IF(ISNA(VLOOKUP(A45,'Données projet'!$A$139:$I$159,7,0)),0%,VLOOKUP(A45,'Données projet'!$A$139:$I$159,7,0))</f>
        <v>0.13200000000000001</v>
      </c>
      <c r="DF45" s="21">
        <f>EXP(-LN(2)/35)*DF44+(1-EXP(-LN(2)/35))/(LN(2)/35)*DB45*DC45*VLOOKUP('Données projet'!$B$13,Paramètres!$A$1:$I$89,3,0)*0.475*44/12</f>
        <v>32.065006370705333</v>
      </c>
      <c r="DG45" s="21">
        <f>EXP(-LN(2)/25)*DG44+(1-EXP(-LN(2)/25))/(LN(2)/25)*Calculateur!DB45*Calculateur!DD45*VLOOKUP('Données projet'!$B$13,Paramètres!$A$1:$I$89,3,0)*0.475*44/12</f>
        <v>20.578036348397045</v>
      </c>
      <c r="DH45" s="21">
        <f>EXP(-LN(2)/2)*DH44+(1-EXP(-LN(2)/2))/(LN(2)/2)*DB45*DE45*VLOOKUP('Données projet'!$B$13,Paramètres!$A$1:$I$89,3,0)*0.475*44/12</f>
        <v>5.847775658125256</v>
      </c>
      <c r="DI45" s="22">
        <f t="shared" si="15"/>
        <v>58.49081837722764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410.3692307692308</v>
      </c>
      <c r="DM45" s="12">
        <f>VLOOKUP(A45,'Données projet'!$A$165:$I$185,9,0)</f>
        <v>16.131410256410259</v>
      </c>
      <c r="DN45" s="12">
        <f t="array" ref="DN45">INDEX(DM:DM,MIN(IF(ISNUMBER(DM45:DM241),ROW(DM45:DM241),"")))</f>
        <v>16.131410256410259</v>
      </c>
      <c r="DO45" s="12">
        <f>IF('Données projet'!$A$166&gt;35,DO44+DN45-DW44,IF(A45&lt;'Données projet'!$A$166,$DL$205^A45,IF(A45='Données projet'!$A$166,'Données projet'!$B$166,DO44+DN45-DW44)))</f>
        <v>410.36923076923091</v>
      </c>
      <c r="DP45" s="17">
        <f>DO45*VLOOKUP('Données projet'!$B$14,Paramètres!$A$1:$I$89,3,0)*VLOOKUP('Données projet'!$B$14,Paramètres!$A$1:$I$89,5,0)</f>
        <v>192.05280000000008</v>
      </c>
      <c r="DQ45" s="13">
        <f t="shared" si="43"/>
        <v>47.993513546032311</v>
      </c>
      <c r="DR45" s="20">
        <f t="shared" si="16"/>
        <v>418.08066275933976</v>
      </c>
      <c r="DS45" s="59">
        <f t="shared" si="17"/>
        <v>711.41399609267307</v>
      </c>
      <c r="DT45" s="59">
        <f ca="1">AVERAGE(OFFSET($DS$3,0,0,'Données projet'!$E$14+1,1))-AVERAGE(OFFSET($H$3,0,0,'Données projet'!$E$14+1,1))</f>
        <v>207.25176714718668</v>
      </c>
      <c r="DU45" s="59">
        <f t="shared" si="44"/>
        <v>191.53228014642559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179.84615384615384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0.30800000000000005</v>
      </c>
      <c r="DZ45" s="16">
        <f>IF(ISNA(VLOOKUP(A45,'Données projet'!$A$165:$I$185,7,0)),0%,VLOOKUP(A45,'Données projet'!$A$165:$I$185,7,0))</f>
        <v>0.44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34.254112709103957</v>
      </c>
      <c r="EC45" s="21">
        <f>EXP(-LN(2)/2)*EC44+(1-EXP(-LN(2)/2))/(LN(2)/2)*DW45*DZ45*VLOOKUP('Données projet'!$B$14,Paramètres!$A$1:$I$89,3,0)*0.475*44/12</f>
        <v>41.931000328011329</v>
      </c>
      <c r="ED45" s="22">
        <f t="shared" si="18"/>
        <v>76.185113037115286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13.14134615384615</v>
      </c>
      <c r="EJ45" s="12">
        <f>IF('Données projet'!$A$192&gt;35,EJ44+EI45-ER44,IF(A45&lt;'Données projet'!$A$192,$EG$205^A45,IF(A45='Données projet'!$A$192,'Données projet'!$B$192,EJ44+EI45-ER44)))</f>
        <v>276.87115384615379</v>
      </c>
      <c r="EK45" s="17">
        <f>EJ45*VLOOKUP('Données projet'!$B$15,Paramètres!$A$1:$I$89,3,0)*VLOOKUP('Données projet'!$B$15,Paramètres!$A$1:$I$89,5,0)</f>
        <v>165.56894999999997</v>
      </c>
      <c r="EL45" s="13">
        <f t="shared" si="45"/>
        <v>42.096095514085818</v>
      </c>
      <c r="EM45" s="20">
        <f t="shared" si="19"/>
        <v>361.6832876036994</v>
      </c>
      <c r="EN45" s="59">
        <f t="shared" si="20"/>
        <v>655.01662093703271</v>
      </c>
      <c r="EO45" s="59">
        <f ca="1">AVERAGE(OFFSET($EN$3,0,0,'Données projet'!$E$15+1,1))-AVERAGE(OFFSET($H$3,0,0,'Données projet'!$E$15+1,1))</f>
        <v>200.15574321350221</v>
      </c>
      <c r="EP45" s="59">
        <f t="shared" si="46"/>
        <v>200.70728852570426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23.530313282631294</v>
      </c>
      <c r="EW45" s="21">
        <f>EXP(-LN(2)/25)*EW44+(1-EXP(-LN(2)/25))/(LN(2)/25)*Calculateur!ER45*Calculateur!ET45*VLOOKUP('Données projet'!$B$15,Paramètres!$A$1:$I$89,3,0)*0.475*44/12</f>
        <v>15.801772850776098</v>
      </c>
      <c r="EX45" s="21">
        <f>EXP(-LN(2)/2)*EX44+(1-EXP(-LN(2)/2))/(LN(2)/2)*ER45*EU45*VLOOKUP('Données projet'!$B$15,Paramètres!$A$1:$I$89,3,0)*0.475*44/12</f>
        <v>0.79266517924841229</v>
      </c>
      <c r="EY45" s="22">
        <f t="shared" si="21"/>
        <v>40.124751312655803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9.3452380952380913</v>
      </c>
      <c r="FE45" s="12">
        <f>IF('Données projet'!$A$218&gt;35,FE44+FD45-FM44,IF(A45&lt;'Données projet'!$A$218,$FB$205^A45,IF(A45='Données projet'!$A$218,'Données projet'!$B$218,FE44+FD45-FM44)))</f>
        <v>128.28113553113559</v>
      </c>
      <c r="FF45" s="17">
        <f>FE45*VLOOKUP('Données projet'!$B$16,Paramètres!$A$1:$I$89,3,0)*VLOOKUP('Données projet'!$B$16,Paramètres!$A$1:$I$89,5,0)</f>
        <v>138.08181428571433</v>
      </c>
      <c r="FG45" s="13">
        <f t="shared" si="47"/>
        <v>35.857223875642859</v>
      </c>
      <c r="FH45" s="20">
        <f t="shared" si="22"/>
        <v>302.94382479769712</v>
      </c>
      <c r="FI45" s="59">
        <f t="shared" si="23"/>
        <v>596.27715813103043</v>
      </c>
      <c r="FJ45" s="59">
        <f ca="1">AVERAGE(OFFSET($FI$3,0,0,'Données projet'!$E$16+1,1))-AVERAGE(OFFSET($H$3,0,0,'Données projet'!$E$16+1,1))</f>
        <v>347.17049316703486</v>
      </c>
      <c r="FK45" s="59">
        <f t="shared" si="48"/>
        <v>255.45365487683489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7">
        <f t="shared" si="1"/>
        <v>339.77146222493423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750.19506700944544</v>
      </c>
      <c r="S46" s="59">
        <f ca="1">AVERAGE(OFFSET($R$3,0,0,'Données projet'!$E$9+1,1))-AVERAGE(OFFSET($H$3,0,0,'Données projet'!$E$9+1,1))</f>
        <v>266.02599413192075</v>
      </c>
      <c r="T46" s="59">
        <f t="shared" si="34"/>
        <v>332.94146254783254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9.3452380952380913</v>
      </c>
      <c r="AI46" s="13">
        <f>IF('Données projet'!$A$62&gt;35,AI45+AH46-AQ45,IF(A46&lt;'Données projet'!$A$62,$AF$205^A46,IF(A46='Données projet'!$A$62,'Données projet'!$B$62,AI45+AH46-AQ45)))</f>
        <v>137.62637362637369</v>
      </c>
      <c r="AJ46" s="13">
        <f>AI46*VLOOKUP('Données projet'!$B$10,Paramètres!$A$1:$I$89,3,0)*VLOOKUP('Données projet'!$B$10,Paramètres!$A$1:$I$89,5,0)</f>
        <v>124.52434285714291</v>
      </c>
      <c r="AK46" s="13">
        <f t="shared" si="35"/>
        <v>32.727944326790649</v>
      </c>
      <c r="AL46" s="20">
        <f t="shared" si="4"/>
        <v>273.88106684535092</v>
      </c>
      <c r="AM46" s="59">
        <f t="shared" si="5"/>
        <v>567.21440017868417</v>
      </c>
      <c r="AN46" s="59">
        <f ca="1">AVERAGE(OFFSET($AM$3,0,0,'Données projet'!$E$10+1,1))-AVERAGE(OFFSET($H$3,0,0,'Données projet'!$E$10+1,1))</f>
        <v>282.13645166362238</v>
      </c>
      <c r="AO46" s="59">
        <f t="shared" si="36"/>
        <v>210.5345332979457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17.519780219780223</v>
      </c>
      <c r="BD46" s="12">
        <f>IF('Données projet'!$A$88&gt;35,BD45+BC46-BL45,IF(A46&lt;'Données projet'!$A$88,$BA$205^A46,IF(A46='Données projet'!$A$88,'Données projet'!$B$88,BD45+BC46-BL45)))</f>
        <v>299.45054945054949</v>
      </c>
      <c r="BE46" s="13">
        <f>BD46*VLOOKUP('Données projet'!$B$11,Paramètres!$A$1:$I$89,3,0)*VLOOKUP('Données projet'!$B$11,Paramètres!$A$1:$I$89,5,0)</f>
        <v>167.3928571428572</v>
      </c>
      <c r="BF46" s="13">
        <f t="shared" si="37"/>
        <v>42.505586135425617</v>
      </c>
      <c r="BG46" s="20">
        <f t="shared" si="7"/>
        <v>365.57312204300916</v>
      </c>
      <c r="BH46" s="59">
        <f t="shared" si="8"/>
        <v>658.90645537634248</v>
      </c>
      <c r="BI46" s="59">
        <f ca="1">AVERAGE(OFFSET($BH$3,0,0,'Données projet'!$E$11+1,1))-AVERAGE(OFFSET($H$3,0,0,'Données projet'!$E$11+1,1))</f>
        <v>254.6443970237226</v>
      </c>
      <c r="BJ46" s="59">
        <f t="shared" si="38"/>
        <v>231.81667808018062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39.757586458836364</v>
      </c>
      <c r="BQ46" s="21">
        <f>EXP(-LN(2)/25)*BQ45+(1-EXP(-LN(2)/25))/(LN(2)/25)*Calculateur!BL46*Calculateur!BN46*VLOOKUP('Données projet'!$B$11,Paramètres!$A$1:$I$89,3,0)*0.475*44/12</f>
        <v>25.313504149377174</v>
      </c>
      <c r="BR46" s="21">
        <f>EXP(-LN(2)/2)*BR45+(1-EXP(-LN(2)/2))/(LN(2)/2)*BL46*BO46*VLOOKUP('Données projet'!$B$11,Paramètres!$A$1:$I$89,3,0)*0.475*44/12</f>
        <v>5.2295611287315813</v>
      </c>
      <c r="BS46" s="22">
        <f t="shared" si="9"/>
        <v>70.300651736945113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5.3369963369963358</v>
      </c>
      <c r="BY46" s="12">
        <f>IF('Données projet'!$A$114&gt;35,BY45+BX46-CG45,IF(A46&lt;'Données projet'!$A$114,$BV$205^A46,IF(A46='Données projet'!$A$114,'Données projet'!$B$114,BY45+BX46-CG45)))</f>
        <v>157.08608058608053</v>
      </c>
      <c r="BZ46" s="13">
        <f>BY46*VLOOKUP('Données projet'!$B$12,Paramètres!$A$1:$I$89,3,0)*VLOOKUP('Données projet'!$B$12,Paramètres!$A$1:$I$89,5,0)</f>
        <v>159.28528571428566</v>
      </c>
      <c r="CA46" s="13">
        <f t="shared" si="39"/>
        <v>40.681267624862308</v>
      </c>
      <c r="CB46" s="20">
        <f t="shared" si="10"/>
        <v>348.27508039901596</v>
      </c>
      <c r="CC46" s="59">
        <f t="shared" si="11"/>
        <v>641.60841373234928</v>
      </c>
      <c r="CD46" s="59">
        <f ca="1">AVERAGE(OFFSET($CC$3,0,0,'Données projet'!$E$12+1,1))-AVERAGE(OFFSET($H$3,0,0,'Données projet'!$E$12+1,1))</f>
        <v>264.08050363622294</v>
      </c>
      <c r="CE46" s="59">
        <f t="shared" si="40"/>
        <v>164.48884512322883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17.519780219780223</v>
      </c>
      <c r="CT46" s="12">
        <f>IF('Données projet'!$A$140&gt;35,CT45+CS46-DB45,IF(A46&lt;'Données projet'!$A$140,$CQ$205^A46,IF(A46='Données projet'!$A$140,'Données projet'!$B$140,CT45+CS46-DB45)))</f>
        <v>299.45054945054949</v>
      </c>
      <c r="CU46" s="17">
        <f>CT46*VLOOKUP('Données projet'!$B$13,Paramètres!$A$1:$I$89,3,0)*VLOOKUP('Données projet'!$B$13,Paramètres!$A$1:$I$89,5,0)</f>
        <v>132.35714285714289</v>
      </c>
      <c r="CV46" s="13">
        <f t="shared" si="41"/>
        <v>34.540454907892176</v>
      </c>
      <c r="CW46" s="20">
        <f t="shared" si="13"/>
        <v>290.67998277410271</v>
      </c>
      <c r="CX46" s="59">
        <f t="shared" si="14"/>
        <v>584.01331610743603</v>
      </c>
      <c r="CY46" s="59">
        <f ca="1">AVERAGE(OFFSET($CX$3,0,0,'Données projet'!$E$13+1,1))-AVERAGE(OFFSET($H$3,0,0,'Données projet'!$E$13+1,1))</f>
        <v>194.7221767407824</v>
      </c>
      <c r="CZ46" s="59">
        <f t="shared" si="42"/>
        <v>177.6550559568646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31.436231153498522</v>
      </c>
      <c r="DG46" s="21">
        <f>EXP(-LN(2)/25)*DG45+(1-EXP(-LN(2)/25))/(LN(2)/25)*Calculateur!DB46*Calculateur!DD46*VLOOKUP('Données projet'!$B$13,Paramètres!$A$1:$I$89,3,0)*0.475*44/12</f>
        <v>20.015328862298229</v>
      </c>
      <c r="DH46" s="21">
        <f>EXP(-LN(2)/2)*DH45+(1-EXP(-LN(2)/2))/(LN(2)/2)*DB46*DE46*VLOOKUP('Données projet'!$B$13,Paramètres!$A$1:$I$89,3,0)*0.475*44/12</f>
        <v>4.135001822717995</v>
      </c>
      <c r="DI46" s="22">
        <f t="shared" si="15"/>
        <v>55.586561838514747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15.618681318681309</v>
      </c>
      <c r="DO46" s="12">
        <f>IF('Données projet'!$A$166&gt;35,DO45+DN46-DW45,IF(A46&lt;'Données projet'!$A$166,$DL$205^A46,IF(A46='Données projet'!$A$166,'Données projet'!$B$166,DO45+DN46-DW45)))</f>
        <v>246.14175824175837</v>
      </c>
      <c r="DP46" s="17">
        <f>DO46*VLOOKUP('Données projet'!$B$14,Paramètres!$A$1:$I$89,3,0)*VLOOKUP('Données projet'!$B$14,Paramètres!$A$1:$I$89,5,0)</f>
        <v>115.19434285714291</v>
      </c>
      <c r="DQ46" s="13">
        <f t="shared" si="43"/>
        <v>30.5515065129288</v>
      </c>
      <c r="DR46" s="20">
        <f t="shared" si="16"/>
        <v>253.84068765287489</v>
      </c>
      <c r="DS46" s="59">
        <f t="shared" si="17"/>
        <v>547.17402098620823</v>
      </c>
      <c r="DT46" s="59">
        <f ca="1">AVERAGE(OFFSET($DS$3,0,0,'Données projet'!$E$14+1,1))-AVERAGE(OFFSET($H$3,0,0,'Données projet'!$E$14+1,1))</f>
        <v>207.25176714718668</v>
      </c>
      <c r="DU46" s="59">
        <f t="shared" si="44"/>
        <v>191.53228014642559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33.31743219572801</v>
      </c>
      <c r="EC46" s="21">
        <f>EXP(-LN(2)/2)*EC45+(1-EXP(-LN(2)/2))/(LN(2)/2)*DW46*DZ46*VLOOKUP('Données projet'!$B$14,Paramètres!$A$1:$I$89,3,0)*0.475*44/12</f>
        <v>29.649694673872162</v>
      </c>
      <c r="ED46" s="22">
        <f t="shared" si="18"/>
        <v>62.967126869600172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13.14134615384615</v>
      </c>
      <c r="EJ46" s="12">
        <f>IF('Données projet'!$A$192&gt;35,EJ45+EI46-ER45,IF(A46&lt;'Données projet'!$A$192,$EG$205^A46,IF(A46='Données projet'!$A$192,'Données projet'!$B$192,EJ45+EI46-ER45)))</f>
        <v>290.01249999999993</v>
      </c>
      <c r="EK46" s="17">
        <f>EJ46*VLOOKUP('Données projet'!$B$15,Paramètres!$A$1:$I$89,3,0)*VLOOKUP('Données projet'!$B$15,Paramètres!$A$1:$I$89,5,0)</f>
        <v>173.42747499999999</v>
      </c>
      <c r="EL46" s="13">
        <f t="shared" si="45"/>
        <v>43.856769901180428</v>
      </c>
      <c r="EM46" s="20">
        <f t="shared" si="19"/>
        <v>378.43672653622252</v>
      </c>
      <c r="EN46" s="59">
        <f t="shared" si="20"/>
        <v>671.77005986955578</v>
      </c>
      <c r="EO46" s="59">
        <f ca="1">AVERAGE(OFFSET($EN$3,0,0,'Données projet'!$E$15+1,1))-AVERAGE(OFFSET($H$3,0,0,'Données projet'!$E$15+1,1))</f>
        <v>200.15574321350221</v>
      </c>
      <c r="EP46" s="59">
        <f t="shared" si="46"/>
        <v>200.70728852570426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23.068898191232847</v>
      </c>
      <c r="EW46" s="21">
        <f>EXP(-LN(2)/25)*EW45+(1-EXP(-LN(2)/25))/(LN(2)/25)*Calculateur!ER46*Calculateur!ET46*VLOOKUP('Données projet'!$B$15,Paramètres!$A$1:$I$89,3,0)*0.475*44/12</f>
        <v>15.369672541192507</v>
      </c>
      <c r="EX46" s="21">
        <f>EXP(-LN(2)/2)*EX45+(1-EXP(-LN(2)/2))/(LN(2)/2)*ER46*EU46*VLOOKUP('Données projet'!$B$15,Paramètres!$A$1:$I$89,3,0)*0.475*44/12</f>
        <v>0.56049892345700258</v>
      </c>
      <c r="EY46" s="22">
        <f t="shared" si="21"/>
        <v>38.999069655882359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9.3452380952380913</v>
      </c>
      <c r="FE46" s="12">
        <f>IF('Données projet'!$A$218&gt;35,FE45+FD46-FM45,IF(A46&lt;'Données projet'!$A$218,$FB$205^A46,IF(A46='Données projet'!$A$218,'Données projet'!$B$218,FE45+FD46-FM45)))</f>
        <v>137.62637362637369</v>
      </c>
      <c r="FF46" s="17">
        <f>FE46*VLOOKUP('Données projet'!$B$16,Paramètres!$A$1:$I$89,3,0)*VLOOKUP('Données projet'!$B$16,Paramètres!$A$1:$I$89,5,0)</f>
        <v>148.14102857142862</v>
      </c>
      <c r="FG46" s="13">
        <f t="shared" si="47"/>
        <v>38.155821567621416</v>
      </c>
      <c r="FH46" s="20">
        <f t="shared" si="22"/>
        <v>324.46701399217881</v>
      </c>
      <c r="FI46" s="59">
        <f t="shared" si="23"/>
        <v>617.80034732551212</v>
      </c>
      <c r="FJ46" s="59">
        <f ca="1">AVERAGE(OFFSET($FI$3,0,0,'Données projet'!$E$16+1,1))-AVERAGE(OFFSET($H$3,0,0,'Données projet'!$E$16+1,1))</f>
        <v>347.17049316703486</v>
      </c>
      <c r="FK46" s="59">
        <f t="shared" si="48"/>
        <v>255.45365487683489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7">
        <f t="shared" si="1"/>
        <v>340.8202753707663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266.02599413192075</v>
      </c>
      <c r="T47" s="59">
        <f t="shared" si="34"/>
        <v>332.94146254783254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9.3452380952380913</v>
      </c>
      <c r="AI47" s="13">
        <f>IF('Données projet'!$A$62&gt;35,AI46+AH47-AQ46,IF(A47&lt;'Données projet'!$A$62,$AF$205^A47,IF(A47='Données projet'!$A$62,'Données projet'!$B$62,AI46+AH47-AQ46)))</f>
        <v>146.97161172161179</v>
      </c>
      <c r="AJ47" s="13">
        <f>AI47*VLOOKUP('Données projet'!$B$10,Paramètres!$A$1:$I$89,3,0)*VLOOKUP('Données projet'!$B$10,Paramètres!$A$1:$I$89,5,0)</f>
        <v>132.97991428571436</v>
      </c>
      <c r="AK47" s="13">
        <f t="shared" si="35"/>
        <v>34.684019161942608</v>
      </c>
      <c r="AL47" s="20">
        <f t="shared" si="4"/>
        <v>292.01468408800253</v>
      </c>
      <c r="AM47" s="59">
        <f t="shared" si="5"/>
        <v>585.34801742133584</v>
      </c>
      <c r="AN47" s="59">
        <f ca="1">AVERAGE(OFFSET($AM$3,0,0,'Données projet'!$E$10+1,1))-AVERAGE(OFFSET($H$3,0,0,'Données projet'!$E$10+1,1))</f>
        <v>282.13645166362238</v>
      </c>
      <c r="AO47" s="59">
        <f t="shared" si="36"/>
        <v>210.5345332979457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17.519780219780223</v>
      </c>
      <c r="BD47" s="12">
        <f>IF('Données projet'!$A$88&gt;35,BD46+BC47-BL46,IF(A47&lt;'Données projet'!$A$88,$BA$205^A47,IF(A47='Données projet'!$A$88,'Données projet'!$B$88,BD46+BC47-BL46)))</f>
        <v>316.9703296703297</v>
      </c>
      <c r="BE47" s="13">
        <f>BD47*VLOOKUP('Données projet'!$B$11,Paramètres!$A$1:$I$89,3,0)*VLOOKUP('Données projet'!$B$11,Paramètres!$A$1:$I$89,5,0)</f>
        <v>177.18641428571431</v>
      </c>
      <c r="BF47" s="13">
        <f t="shared" si="37"/>
        <v>44.695642380138821</v>
      </c>
      <c r="BG47" s="20">
        <f t="shared" si="7"/>
        <v>386.44458202636088</v>
      </c>
      <c r="BH47" s="59">
        <f t="shared" si="8"/>
        <v>679.77791535969413</v>
      </c>
      <c r="BI47" s="59">
        <f ca="1">AVERAGE(OFFSET($BH$3,0,0,'Données projet'!$E$11+1,1))-AVERAGE(OFFSET($H$3,0,0,'Données projet'!$E$11+1,1))</f>
        <v>254.6443970237226</v>
      </c>
      <c r="BJ47" s="59">
        <f t="shared" si="38"/>
        <v>231.81667808018062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38.977964438111862</v>
      </c>
      <c r="BQ47" s="21">
        <f>EXP(-LN(2)/25)*BQ46+(1-EXP(-LN(2)/25))/(LN(2)/25)*Calculateur!BL47*Calculateur!BN47*VLOOKUP('Données projet'!$B$11,Paramètres!$A$1:$I$89,3,0)*0.475*44/12</f>
        <v>24.621305047233125</v>
      </c>
      <c r="BR47" s="21">
        <f>EXP(-LN(2)/2)*BR46+(1-EXP(-LN(2)/2))/(LN(2)/2)*BL47*BO47*VLOOKUP('Données projet'!$B$11,Paramètres!$A$1:$I$89,3,0)*0.475*44/12</f>
        <v>3.6978581367556771</v>
      </c>
      <c r="BS47" s="22">
        <f t="shared" si="9"/>
        <v>67.297127622100675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162.42307692307691</v>
      </c>
      <c r="BW47" s="12">
        <f>VLOOKUP(A47,'Données projet'!$A$113:$I$133,9,0)</f>
        <v>5.3369963369963358</v>
      </c>
      <c r="BX47" s="12">
        <f t="array" ref="BX47">INDEX(BW:BW,MIN(IF(ISNUMBER(BW47:BW243),ROW(BW47:BW243),"")))</f>
        <v>5.3369963369963358</v>
      </c>
      <c r="BY47" s="12">
        <f>IF('Données projet'!$A$114&gt;35,BY46+BX47-CG46,IF(A47&lt;'Données projet'!$A$114,$BV$205^A47,IF(A47='Données projet'!$A$114,'Données projet'!$B$114,BY46+BX47-CG46)))</f>
        <v>162.42307692307685</v>
      </c>
      <c r="BZ47" s="13">
        <f>BY47*VLOOKUP('Données projet'!$B$12,Paramètres!$A$1:$I$89,3,0)*VLOOKUP('Données projet'!$B$12,Paramètres!$A$1:$I$89,5,0)</f>
        <v>164.69699999999995</v>
      </c>
      <c r="CA47" s="13">
        <f t="shared" si="39"/>
        <v>41.900146282502362</v>
      </c>
      <c r="CB47" s="20">
        <f t="shared" si="10"/>
        <v>359.82336310869147</v>
      </c>
      <c r="CC47" s="59">
        <f t="shared" si="11"/>
        <v>653.15669644202478</v>
      </c>
      <c r="CD47" s="59">
        <f ca="1">AVERAGE(OFFSET($CC$3,0,0,'Données projet'!$E$12+1,1))-AVERAGE(OFFSET($H$3,0,0,'Données projet'!$E$12+1,1))</f>
        <v>264.08050363622294</v>
      </c>
      <c r="CE47" s="59">
        <f t="shared" si="40"/>
        <v>164.48884512322883</v>
      </c>
      <c r="CF47" s="15">
        <f>IF(ISNA(VLOOKUP(A47,'Données projet'!$A$113:$I$133,3,0)),0,VLOOKUP(A47,'Données projet'!$A$113:$I$133,3,0))</f>
        <v>1</v>
      </c>
      <c r="CG47" s="15">
        <f>IF(ISNA(VLOOKUP(A47,'Données projet'!$A$113:$I$133,4,0)),0,VLOOKUP(A47,'Données projet'!$A$113:$I$133,4,0))</f>
        <v>64.416666666666657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17.519780219780223</v>
      </c>
      <c r="CT47" s="12">
        <f>IF('Données projet'!$A$140&gt;35,CT46+CS47-DB46,IF(A47&lt;'Données projet'!$A$140,$CQ$205^A47,IF(A47='Données projet'!$A$140,'Données projet'!$B$140,CT46+CS47-DB46)))</f>
        <v>316.9703296703297</v>
      </c>
      <c r="CU47" s="17">
        <f>CT47*VLOOKUP('Données projet'!$B$13,Paramètres!$A$1:$I$89,3,0)*VLOOKUP('Données projet'!$B$13,Paramètres!$A$1:$I$89,5,0)</f>
        <v>140.10088571428574</v>
      </c>
      <c r="CV47" s="13">
        <f t="shared" si="41"/>
        <v>36.320116026439095</v>
      </c>
      <c r="CW47" s="20">
        <f t="shared" si="13"/>
        <v>307.26657803176238</v>
      </c>
      <c r="CX47" s="59">
        <f t="shared" si="14"/>
        <v>600.59991136509575</v>
      </c>
      <c r="CY47" s="59">
        <f ca="1">AVERAGE(OFFSET($CX$3,0,0,'Données projet'!$E$13+1,1))-AVERAGE(OFFSET($H$3,0,0,'Données projet'!$E$13+1,1))</f>
        <v>194.7221767407824</v>
      </c>
      <c r="CZ47" s="59">
        <f t="shared" si="42"/>
        <v>177.6550559568646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30.819785834786124</v>
      </c>
      <c r="DG47" s="21">
        <f>EXP(-LN(2)/25)*DG46+(1-EXP(-LN(2)/25))/(LN(2)/25)*Calculateur!DB47*Calculateur!DD47*VLOOKUP('Données projet'!$B$13,Paramètres!$A$1:$I$89,3,0)*0.475*44/12</f>
        <v>19.468008641998285</v>
      </c>
      <c r="DH47" s="21">
        <f>EXP(-LN(2)/2)*DH46+(1-EXP(-LN(2)/2))/(LN(2)/2)*DB47*DE47*VLOOKUP('Données projet'!$B$13,Paramètres!$A$1:$I$89,3,0)*0.475*44/12</f>
        <v>2.9238878290626285</v>
      </c>
      <c r="DI47" s="22">
        <f t="shared" si="15"/>
        <v>53.211682305847042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15.618681318681309</v>
      </c>
      <c r="DO47" s="12">
        <f>IF('Données projet'!$A$166&gt;35,DO46+DN47-DW46,IF(A47&lt;'Données projet'!$A$166,$DL$205^A47,IF(A47='Données projet'!$A$166,'Données projet'!$B$166,DO46+DN47-DW46)))</f>
        <v>261.76043956043969</v>
      </c>
      <c r="DP47" s="17">
        <f>DO47*VLOOKUP('Données projet'!$B$14,Paramètres!$A$1:$I$89,3,0)*VLOOKUP('Données projet'!$B$14,Paramètres!$A$1:$I$89,5,0)</f>
        <v>122.50388571428577</v>
      </c>
      <c r="DQ47" s="13">
        <f t="shared" si="43"/>
        <v>32.258285776503719</v>
      </c>
      <c r="DR47" s="20">
        <f t="shared" si="16"/>
        <v>269.54411534645834</v>
      </c>
      <c r="DS47" s="59">
        <f t="shared" si="17"/>
        <v>562.87744867979166</v>
      </c>
      <c r="DT47" s="59">
        <f ca="1">AVERAGE(OFFSET($DS$3,0,0,'Données projet'!$E$14+1,1))-AVERAGE(OFFSET($H$3,0,0,'Données projet'!$E$14+1,1))</f>
        <v>207.25176714718668</v>
      </c>
      <c r="DU47" s="59">
        <f t="shared" si="44"/>
        <v>191.53228014642559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32.406365260248215</v>
      </c>
      <c r="EC47" s="21">
        <f>EXP(-LN(2)/2)*EC46+(1-EXP(-LN(2)/2))/(LN(2)/2)*DW47*DZ47*VLOOKUP('Données projet'!$B$14,Paramètres!$A$1:$I$89,3,0)*0.475*44/12</f>
        <v>20.965500164005668</v>
      </c>
      <c r="ED47" s="22">
        <f t="shared" si="18"/>
        <v>53.371865424253883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303.15384615384613</v>
      </c>
      <c r="EH47" s="12">
        <f>VLOOKUP(A47,'Données projet'!$A$191:$I$211,9,0)</f>
        <v>13.14134615384615</v>
      </c>
      <c r="EI47" s="12">
        <f t="array" ref="EI47">INDEX(EH:EH,MIN(IF(ISNUMBER(EH47:EH243),ROW(EH47:EH243),"")))</f>
        <v>13.14134615384615</v>
      </c>
      <c r="EJ47" s="12">
        <f>IF('Données projet'!$A$192&gt;35,EJ46+EI47-ER46,IF(A47&lt;'Données projet'!$A$192,$EG$205^A47,IF(A47='Données projet'!$A$192,'Données projet'!$B$192,EJ46+EI47-ER46)))</f>
        <v>303.15384615384608</v>
      </c>
      <c r="EK47" s="17">
        <f>EJ47*VLOOKUP('Données projet'!$B$15,Paramètres!$A$1:$I$89,3,0)*VLOOKUP('Données projet'!$B$15,Paramètres!$A$1:$I$89,5,0)</f>
        <v>181.28599999999997</v>
      </c>
      <c r="EL47" s="13">
        <f t="shared" si="45"/>
        <v>45.608178821536583</v>
      </c>
      <c r="EM47" s="20">
        <f t="shared" si="19"/>
        <v>395.17402811417611</v>
      </c>
      <c r="EN47" s="59">
        <f t="shared" si="20"/>
        <v>688.50736144750942</v>
      </c>
      <c r="EO47" s="59">
        <f ca="1">AVERAGE(OFFSET($EN$3,0,0,'Données projet'!$E$15+1,1))-AVERAGE(OFFSET($H$3,0,0,'Données projet'!$E$15+1,1))</f>
        <v>200.15574321350221</v>
      </c>
      <c r="EP47" s="59">
        <f t="shared" si="46"/>
        <v>200.70728852570426</v>
      </c>
      <c r="EQ47" s="15">
        <f>IF(ISNA(VLOOKUP(A47,'Données projet'!$A$191:$I$211,3,0)),0,VLOOKUP(A47,'Données projet'!$A$191:$I$211,3,0))</f>
        <v>5</v>
      </c>
      <c r="ER47" s="15">
        <f>IF(ISNA(VLOOKUP(A47,'Données projet'!$A$191:$I$211,4,0)),0,VLOOKUP(A47,'Données projet'!$A$191:$I$211,4,0))</f>
        <v>64.476923076923072</v>
      </c>
      <c r="ES47" s="16">
        <f>IF(ISNA(VLOOKUP(A47,'Données projet'!$A$191:$I$211,5,0)),0%,VLOOKUP(A47,'Données projet'!$A$191:$I$211,5,0)*VLOOKUP('Données projet'!$B$15,Paramètres!$A$1:$I$89,7,0))</f>
        <v>0.315</v>
      </c>
      <c r="ET47" s="16">
        <f>IF(ISNA(VLOOKUP(A47,'Données projet'!$A$191:$I$211,6,0)),0%,VLOOKUP(A47,'Données projet'!$A$191:$I$211,6,0)*VLOOKUP('Données projet'!$B$15,Paramètres!$A$1:$I$89,7,0))</f>
        <v>7.5600000000000001E-2</v>
      </c>
      <c r="EU47" s="16">
        <f>IF(ISNA(VLOOKUP(A47,'Données projet'!$A$191:$I$211,7,0)),0%,VLOOKUP(A47,'Données projet'!$A$191:$I$211,7,0))</f>
        <v>0.13200000000000001</v>
      </c>
      <c r="EV47" s="21">
        <f>EXP(-LN(2)/35)*EV46+(1-EXP(-LN(2)/35))/(LN(2)/35)*ER47*ES47*VLOOKUP('Données projet'!$B$15,Paramètres!$A$1:$I$89,3,0)*0.475*44/12</f>
        <v>38.728343640042439</v>
      </c>
      <c r="EW47" s="21">
        <f>EXP(-LN(2)/25)*EW46+(1-EXP(-LN(2)/25))/(LN(2)/25)*Calculateur!ER47*Calculateur!ET47*VLOOKUP('Données projet'!$B$15,Paramètres!$A$1:$I$89,3,0)*0.475*44/12</f>
        <v>18.800997827758014</v>
      </c>
      <c r="EX47" s="21">
        <f>EXP(-LN(2)/2)*EX46+(1-EXP(-LN(2)/2))/(LN(2)/2)*ER47*EU47*VLOOKUP('Données projet'!$B$15,Paramètres!$A$1:$I$89,3,0)*0.475*44/12</f>
        <v>6.1588859323929501</v>
      </c>
      <c r="EY47" s="22">
        <f t="shared" si="21"/>
        <v>63.688227400193398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9.3452380952380913</v>
      </c>
      <c r="FE47" s="12">
        <f>IF('Données projet'!$A$218&gt;35,FE46+FD47-FM46,IF(A47&lt;'Données projet'!$A$218,$FB$205^A47,IF(A47='Données projet'!$A$218,'Données projet'!$B$218,FE46+FD47-FM46)))</f>
        <v>146.97161172161179</v>
      </c>
      <c r="FF47" s="17">
        <f>FE47*VLOOKUP('Données projet'!$B$16,Paramètres!$A$1:$I$89,3,0)*VLOOKUP('Données projet'!$B$16,Paramètres!$A$1:$I$89,5,0)</f>
        <v>158.20024285714294</v>
      </c>
      <c r="FG47" s="13">
        <f t="shared" si="47"/>
        <v>40.436308286791146</v>
      </c>
      <c r="FH47" s="20">
        <f t="shared" si="22"/>
        <v>345.95865990901848</v>
      </c>
      <c r="FI47" s="59">
        <f t="shared" si="23"/>
        <v>639.29199324235174</v>
      </c>
      <c r="FJ47" s="59">
        <f ca="1">AVERAGE(OFFSET($FI$3,0,0,'Données projet'!$E$16+1,1))-AVERAGE(OFFSET($H$3,0,0,'Données projet'!$E$16+1,1))</f>
        <v>347.17049316703486</v>
      </c>
      <c r="FK47" s="59">
        <f t="shared" si="48"/>
        <v>255.45365487683489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7">
        <f t="shared" si="1"/>
        <v>341.86847099999875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788.77045855192841</v>
      </c>
      <c r="S48" s="59">
        <f ca="1">AVERAGE(OFFSET($R$3,0,0,'Données projet'!$E$9+1,1))-AVERAGE(OFFSET($H$3,0,0,'Données projet'!$E$9+1,1))</f>
        <v>266.02599413192075</v>
      </c>
      <c r="T48" s="59">
        <f t="shared" si="34"/>
        <v>332.94146254783254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9.3452380952380913</v>
      </c>
      <c r="AI48" s="13">
        <f>IF('Données projet'!$A$62&gt;35,AI47+AH48-AQ47,IF(A48&lt;'Données projet'!$A$62,$AF$205^A48,IF(A48='Données projet'!$A$62,'Données projet'!$B$62,AI47+AH48-AQ47)))</f>
        <v>156.3168498168499</v>
      </c>
      <c r="AJ48" s="13">
        <f>AI48*VLOOKUP('Données projet'!$B$10,Paramètres!$A$1:$I$89,3,0)*VLOOKUP('Données projet'!$B$10,Paramètres!$A$1:$I$89,5,0)</f>
        <v>141.43548571428576</v>
      </c>
      <c r="AK48" s="13">
        <f t="shared" si="35"/>
        <v>36.625659617511197</v>
      </c>
      <c r="AL48" s="20">
        <f t="shared" si="4"/>
        <v>310.12316145287969</v>
      </c>
      <c r="AM48" s="59">
        <f t="shared" si="5"/>
        <v>603.45649478621294</v>
      </c>
      <c r="AN48" s="59">
        <f ca="1">AVERAGE(OFFSET($AM$3,0,0,'Données projet'!$E$10+1,1))-AVERAGE(OFFSET($H$3,0,0,'Données projet'!$E$10+1,1))</f>
        <v>282.13645166362238</v>
      </c>
      <c r="AO48" s="59">
        <f t="shared" si="36"/>
        <v>210.5345332979457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17.519780219780223</v>
      </c>
      <c r="BD48" s="12">
        <f>IF('Données projet'!$A$88&gt;35,BD47+BC48-BL47,IF(A48&lt;'Données projet'!$A$88,$BA$205^A48,IF(A48='Données projet'!$A$88,'Données projet'!$B$88,BD47+BC48-BL47)))</f>
        <v>334.49010989010992</v>
      </c>
      <c r="BE48" s="13">
        <f>BD48*VLOOKUP('Données projet'!$B$11,Paramètres!$A$1:$I$89,3,0)*VLOOKUP('Données projet'!$B$11,Paramètres!$A$1:$I$89,5,0)</f>
        <v>186.97997142857147</v>
      </c>
      <c r="BF48" s="13">
        <f t="shared" si="37"/>
        <v>46.871646064498115</v>
      </c>
      <c r="BG48" s="20">
        <f t="shared" si="7"/>
        <v>407.29156713376284</v>
      </c>
      <c r="BH48" s="59">
        <f t="shared" si="8"/>
        <v>700.62490046709615</v>
      </c>
      <c r="BI48" s="59">
        <f ca="1">AVERAGE(OFFSET($BH$3,0,0,'Données projet'!$E$11+1,1))-AVERAGE(OFFSET($H$3,0,0,'Données projet'!$E$11+1,1))</f>
        <v>254.6443970237226</v>
      </c>
      <c r="BJ48" s="59">
        <f t="shared" si="38"/>
        <v>231.81667808018062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38.213630329691284</v>
      </c>
      <c r="BQ48" s="21">
        <f>EXP(-LN(2)/25)*BQ47+(1-EXP(-LN(2)/25))/(LN(2)/25)*Calculateur!BL48*Calculateur!BN48*VLOOKUP('Données projet'!$B$11,Paramètres!$A$1:$I$89,3,0)*0.475*44/12</f>
        <v>23.948034165938378</v>
      </c>
      <c r="BR48" s="21">
        <f>EXP(-LN(2)/2)*BR47+(1-EXP(-LN(2)/2))/(LN(2)/2)*BL48*BO48*VLOOKUP('Données projet'!$B$11,Paramètres!$A$1:$I$89,3,0)*0.475*44/12</f>
        <v>2.6147805643657911</v>
      </c>
      <c r="BS48" s="22">
        <f t="shared" si="9"/>
        <v>64.776445059995453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6.826007326007324</v>
      </c>
      <c r="BY48" s="12">
        <f>IF('Données projet'!$A$114&gt;35,BY47+BX48-CG47,IF(A48&lt;'Données projet'!$A$114,$BV$205^A48,IF(A48='Données projet'!$A$114,'Données projet'!$B$114,BY47+BX48-CG47)))</f>
        <v>104.83241758241752</v>
      </c>
      <c r="BZ48" s="13">
        <f>BY48*VLOOKUP('Données projet'!$B$12,Paramètres!$A$1:$I$89,3,0)*VLOOKUP('Données projet'!$B$12,Paramètres!$A$1:$I$89,5,0)</f>
        <v>106.30007142857137</v>
      </c>
      <c r="CA48" s="13">
        <f t="shared" si="39"/>
        <v>28.457524292851215</v>
      </c>
      <c r="CB48" s="20">
        <f t="shared" si="10"/>
        <v>234.70281254814427</v>
      </c>
      <c r="CC48" s="59">
        <f t="shared" si="11"/>
        <v>528.03614588147752</v>
      </c>
      <c r="CD48" s="59">
        <f ca="1">AVERAGE(OFFSET($CC$3,0,0,'Données projet'!$E$12+1,1))-AVERAGE(OFFSET($H$3,0,0,'Données projet'!$E$12+1,1))</f>
        <v>264.08050363622294</v>
      </c>
      <c r="CE48" s="59">
        <f t="shared" si="40"/>
        <v>164.48884512322883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17.519780219780223</v>
      </c>
      <c r="CT48" s="12">
        <f>IF('Données projet'!$A$140&gt;35,CT47+CS48-DB47,IF(A48&lt;'Données projet'!$A$140,$CQ$205^A48,IF(A48='Données projet'!$A$140,'Données projet'!$B$140,CT47+CS48-DB47)))</f>
        <v>334.49010989010992</v>
      </c>
      <c r="CU48" s="17">
        <f>CT48*VLOOKUP('Données projet'!$B$13,Paramètres!$A$1:$I$89,3,0)*VLOOKUP('Données projet'!$B$13,Paramètres!$A$1:$I$89,5,0)</f>
        <v>147.84462857142859</v>
      </c>
      <c r="CV48" s="13">
        <f t="shared" si="41"/>
        <v>38.088357897038236</v>
      </c>
      <c r="CW48" s="20">
        <f t="shared" si="13"/>
        <v>323.83328476591305</v>
      </c>
      <c r="CX48" s="59">
        <f t="shared" si="14"/>
        <v>617.16661809924631</v>
      </c>
      <c r="CY48" s="59">
        <f ca="1">AVERAGE(OFFSET($CX$3,0,0,'Données projet'!$E$13+1,1))-AVERAGE(OFFSET($H$3,0,0,'Données projet'!$E$13+1,1))</f>
        <v>194.7221767407824</v>
      </c>
      <c r="CZ48" s="59">
        <f t="shared" si="42"/>
        <v>177.6550559568646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30.215428632779158</v>
      </c>
      <c r="DG48" s="21">
        <f>EXP(-LN(2)/25)*DG47+(1-EXP(-LN(2)/25))/(LN(2)/25)*Calculateur!DB48*Calculateur!DD48*VLOOKUP('Données projet'!$B$13,Paramètres!$A$1:$I$89,3,0)*0.475*44/12</f>
        <v>18.935654921904764</v>
      </c>
      <c r="DH48" s="21">
        <f>EXP(-LN(2)/2)*DH47+(1-EXP(-LN(2)/2))/(LN(2)/2)*DB48*DE48*VLOOKUP('Données projet'!$B$13,Paramètres!$A$1:$I$89,3,0)*0.475*44/12</f>
        <v>2.0675009113589975</v>
      </c>
      <c r="DI48" s="22">
        <f t="shared" si="15"/>
        <v>51.21858446604292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15.618681318681309</v>
      </c>
      <c r="DO48" s="12">
        <f>IF('Données projet'!$A$166&gt;35,DO47+DN48-DW47,IF(A48&lt;'Données projet'!$A$166,$DL$205^A48,IF(A48='Données projet'!$A$166,'Données projet'!$B$166,DO47+DN48-DW47)))</f>
        <v>277.37912087912099</v>
      </c>
      <c r="DP48" s="17">
        <f>DO48*VLOOKUP('Données projet'!$B$14,Paramètres!$A$1:$I$89,3,0)*VLOOKUP('Données projet'!$B$14,Paramètres!$A$1:$I$89,5,0)</f>
        <v>129.81342857142863</v>
      </c>
      <c r="DQ48" s="13">
        <f t="shared" si="43"/>
        <v>33.953244550224326</v>
      </c>
      <c r="DR48" s="20">
        <f t="shared" si="16"/>
        <v>285.22695568687891</v>
      </c>
      <c r="DS48" s="59">
        <f t="shared" si="17"/>
        <v>578.56028902021217</v>
      </c>
      <c r="DT48" s="59">
        <f ca="1">AVERAGE(OFFSET($DS$3,0,0,'Données projet'!$E$14+1,1))-AVERAGE(OFFSET($H$3,0,0,'Données projet'!$E$14+1,1))</f>
        <v>207.25176714718668</v>
      </c>
      <c r="DU48" s="59">
        <f t="shared" si="44"/>
        <v>191.53228014642559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31.520211498030044</v>
      </c>
      <c r="EC48" s="21">
        <f>EXP(-LN(2)/2)*EC47+(1-EXP(-LN(2)/2))/(LN(2)/2)*DW48*DZ48*VLOOKUP('Données projet'!$B$14,Paramètres!$A$1:$I$89,3,0)*0.475*44/12</f>
        <v>14.824847336936083</v>
      </c>
      <c r="ED48" s="22">
        <f t="shared" si="18"/>
        <v>46.345058834966125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11.642307692307696</v>
      </c>
      <c r="EJ48" s="12">
        <f>IF('Données projet'!$A$192&gt;35,EJ47+EI48-ER47,IF(A48&lt;'Données projet'!$A$192,$EG$205^A48,IF(A48='Données projet'!$A$192,'Données projet'!$B$192,EJ47+EI48-ER47)))</f>
        <v>250.31923076923067</v>
      </c>
      <c r="EK48" s="17">
        <f>EJ48*VLOOKUP('Données projet'!$B$15,Paramètres!$A$1:$I$89,3,0)*VLOOKUP('Données projet'!$B$15,Paramètres!$A$1:$I$89,5,0)</f>
        <v>149.69089999999994</v>
      </c>
      <c r="EL48" s="13">
        <f t="shared" si="45"/>
        <v>38.508333105793902</v>
      </c>
      <c r="EM48" s="20">
        <f t="shared" si="19"/>
        <v>327.7803309925909</v>
      </c>
      <c r="EN48" s="59">
        <f t="shared" si="20"/>
        <v>621.11366432592422</v>
      </c>
      <c r="EO48" s="59">
        <f ca="1">AVERAGE(OFFSET($EN$3,0,0,'Données projet'!$E$15+1,1))-AVERAGE(OFFSET($H$3,0,0,'Données projet'!$E$15+1,1))</f>
        <v>200.15574321350221</v>
      </c>
      <c r="EP48" s="59">
        <f t="shared" si="46"/>
        <v>200.70728852570426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37.968904443218349</v>
      </c>
      <c r="EW48" s="21">
        <f>EXP(-LN(2)/25)*EW47+(1-EXP(-LN(2)/25))/(LN(2)/25)*Calculateur!ER48*Calculateur!ET48*VLOOKUP('Données projet'!$B$15,Paramètres!$A$1:$I$89,3,0)*0.475*44/12</f>
        <v>18.286883553456466</v>
      </c>
      <c r="EX48" s="21">
        <f>EXP(-LN(2)/2)*EX47+(1-EXP(-LN(2)/2))/(LN(2)/2)*ER48*EU48*VLOOKUP('Données projet'!$B$15,Paramètres!$A$1:$I$89,3,0)*0.475*44/12</f>
        <v>4.354990007349488</v>
      </c>
      <c r="EY48" s="22">
        <f t="shared" si="21"/>
        <v>60.610778004024297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9.3452380952380913</v>
      </c>
      <c r="FE48" s="12">
        <f>IF('Données projet'!$A$218&gt;35,FE47+FD48-FM47,IF(A48&lt;'Données projet'!$A$218,$FB$205^A48,IF(A48='Données projet'!$A$218,'Données projet'!$B$218,FE47+FD48-FM47)))</f>
        <v>156.3168498168499</v>
      </c>
      <c r="FF48" s="17">
        <f>FE48*VLOOKUP('Données projet'!$B$16,Paramètres!$A$1:$I$89,3,0)*VLOOKUP('Données projet'!$B$16,Paramètres!$A$1:$I$89,5,0)</f>
        <v>168.25945714285723</v>
      </c>
      <c r="FG48" s="13">
        <f t="shared" si="47"/>
        <v>42.699966707601483</v>
      </c>
      <c r="FH48" s="20">
        <f t="shared" si="22"/>
        <v>367.42099653954892</v>
      </c>
      <c r="FI48" s="59">
        <f t="shared" si="23"/>
        <v>660.75432987288218</v>
      </c>
      <c r="FJ48" s="59">
        <f ca="1">AVERAGE(OFFSET($FI$3,0,0,'Données projet'!$E$16+1,1))-AVERAGE(OFFSET($H$3,0,0,'Données projet'!$E$16+1,1))</f>
        <v>347.17049316703486</v>
      </c>
      <c r="FK48" s="59">
        <f t="shared" si="48"/>
        <v>255.45365487683489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7">
        <f t="shared" si="1"/>
        <v>342.91606441528018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266.02599413192075</v>
      </c>
      <c r="T49" s="59">
        <f t="shared" si="34"/>
        <v>332.94146254783254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9.3452380952380913</v>
      </c>
      <c r="AI49" s="13">
        <f>IF('Données projet'!$A$62&gt;35,AI48+AH49-AQ48,IF(A49&lt;'Données projet'!$A$62,$AF$205^A49,IF(A49='Données projet'!$A$62,'Données projet'!$B$62,AI48+AH49-AQ48)))</f>
        <v>165.662087912088</v>
      </c>
      <c r="AJ49" s="13">
        <f>AI49*VLOOKUP('Données projet'!$B$10,Paramètres!$A$1:$I$89,3,0)*VLOOKUP('Données projet'!$B$10,Paramètres!$A$1:$I$89,5,0)</f>
        <v>149.89105714285722</v>
      </c>
      <c r="AK49" s="13">
        <f t="shared" si="35"/>
        <v>38.553826918856579</v>
      </c>
      <c r="AL49" s="20">
        <f t="shared" si="4"/>
        <v>328.20817307415149</v>
      </c>
      <c r="AM49" s="59">
        <f t="shared" si="5"/>
        <v>621.5415064074848</v>
      </c>
      <c r="AN49" s="59">
        <f ca="1">AVERAGE(OFFSET($AM$3,0,0,'Données projet'!$E$10+1,1))-AVERAGE(OFFSET($H$3,0,0,'Données projet'!$E$10+1,1))</f>
        <v>282.13645166362238</v>
      </c>
      <c r="AO49" s="59">
        <f t="shared" si="36"/>
        <v>210.5345332979457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17.519780219780223</v>
      </c>
      <c r="BD49" s="12">
        <f>IF('Données projet'!$A$88&gt;35,BD48+BC49-BL48,IF(A49&lt;'Données projet'!$A$88,$BA$205^A49,IF(A49='Données projet'!$A$88,'Données projet'!$B$88,BD48+BC49-BL48)))</f>
        <v>352.00989010989014</v>
      </c>
      <c r="BE49" s="13">
        <f>BD49*VLOOKUP('Données projet'!$B$11,Paramètres!$A$1:$I$89,3,0)*VLOOKUP('Données projet'!$B$11,Paramètres!$A$1:$I$89,5,0)</f>
        <v>196.77352857142859</v>
      </c>
      <c r="BF49" s="13">
        <f t="shared" si="37"/>
        <v>49.034417171503861</v>
      </c>
      <c r="BG49" s="20">
        <f t="shared" si="7"/>
        <v>428.11550550227395</v>
      </c>
      <c r="BH49" s="59">
        <f t="shared" si="8"/>
        <v>721.44883883560726</v>
      </c>
      <c r="BI49" s="59">
        <f ca="1">AVERAGE(OFFSET($BH$3,0,0,'Données projet'!$E$11+1,1))-AVERAGE(OFFSET($H$3,0,0,'Données projet'!$E$11+1,1))</f>
        <v>254.6443970237226</v>
      </c>
      <c r="BJ49" s="59">
        <f t="shared" si="38"/>
        <v>231.81667808018062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37.464284346939067</v>
      </c>
      <c r="BQ49" s="21">
        <f>EXP(-LN(2)/25)*BQ48+(1-EXP(-LN(2)/25))/(LN(2)/25)*Calculateur!BL49*Calculateur!BN49*VLOOKUP('Données projet'!$B$11,Paramètres!$A$1:$I$89,3,0)*0.475*44/12</f>
        <v>23.29317391229841</v>
      </c>
      <c r="BR49" s="21">
        <f>EXP(-LN(2)/2)*BR48+(1-EXP(-LN(2)/2))/(LN(2)/2)*BL49*BO49*VLOOKUP('Données projet'!$B$11,Paramètres!$A$1:$I$89,3,0)*0.475*44/12</f>
        <v>1.8489290683778388</v>
      </c>
      <c r="BS49" s="22">
        <f t="shared" si="9"/>
        <v>62.606387327615323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6.826007326007324</v>
      </c>
      <c r="BY49" s="12">
        <f>IF('Données projet'!$A$114&gt;35,BY48+BX49-CG48,IF(A49&lt;'Données projet'!$A$114,$BV$205^A49,IF(A49='Données projet'!$A$114,'Données projet'!$B$114,BY48+BX49-CG48)))</f>
        <v>111.65842490842485</v>
      </c>
      <c r="BZ49" s="13">
        <f>BY49*VLOOKUP('Données projet'!$B$12,Paramètres!$A$1:$I$89,3,0)*VLOOKUP('Données projet'!$B$12,Paramètres!$A$1:$I$89,5,0)</f>
        <v>113.2216428571428</v>
      </c>
      <c r="CA49" s="13">
        <f t="shared" si="39"/>
        <v>30.088748821593761</v>
      </c>
      <c r="CB49" s="20">
        <f t="shared" si="10"/>
        <v>249.59893217379951</v>
      </c>
      <c r="CC49" s="59">
        <f t="shared" si="11"/>
        <v>542.9322655071328</v>
      </c>
      <c r="CD49" s="59">
        <f ca="1">AVERAGE(OFFSET($CC$3,0,0,'Données projet'!$E$12+1,1))-AVERAGE(OFFSET($H$3,0,0,'Données projet'!$E$12+1,1))</f>
        <v>264.08050363622294</v>
      </c>
      <c r="CE49" s="59">
        <f t="shared" si="40"/>
        <v>164.48884512322883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17.519780219780223</v>
      </c>
      <c r="CT49" s="12">
        <f>IF('Données projet'!$A$140&gt;35,CT48+CS49-DB48,IF(A49&lt;'Données projet'!$A$140,$CQ$205^A49,IF(A49='Données projet'!$A$140,'Données projet'!$B$140,CT48+CS49-DB48)))</f>
        <v>352.00989010989014</v>
      </c>
      <c r="CU49" s="17">
        <f>CT49*VLOOKUP('Données projet'!$B$13,Paramètres!$A$1:$I$89,3,0)*VLOOKUP('Données projet'!$B$13,Paramètres!$A$1:$I$89,5,0)</f>
        <v>155.58837142857143</v>
      </c>
      <c r="CV49" s="13">
        <f t="shared" si="41"/>
        <v>39.845846845893483</v>
      </c>
      <c r="CW49" s="20">
        <f t="shared" si="13"/>
        <v>340.38126349469303</v>
      </c>
      <c r="CX49" s="59">
        <f t="shared" si="14"/>
        <v>633.71459682802629</v>
      </c>
      <c r="CY49" s="59">
        <f ca="1">AVERAGE(OFFSET($CX$3,0,0,'Données projet'!$E$13+1,1))-AVERAGE(OFFSET($H$3,0,0,'Données projet'!$E$13+1,1))</f>
        <v>194.7221767407824</v>
      </c>
      <c r="CZ49" s="59">
        <f t="shared" si="42"/>
        <v>177.6550559568646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29.622922506882055</v>
      </c>
      <c r="DG49" s="21">
        <f>EXP(-LN(2)/25)*DG48+(1-EXP(-LN(2)/25))/(LN(2)/25)*Calculateur!DB49*Calculateur!DD49*VLOOKUP('Données projet'!$B$13,Paramètres!$A$1:$I$89,3,0)*0.475*44/12</f>
        <v>18.417858442282462</v>
      </c>
      <c r="DH49" s="21">
        <f>EXP(-LN(2)/2)*DH48+(1-EXP(-LN(2)/2))/(LN(2)/2)*DB49*DE49*VLOOKUP('Données projet'!$B$13,Paramètres!$A$1:$I$89,3,0)*0.475*44/12</f>
        <v>1.4619439145313142</v>
      </c>
      <c r="DI49" s="22">
        <f t="shared" si="15"/>
        <v>49.502724863695825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15.618681318681309</v>
      </c>
      <c r="DO49" s="12">
        <f>IF('Données projet'!$A$166&gt;35,DO48+DN49-DW48,IF(A49&lt;'Données projet'!$A$166,$DL$205^A49,IF(A49='Données projet'!$A$166,'Données projet'!$B$166,DO48+DN49-DW48)))</f>
        <v>292.99780219780229</v>
      </c>
      <c r="DP49" s="17">
        <f>DO49*VLOOKUP('Données projet'!$B$14,Paramètres!$A$1:$I$89,3,0)*VLOOKUP('Données projet'!$B$14,Paramètres!$A$1:$I$89,5,0)</f>
        <v>137.12297142857147</v>
      </c>
      <c r="DQ49" s="13">
        <f t="shared" si="43"/>
        <v>35.63712427284996</v>
      </c>
      <c r="DR49" s="20">
        <f t="shared" si="16"/>
        <v>300.89050001330901</v>
      </c>
      <c r="DS49" s="59">
        <f t="shared" si="17"/>
        <v>594.22383334664232</v>
      </c>
      <c r="DT49" s="59">
        <f ca="1">AVERAGE(OFFSET($DS$3,0,0,'Données projet'!$E$14+1,1))-AVERAGE(OFFSET($H$3,0,0,'Données projet'!$E$14+1,1))</f>
        <v>207.25176714718668</v>
      </c>
      <c r="DU49" s="59">
        <f t="shared" si="44"/>
        <v>191.53228014642559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30.65828965704053</v>
      </c>
      <c r="EC49" s="21">
        <f>EXP(-LN(2)/2)*EC48+(1-EXP(-LN(2)/2))/(LN(2)/2)*DW49*DZ49*VLOOKUP('Données projet'!$B$14,Paramètres!$A$1:$I$89,3,0)*0.475*44/12</f>
        <v>10.482750082002836</v>
      </c>
      <c r="ED49" s="22">
        <f t="shared" si="18"/>
        <v>41.141039739043364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11.642307692307696</v>
      </c>
      <c r="EJ49" s="12">
        <f>IF('Données projet'!$A$192&gt;35,EJ48+EI49-ER48,IF(A49&lt;'Données projet'!$A$192,$EG$205^A49,IF(A49='Données projet'!$A$192,'Données projet'!$B$192,EJ48+EI49-ER48)))</f>
        <v>261.96153846153834</v>
      </c>
      <c r="EK49" s="17">
        <f>EJ49*VLOOKUP('Données projet'!$B$15,Paramètres!$A$1:$I$89,3,0)*VLOOKUP('Données projet'!$B$15,Paramètres!$A$1:$I$89,5,0)</f>
        <v>156.65299999999993</v>
      </c>
      <c r="EL49" s="13">
        <f t="shared" si="45"/>
        <v>40.0866638793565</v>
      </c>
      <c r="EM49" s="20">
        <f t="shared" si="19"/>
        <v>342.65491458987913</v>
      </c>
      <c r="EN49" s="59">
        <f t="shared" si="20"/>
        <v>635.98824792321238</v>
      </c>
      <c r="EO49" s="59">
        <f ca="1">AVERAGE(OFFSET($EN$3,0,0,'Données projet'!$E$15+1,1))-AVERAGE(OFFSET($H$3,0,0,'Données projet'!$E$15+1,1))</f>
        <v>200.15574321350221</v>
      </c>
      <c r="EP49" s="59">
        <f t="shared" si="46"/>
        <v>200.70728852570426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37.224357385831809</v>
      </c>
      <c r="EW49" s="21">
        <f>EXP(-LN(2)/25)*EW48+(1-EXP(-LN(2)/25))/(LN(2)/25)*Calculateur!ER49*Calculateur!ET49*VLOOKUP('Données projet'!$B$15,Paramètres!$A$1:$I$89,3,0)*0.475*44/12</f>
        <v>17.786827761021787</v>
      </c>
      <c r="EX49" s="21">
        <f>EXP(-LN(2)/2)*EX48+(1-EXP(-LN(2)/2))/(LN(2)/2)*ER49*EU49*VLOOKUP('Données projet'!$B$15,Paramètres!$A$1:$I$89,3,0)*0.475*44/12</f>
        <v>3.0794429661964755</v>
      </c>
      <c r="EY49" s="22">
        <f t="shared" si="21"/>
        <v>58.090628113050066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9.3452380952380913</v>
      </c>
      <c r="FE49" s="12">
        <f>IF('Données projet'!$A$218&gt;35,FE48+FD49-FM48,IF(A49&lt;'Données projet'!$A$218,$FB$205^A49,IF(A49='Données projet'!$A$218,'Données projet'!$B$218,FE48+FD49-FM48)))</f>
        <v>165.662087912088</v>
      </c>
      <c r="FF49" s="17">
        <f>FE49*VLOOKUP('Données projet'!$B$16,Paramètres!$A$1:$I$89,3,0)*VLOOKUP('Données projet'!$B$16,Paramètres!$A$1:$I$89,5,0)</f>
        <v>178.31867142857152</v>
      </c>
      <c r="FG49" s="13">
        <f t="shared" si="47"/>
        <v>44.947917473101633</v>
      </c>
      <c r="FH49" s="20">
        <f t="shared" si="22"/>
        <v>388.85597567041401</v>
      </c>
      <c r="FI49" s="59">
        <f t="shared" si="23"/>
        <v>682.18930900374733</v>
      </c>
      <c r="FJ49" s="59">
        <f ca="1">AVERAGE(OFFSET($FI$3,0,0,'Données projet'!$E$16+1,1))-AVERAGE(OFFSET($H$3,0,0,'Données projet'!$E$16+1,1))</f>
        <v>347.17049316703486</v>
      </c>
      <c r="FK49" s="59">
        <f t="shared" si="48"/>
        <v>255.45365487683489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7">
        <f t="shared" si="1"/>
        <v>343.96307021592793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266.02599413192075</v>
      </c>
      <c r="T50" s="59">
        <f t="shared" si="34"/>
        <v>332.94146254783254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9.3452380952380913</v>
      </c>
      <c r="AI50" s="13">
        <f>IF('Données projet'!$A$62&gt;35,AI49+AH50-AQ49,IF(A50&lt;'Données projet'!$A$62,$AF$205^A50,IF(A50='Données projet'!$A$62,'Données projet'!$B$62,AI49+AH50-AQ49)))</f>
        <v>175.0073260073261</v>
      </c>
      <c r="AJ50" s="13">
        <f>AI50*VLOOKUP('Données projet'!$B$10,Paramètres!$A$1:$I$89,3,0)*VLOOKUP('Données projet'!$B$10,Paramètres!$A$1:$I$89,5,0)</f>
        <v>158.34662857142865</v>
      </c>
      <c r="AK50" s="13">
        <f t="shared" si="35"/>
        <v>40.469367717876509</v>
      </c>
      <c r="AL50" s="20">
        <f t="shared" si="4"/>
        <v>346.2711935372065</v>
      </c>
      <c r="AM50" s="59">
        <f t="shared" si="5"/>
        <v>639.60452687053976</v>
      </c>
      <c r="AN50" s="59">
        <f ca="1">AVERAGE(OFFSET($AM$3,0,0,'Données projet'!$E$10+1,1))-AVERAGE(OFFSET($H$3,0,0,'Données projet'!$E$10+1,1))</f>
        <v>282.13645166362238</v>
      </c>
      <c r="AO50" s="59">
        <f t="shared" si="36"/>
        <v>210.5345332979457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17.519780219780223</v>
      </c>
      <c r="BD50" s="12">
        <f>IF('Données projet'!$A$88&gt;35,BD49+BC50-BL49,IF(A50&lt;'Données projet'!$A$88,$BA$205^A50,IF(A50='Données projet'!$A$88,'Données projet'!$B$88,BD49+BC50-BL49)))</f>
        <v>369.52967032967035</v>
      </c>
      <c r="BE50" s="13">
        <f>BD50*VLOOKUP('Données projet'!$B$11,Paramètres!$A$1:$I$89,3,0)*VLOOKUP('Données projet'!$B$11,Paramètres!$A$1:$I$89,5,0)</f>
        <v>206.56708571428572</v>
      </c>
      <c r="BF50" s="13">
        <f t="shared" si="37"/>
        <v>51.184689450990696</v>
      </c>
      <c r="BG50" s="20">
        <f t="shared" si="7"/>
        <v>448.91767507952301</v>
      </c>
      <c r="BH50" s="59">
        <f t="shared" si="8"/>
        <v>742.25100841285632</v>
      </c>
      <c r="BI50" s="59">
        <f ca="1">AVERAGE(OFFSET($BH$3,0,0,'Données projet'!$E$11+1,1))-AVERAGE(OFFSET($H$3,0,0,'Données projet'!$E$11+1,1))</f>
        <v>254.6443970237226</v>
      </c>
      <c r="BJ50" s="59">
        <f t="shared" si="38"/>
        <v>231.81667808018062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36.729632581852698</v>
      </c>
      <c r="BQ50" s="21">
        <f>EXP(-LN(2)/25)*BQ49+(1-EXP(-LN(2)/25))/(LN(2)/25)*Calculateur!BL50*Calculateur!BN50*VLOOKUP('Données projet'!$B$11,Paramètres!$A$1:$I$89,3,0)*0.475*44/12</f>
        <v>22.656220846731831</v>
      </c>
      <c r="BR50" s="21">
        <f>EXP(-LN(2)/2)*BR49+(1-EXP(-LN(2)/2))/(LN(2)/2)*BL50*BO50*VLOOKUP('Données projet'!$B$11,Paramètres!$A$1:$I$89,3,0)*0.475*44/12</f>
        <v>1.3073902821828958</v>
      </c>
      <c r="BS50" s="22">
        <f t="shared" si="9"/>
        <v>60.693243710767419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6.826007326007324</v>
      </c>
      <c r="BY50" s="12">
        <f>IF('Données projet'!$A$114&gt;35,BY49+BX50-CG49,IF(A50&lt;'Données projet'!$A$114,$BV$205^A50,IF(A50='Données projet'!$A$114,'Données projet'!$B$114,BY49+BX50-CG49)))</f>
        <v>118.48443223443218</v>
      </c>
      <c r="BZ50" s="13">
        <f>BY50*VLOOKUP('Données projet'!$B$12,Paramètres!$A$1:$I$89,3,0)*VLOOKUP('Données projet'!$B$12,Paramètres!$A$1:$I$89,5,0)</f>
        <v>120.14321428571424</v>
      </c>
      <c r="CA50" s="13">
        <f t="shared" si="39"/>
        <v>31.708399355356544</v>
      </c>
      <c r="CB50" s="20">
        <f t="shared" si="10"/>
        <v>264.47489375819822</v>
      </c>
      <c r="CC50" s="59">
        <f t="shared" si="11"/>
        <v>557.80822709153153</v>
      </c>
      <c r="CD50" s="59">
        <f ca="1">AVERAGE(OFFSET($CC$3,0,0,'Données projet'!$E$12+1,1))-AVERAGE(OFFSET($H$3,0,0,'Données projet'!$E$12+1,1))</f>
        <v>264.08050363622294</v>
      </c>
      <c r="CE50" s="59">
        <f t="shared" si="40"/>
        <v>164.48884512322883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17.519780219780223</v>
      </c>
      <c r="CT50" s="12">
        <f>IF('Données projet'!$A$140&gt;35,CT49+CS50-DB49,IF(A50&lt;'Données projet'!$A$140,$CQ$205^A50,IF(A50='Données projet'!$A$140,'Données projet'!$B$140,CT49+CS50-DB49)))</f>
        <v>369.52967032967035</v>
      </c>
      <c r="CU50" s="17">
        <f>CT50*VLOOKUP('Données projet'!$B$13,Paramètres!$A$1:$I$89,3,0)*VLOOKUP('Données projet'!$B$13,Paramètres!$A$1:$I$89,5,0)</f>
        <v>163.33211428571431</v>
      </c>
      <c r="CV50" s="13">
        <f t="shared" si="41"/>
        <v>41.593179125294846</v>
      </c>
      <c r="CW50" s="20">
        <f t="shared" si="13"/>
        <v>356.91155269084101</v>
      </c>
      <c r="CX50" s="59">
        <f t="shared" si="14"/>
        <v>650.24488602417432</v>
      </c>
      <c r="CY50" s="59">
        <f ca="1">AVERAGE(OFFSET($CX$3,0,0,'Données projet'!$E$13+1,1))-AVERAGE(OFFSET($H$3,0,0,'Données projet'!$E$13+1,1))</f>
        <v>194.7221767407824</v>
      </c>
      <c r="CZ50" s="59">
        <f t="shared" si="42"/>
        <v>177.6550559568646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29.042035064720743</v>
      </c>
      <c r="DG50" s="21">
        <f>EXP(-LN(2)/25)*DG49+(1-EXP(-LN(2)/25))/(LN(2)/25)*Calculateur!DB50*Calculateur!DD50*VLOOKUP('Données projet'!$B$13,Paramètres!$A$1:$I$89,3,0)*0.475*44/12</f>
        <v>17.914221134625166</v>
      </c>
      <c r="DH50" s="21">
        <f>EXP(-LN(2)/2)*DH49+(1-EXP(-LN(2)/2))/(LN(2)/2)*DB50*DE50*VLOOKUP('Données projet'!$B$13,Paramètres!$A$1:$I$89,3,0)*0.475*44/12</f>
        <v>1.0337504556794987</v>
      </c>
      <c r="DI50" s="22">
        <f t="shared" si="15"/>
        <v>47.990006655025404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15.618681318681309</v>
      </c>
      <c r="DO50" s="12">
        <f>IF('Données projet'!$A$166&gt;35,DO49+DN50-DW49,IF(A50&lt;'Données projet'!$A$166,$DL$205^A50,IF(A50='Données projet'!$A$166,'Données projet'!$B$166,DO49+DN50-DW49)))</f>
        <v>308.61648351648358</v>
      </c>
      <c r="DP50" s="17">
        <f>DO50*VLOOKUP('Données projet'!$B$14,Paramètres!$A$1:$I$89,3,0)*VLOOKUP('Données projet'!$B$14,Paramètres!$A$1:$I$89,5,0)</f>
        <v>144.43251428571432</v>
      </c>
      <c r="DQ50" s="13">
        <f t="shared" si="43"/>
        <v>37.310582871696397</v>
      </c>
      <c r="DR50" s="20">
        <f t="shared" si="16"/>
        <v>316.5358942158237</v>
      </c>
      <c r="DS50" s="59">
        <f t="shared" si="17"/>
        <v>609.86922754915702</v>
      </c>
      <c r="DT50" s="59">
        <f ca="1">AVERAGE(OFFSET($DS$3,0,0,'Données projet'!$E$14+1,1))-AVERAGE(OFFSET($H$3,0,0,'Données projet'!$E$14+1,1))</f>
        <v>207.25176714718668</v>
      </c>
      <c r="DU50" s="59">
        <f t="shared" si="44"/>
        <v>191.53228014642559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29.819937114119373</v>
      </c>
      <c r="EC50" s="21">
        <f>EXP(-LN(2)/2)*EC49+(1-EXP(-LN(2)/2))/(LN(2)/2)*DW50*DZ50*VLOOKUP('Données projet'!$B$14,Paramètres!$A$1:$I$89,3,0)*0.475*44/12</f>
        <v>7.4124236684680431</v>
      </c>
      <c r="ED50" s="22">
        <f t="shared" si="18"/>
        <v>37.232360782587413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11.642307692307696</v>
      </c>
      <c r="EJ50" s="12">
        <f>IF('Données projet'!$A$192&gt;35,EJ49+EI50-ER49,IF(A50&lt;'Données projet'!$A$192,$EG$205^A50,IF(A50='Données projet'!$A$192,'Données projet'!$B$192,EJ49+EI50-ER49)))</f>
        <v>273.60384615384601</v>
      </c>
      <c r="EK50" s="17">
        <f>EJ50*VLOOKUP('Données projet'!$B$15,Paramètres!$A$1:$I$89,3,0)*VLOOKUP('Données projet'!$B$15,Paramètres!$A$1:$I$89,5,0)</f>
        <v>163.61509999999993</v>
      </c>
      <c r="EL50" s="13">
        <f t="shared" si="45"/>
        <v>41.656847972292042</v>
      </c>
      <c r="EM50" s="20">
        <f t="shared" si="19"/>
        <v>357.51530938507517</v>
      </c>
      <c r="EN50" s="59">
        <f t="shared" si="20"/>
        <v>650.84864271840843</v>
      </c>
      <c r="EO50" s="59">
        <f ca="1">AVERAGE(OFFSET($EN$3,0,0,'Données projet'!$E$15+1,1))-AVERAGE(OFFSET($H$3,0,0,'Données projet'!$E$15+1,1))</f>
        <v>200.15574321350221</v>
      </c>
      <c r="EP50" s="59">
        <f t="shared" si="46"/>
        <v>200.70728852570426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36.494410442111757</v>
      </c>
      <c r="EW50" s="21">
        <f>EXP(-LN(2)/25)*EW49+(1-EXP(-LN(2)/25))/(LN(2)/25)*Calculateur!ER50*Calculateur!ET50*VLOOKUP('Données projet'!$B$15,Paramètres!$A$1:$I$89,3,0)*0.475*44/12</f>
        <v>17.300446020528025</v>
      </c>
      <c r="EX50" s="21">
        <f>EXP(-LN(2)/2)*EX49+(1-EXP(-LN(2)/2))/(LN(2)/2)*ER50*EU50*VLOOKUP('Données projet'!$B$15,Paramètres!$A$1:$I$89,3,0)*0.475*44/12</f>
        <v>2.177495003674744</v>
      </c>
      <c r="EY50" s="22">
        <f t="shared" si="21"/>
        <v>55.972351466314528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9.3452380952380913</v>
      </c>
      <c r="FE50" s="12">
        <f>IF('Données projet'!$A$218&gt;35,FE49+FD50-FM49,IF(A50&lt;'Données projet'!$A$218,$FB$205^A50,IF(A50='Données projet'!$A$218,'Données projet'!$B$218,FE49+FD50-FM49)))</f>
        <v>175.0073260073261</v>
      </c>
      <c r="FF50" s="17">
        <f>FE50*VLOOKUP('Données projet'!$B$16,Paramètres!$A$1:$I$89,3,0)*VLOOKUP('Données projet'!$B$16,Paramètres!$A$1:$I$89,5,0)</f>
        <v>188.37788571428581</v>
      </c>
      <c r="FG50" s="13">
        <f t="shared" si="47"/>
        <v>47.181147651053102</v>
      </c>
      <c r="FH50" s="20">
        <f t="shared" si="22"/>
        <v>410.26531644463194</v>
      </c>
      <c r="FI50" s="59">
        <f t="shared" si="23"/>
        <v>703.59864977796519</v>
      </c>
      <c r="FJ50" s="59">
        <f ca="1">AVERAGE(OFFSET($FI$3,0,0,'Données projet'!$E$16+1,1))-AVERAGE(OFFSET($H$3,0,0,'Données projet'!$E$16+1,1))</f>
        <v>347.17049316703486</v>
      </c>
      <c r="FK50" s="59">
        <f t="shared" si="48"/>
        <v>255.45365487683489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7">
        <f t="shared" si="1"/>
        <v>345.00950234451977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266.02599413192075</v>
      </c>
      <c r="T51" s="59">
        <f t="shared" si="34"/>
        <v>332.94146254783254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184.35256410256409</v>
      </c>
      <c r="AG51" s="12">
        <f>VLOOKUP(A51,'Données projet'!$A$61:$I$81,9,0)</f>
        <v>9.3452380952380913</v>
      </c>
      <c r="AH51" s="12">
        <f t="array" ref="AH51">INDEX(AG:AG,MIN(IF(ISNUMBER(AG51:AG247),ROW(AG51:AG247),"")))</f>
        <v>9.3452380952380913</v>
      </c>
      <c r="AI51" s="13">
        <f>IF('Données projet'!$A$62&gt;35,AI50+AH51-AQ50,IF(A51&lt;'Données projet'!$A$62,$AF$205^A51,IF(A51='Données projet'!$A$62,'Données projet'!$B$62,AI50+AH51-AQ50)))</f>
        <v>184.3525641025642</v>
      </c>
      <c r="AJ51" s="13">
        <f>AI51*VLOOKUP('Données projet'!$B$10,Paramètres!$A$1:$I$89,3,0)*VLOOKUP('Données projet'!$B$10,Paramètres!$A$1:$I$89,5,0)</f>
        <v>166.80220000000008</v>
      </c>
      <c r="AK51" s="13">
        <f t="shared" si="35"/>
        <v>42.373033138688463</v>
      </c>
      <c r="AL51" s="20">
        <f t="shared" si="4"/>
        <v>364.31353104988256</v>
      </c>
      <c r="AM51" s="59">
        <f t="shared" si="5"/>
        <v>657.64686438321587</v>
      </c>
      <c r="AN51" s="59">
        <f ca="1">AVERAGE(OFFSET($AM$3,0,0,'Données projet'!$E$10+1,1))-AVERAGE(OFFSET($H$3,0,0,'Données projet'!$E$10+1,1))</f>
        <v>282.13645166362238</v>
      </c>
      <c r="AO51" s="59">
        <f t="shared" si="36"/>
        <v>210.5345332979457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48.025641025641022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17.519780219780223</v>
      </c>
      <c r="BD51" s="12">
        <f>IF('Données projet'!$A$88&gt;35,BD50+BC51-BL50,IF(A51&lt;'Données projet'!$A$88,$BA$205^A51,IF(A51='Données projet'!$A$88,'Données projet'!$B$88,BD50+BC51-BL50)))</f>
        <v>387.04945054945057</v>
      </c>
      <c r="BE51" s="13">
        <f>BD51*VLOOKUP('Données projet'!$B$11,Paramètres!$A$1:$I$89,3,0)*VLOOKUP('Données projet'!$B$11,Paramètres!$A$1:$I$89,5,0)</f>
        <v>216.36064285714286</v>
      </c>
      <c r="BF51" s="13">
        <f t="shared" si="37"/>
        <v>53.323123145592824</v>
      </c>
      <c r="BG51" s="20">
        <f t="shared" si="7"/>
        <v>469.69922578809798</v>
      </c>
      <c r="BH51" s="59">
        <f t="shared" si="8"/>
        <v>763.03255912143129</v>
      </c>
      <c r="BI51" s="59">
        <f ca="1">AVERAGE(OFFSET($BH$3,0,0,'Données projet'!$E$11+1,1))-AVERAGE(OFFSET($H$3,0,0,'Données projet'!$E$11+1,1))</f>
        <v>254.6443970237226</v>
      </c>
      <c r="BJ51" s="59">
        <f t="shared" si="38"/>
        <v>231.81667808018062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36.009386889786342</v>
      </c>
      <c r="BQ51" s="21">
        <f>EXP(-LN(2)/25)*BQ50+(1-EXP(-LN(2)/25))/(LN(2)/25)*Calculateur!BL51*Calculateur!BN51*VLOOKUP('Données projet'!$B$11,Paramètres!$A$1:$I$89,3,0)*0.475*44/12</f>
        <v>22.036685296239074</v>
      </c>
      <c r="BR51" s="21">
        <f>EXP(-LN(2)/2)*BR50+(1-EXP(-LN(2)/2))/(LN(2)/2)*BL51*BO51*VLOOKUP('Données projet'!$B$11,Paramètres!$A$1:$I$89,3,0)*0.475*44/12</f>
        <v>0.92446453418891961</v>
      </c>
      <c r="BS51" s="22">
        <f t="shared" si="9"/>
        <v>58.970536720214334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6.826007326007324</v>
      </c>
      <c r="BY51" s="12">
        <f>IF('Données projet'!$A$114&gt;35,BY50+BX51-CG50,IF(A51&lt;'Données projet'!$A$114,$BV$205^A51,IF(A51='Données projet'!$A$114,'Données projet'!$B$114,BY50+BX51-CG50)))</f>
        <v>125.31043956043951</v>
      </c>
      <c r="BZ51" s="13">
        <f>BY51*VLOOKUP('Données projet'!$B$12,Paramètres!$A$1:$I$89,3,0)*VLOOKUP('Données projet'!$B$12,Paramètres!$A$1:$I$89,5,0)</f>
        <v>127.06478571428566</v>
      </c>
      <c r="CA51" s="13">
        <f t="shared" si="39"/>
        <v>33.317218652426654</v>
      </c>
      <c r="CB51" s="20">
        <f t="shared" si="10"/>
        <v>279.33199093869058</v>
      </c>
      <c r="CC51" s="59">
        <f t="shared" si="11"/>
        <v>572.66532427202389</v>
      </c>
      <c r="CD51" s="59">
        <f ca="1">AVERAGE(OFFSET($CC$3,0,0,'Données projet'!$E$12+1,1))-AVERAGE(OFFSET($H$3,0,0,'Données projet'!$E$12+1,1))</f>
        <v>264.08050363622294</v>
      </c>
      <c r="CE51" s="59">
        <f t="shared" si="40"/>
        <v>164.48884512322883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17.519780219780223</v>
      </c>
      <c r="CT51" s="12">
        <f>IF('Données projet'!$A$140&gt;35,CT50+CS51-DB50,IF(A51&lt;'Données projet'!$A$140,$CQ$205^A51,IF(A51='Données projet'!$A$140,'Données projet'!$B$140,CT50+CS51-DB50)))</f>
        <v>387.04945054945057</v>
      </c>
      <c r="CU51" s="17">
        <f>CT51*VLOOKUP('Données projet'!$B$13,Paramètres!$A$1:$I$89,3,0)*VLOOKUP('Données projet'!$B$13,Paramètres!$A$1:$I$89,5,0)</f>
        <v>171.07585714285716</v>
      </c>
      <c r="CV51" s="13">
        <f t="shared" si="41"/>
        <v>43.330891254862777</v>
      </c>
      <c r="CW51" s="20">
        <f t="shared" si="13"/>
        <v>373.42508679269554</v>
      </c>
      <c r="CX51" s="59">
        <f t="shared" si="14"/>
        <v>666.7584201260288</v>
      </c>
      <c r="CY51" s="59">
        <f ca="1">AVERAGE(OFFSET($CX$3,0,0,'Données projet'!$E$13+1,1))-AVERAGE(OFFSET($H$3,0,0,'Données projet'!$E$13+1,1))</f>
        <v>194.7221767407824</v>
      </c>
      <c r="CZ51" s="59">
        <f t="shared" si="42"/>
        <v>177.6550559568646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28.472538470993857</v>
      </c>
      <c r="DG51" s="21">
        <f>EXP(-LN(2)/25)*DG50+(1-EXP(-LN(2)/25))/(LN(2)/25)*Calculateur!DB51*Calculateur!DD51*VLOOKUP('Données projet'!$B$13,Paramètres!$A$1:$I$89,3,0)*0.475*44/12</f>
        <v>17.424355815630893</v>
      </c>
      <c r="DH51" s="21">
        <f>EXP(-LN(2)/2)*DH50+(1-EXP(-LN(2)/2))/(LN(2)/2)*DB51*DE51*VLOOKUP('Données projet'!$B$13,Paramètres!$A$1:$I$89,3,0)*0.475*44/12</f>
        <v>0.73097195726565711</v>
      </c>
      <c r="DI51" s="22">
        <f t="shared" si="15"/>
        <v>46.627866243890409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15.618681318681309</v>
      </c>
      <c r="DO51" s="12">
        <f>IF('Données projet'!$A$166&gt;35,DO50+DN51-DW50,IF(A51&lt;'Données projet'!$A$166,$DL$205^A51,IF(A51='Données projet'!$A$166,'Données projet'!$B$166,DO50+DN51-DW50)))</f>
        <v>324.23516483516488</v>
      </c>
      <c r="DP51" s="17">
        <f>DO51*VLOOKUP('Données projet'!$B$14,Paramètres!$A$1:$I$89,3,0)*VLOOKUP('Données projet'!$B$14,Paramètres!$A$1:$I$89,5,0)</f>
        <v>151.74205714285716</v>
      </c>
      <c r="DQ51" s="13">
        <f t="shared" si="43"/>
        <v>38.974207918733512</v>
      </c>
      <c r="DR51" s="20">
        <f t="shared" si="16"/>
        <v>332.16416164893707</v>
      </c>
      <c r="DS51" s="59">
        <f t="shared" si="17"/>
        <v>625.49749498227038</v>
      </c>
      <c r="DT51" s="59">
        <f ca="1">AVERAGE(OFFSET($DS$3,0,0,'Données projet'!$E$14+1,1))-AVERAGE(OFFSET($H$3,0,0,'Données projet'!$E$14+1,1))</f>
        <v>207.25176714718668</v>
      </c>
      <c r="DU51" s="59">
        <f t="shared" si="44"/>
        <v>191.53228014642559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29.00450936557144</v>
      </c>
      <c r="EC51" s="21">
        <f>EXP(-LN(2)/2)*EC50+(1-EXP(-LN(2)/2))/(LN(2)/2)*DW51*DZ51*VLOOKUP('Données projet'!$B$14,Paramètres!$A$1:$I$89,3,0)*0.475*44/12</f>
        <v>5.2413750410014188</v>
      </c>
      <c r="ED51" s="22">
        <f t="shared" si="18"/>
        <v>34.245884406572856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11.642307692307696</v>
      </c>
      <c r="EJ51" s="12">
        <f>IF('Données projet'!$A$192&gt;35,EJ50+EI51-ER50,IF(A51&lt;'Données projet'!$A$192,$EG$205^A51,IF(A51='Données projet'!$A$192,'Données projet'!$B$192,EJ50+EI51-ER50)))</f>
        <v>285.24615384615367</v>
      </c>
      <c r="EK51" s="17">
        <f>EJ51*VLOOKUP('Données projet'!$B$15,Paramètres!$A$1:$I$89,3,0)*VLOOKUP('Données projet'!$B$15,Paramètres!$A$1:$I$89,5,0)</f>
        <v>170.57719999999992</v>
      </c>
      <c r="EL51" s="13">
        <f t="shared" si="45"/>
        <v>43.219271671345155</v>
      </c>
      <c r="EM51" s="20">
        <f t="shared" si="19"/>
        <v>372.362188160926</v>
      </c>
      <c r="EN51" s="59">
        <f t="shared" si="20"/>
        <v>665.69552149425931</v>
      </c>
      <c r="EO51" s="59">
        <f ca="1">AVERAGE(OFFSET($EN$3,0,0,'Données projet'!$E$15+1,1))-AVERAGE(OFFSET($H$3,0,0,'Données projet'!$E$15+1,1))</f>
        <v>200.15574321350221</v>
      </c>
      <c r="EP51" s="59">
        <f t="shared" si="46"/>
        <v>200.70728852570426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35.778777312734384</v>
      </c>
      <c r="EW51" s="21">
        <f>EXP(-LN(2)/25)*EW50+(1-EXP(-LN(2)/25))/(LN(2)/25)*Calculateur!ER51*Calculateur!ET51*VLOOKUP('Données projet'!$B$15,Paramètres!$A$1:$I$89,3,0)*0.475*44/12</f>
        <v>16.827364414305769</v>
      </c>
      <c r="EX51" s="21">
        <f>EXP(-LN(2)/2)*EX50+(1-EXP(-LN(2)/2))/(LN(2)/2)*ER51*EU51*VLOOKUP('Données projet'!$B$15,Paramètres!$A$1:$I$89,3,0)*0.475*44/12</f>
        <v>1.5397214830982378</v>
      </c>
      <c r="EY51" s="22">
        <f t="shared" si="21"/>
        <v>54.145863210138394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>
        <f>VLOOKUP(A51,'Données projet'!$A$217:$I$237,2,0)</f>
        <v>184.35256410256409</v>
      </c>
      <c r="FC51" s="12">
        <f>VLOOKUP(A51,'Données projet'!$A$217:$I$237,9,0)</f>
        <v>9.3452380952380913</v>
      </c>
      <c r="FD51" s="12">
        <f t="array" ref="FD51">INDEX(FC:FC,MIN(IF(ISNUMBER(FC51:FC247),ROW(FC51:FC247),"")))</f>
        <v>9.3452380952380913</v>
      </c>
      <c r="FE51" s="12">
        <f>IF('Données projet'!$A$218&gt;35,FE50+FD51-FM50,IF(A51&lt;'Données projet'!$A$218,$FB$205^A51,IF(A51='Données projet'!$A$218,'Données projet'!$B$218,FE50+FD51-FM50)))</f>
        <v>184.3525641025642</v>
      </c>
      <c r="FF51" s="17">
        <f>FE51*VLOOKUP('Données projet'!$B$16,Paramètres!$A$1:$I$89,3,0)*VLOOKUP('Données projet'!$B$16,Paramètres!$A$1:$I$89,5,0)</f>
        <v>198.4371000000001</v>
      </c>
      <c r="FG51" s="13">
        <f t="shared" si="47"/>
        <v>49.400532938307215</v>
      </c>
      <c r="FH51" s="20">
        <f t="shared" si="22"/>
        <v>431.65054403421851</v>
      </c>
      <c r="FI51" s="59">
        <f t="shared" si="23"/>
        <v>724.98387736755183</v>
      </c>
      <c r="FJ51" s="59">
        <f ca="1">AVERAGE(OFFSET($FI$3,0,0,'Données projet'!$E$16+1,1))-AVERAGE(OFFSET($H$3,0,0,'Données projet'!$E$16+1,1))</f>
        <v>347.17049316703486</v>
      </c>
      <c r="FK51" s="59">
        <f t="shared" si="48"/>
        <v>255.45365487683489</v>
      </c>
      <c r="FL51" s="15">
        <f>IF(ISNA(VLOOKUP(A51,'Données projet'!$A$217:$I$237,3,0)),0,VLOOKUP(A51,'Données projet'!$A$217:$I$237,3,0))</f>
        <v>3</v>
      </c>
      <c r="FM51" s="15">
        <f>IF(ISNA(VLOOKUP(A51,'Données projet'!$A$217:$I$237,4,0)),0,VLOOKUP(A51,'Données projet'!$A$217:$I$237,4,0))</f>
        <v>48.025641025641022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7">
        <f t="shared" si="1"/>
        <v>346.05537412949326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756.44557370704194</v>
      </c>
      <c r="S52" s="59">
        <f ca="1">AVERAGE(OFFSET($R$3,0,0,'Données projet'!$E$9+1,1))-AVERAGE(OFFSET($H$3,0,0,'Données projet'!$E$9+1,1))</f>
        <v>266.02599413192075</v>
      </c>
      <c r="T52" s="59">
        <f t="shared" si="34"/>
        <v>332.94146254783254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8.8736263736263741</v>
      </c>
      <c r="AI52" s="13">
        <f>IF('Données projet'!$A$62&gt;35,AI51+AH52-AQ51,IF(A52&lt;'Données projet'!$A$62,$AF$205^A52,IF(A52='Données projet'!$A$62,'Données projet'!$B$62,AI51+AH52-AQ51)))</f>
        <v>145.20054945054954</v>
      </c>
      <c r="AJ52" s="13">
        <f>AI52*VLOOKUP('Données projet'!$B$10,Paramètres!$A$1:$I$89,3,0)*VLOOKUP('Données projet'!$B$10,Paramètres!$A$1:$I$89,5,0)</f>
        <v>131.37745714285722</v>
      </c>
      <c r="AK52" s="13">
        <f t="shared" si="35"/>
        <v>34.314453722516539</v>
      </c>
      <c r="AL52" s="20">
        <f t="shared" si="4"/>
        <v>288.58007809052594</v>
      </c>
      <c r="AM52" s="59">
        <f t="shared" si="5"/>
        <v>581.91341142385932</v>
      </c>
      <c r="AN52" s="59">
        <f ca="1">AVERAGE(OFFSET($AM$3,0,0,'Données projet'!$E$10+1,1))-AVERAGE(OFFSET($H$3,0,0,'Données projet'!$E$10+1,1))</f>
        <v>282.13645166362238</v>
      </c>
      <c r="AO52" s="59">
        <f t="shared" si="36"/>
        <v>210.5345332979457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404.56923076923078</v>
      </c>
      <c r="BB52" s="12">
        <f>VLOOKUP(A52,'Données projet'!$A$87:$I$107,9,0)</f>
        <v>17.519780219780223</v>
      </c>
      <c r="BC52" s="12">
        <f t="array" ref="BC52">INDEX(BB:BB,MIN(IF(ISNUMBER(BB52:BB248),ROW(BB52:BB248),"")))</f>
        <v>17.519780219780223</v>
      </c>
      <c r="BD52" s="12">
        <f>IF('Données projet'!$A$88&gt;35,BD51+BC52-BL51,IF(A52&lt;'Données projet'!$A$88,$BA$205^A52,IF(A52='Données projet'!$A$88,'Données projet'!$B$88,BD51+BC52-BL51)))</f>
        <v>404.56923076923078</v>
      </c>
      <c r="BE52" s="13">
        <f>BD52*VLOOKUP('Données projet'!$B$11,Paramètres!$A$1:$I$89,3,0)*VLOOKUP('Données projet'!$B$11,Paramètres!$A$1:$I$89,5,0)</f>
        <v>226.1542</v>
      </c>
      <c r="BF52" s="13">
        <f t="shared" si="37"/>
        <v>55.450315347427015</v>
      </c>
      <c r="BG52" s="20">
        <f t="shared" si="7"/>
        <v>490.46119756343541</v>
      </c>
      <c r="BH52" s="59">
        <f t="shared" si="8"/>
        <v>783.79453089676872</v>
      </c>
      <c r="BI52" s="59">
        <f ca="1">AVERAGE(OFFSET($BH$3,0,0,'Données projet'!$E$11+1,1))-AVERAGE(OFFSET($H$3,0,0,'Données projet'!$E$11+1,1))</f>
        <v>254.6443970237226</v>
      </c>
      <c r="BJ52" s="59">
        <f t="shared" si="38"/>
        <v>231.81667808018062</v>
      </c>
      <c r="BK52" s="15">
        <f>IF(ISNA(VLOOKUP(A52,'Données projet'!$A$87:$I$107,3,0)),0,VLOOKUP(A52,'Données projet'!$A$87:$I$107,3,0))</f>
        <v>5</v>
      </c>
      <c r="BL52" s="15">
        <f>IF(ISNA(VLOOKUP(A52,'Données projet'!$A$87:$I$107,4,0)),0,VLOOKUP(A52,'Données projet'!$A$87:$I$107,4,0))</f>
        <v>90.453846153846158</v>
      </c>
      <c r="BM52" s="16">
        <f>IF(ISNA(VLOOKUP(A52,'Données projet'!$A$87:$I$107,5,0)),0%,VLOOKUP(A52,'Données projet'!$A$87:$I$107,5,0)*VLOOKUP('Données projet'!$B$11,Paramètres!$A$1:$I$89,7,0))</f>
        <v>0.38500000000000001</v>
      </c>
      <c r="BN52" s="16">
        <f>IF(ISNA(VLOOKUP(A52,'Données projet'!$A$87:$I$107,6,0)),0%,VLOOKUP(A52,'Données projet'!$A$87:$I$107,6,0)*VLOOKUP('Données projet'!$B$11,Paramètres!$A$1:$I$89,7,0))</f>
        <v>9.240000000000001E-2</v>
      </c>
      <c r="BO52" s="16">
        <f>IF(ISNA(VLOOKUP(A52,'Données projet'!$A$87:$I$107,7,0)),0%,VLOOKUP(A52,'Données projet'!$A$87:$I$107,7,0))</f>
        <v>0.13200000000000001</v>
      </c>
      <c r="BP52" s="21">
        <f>EXP(-LN(2)/35)*BP51+(1-EXP(-LN(2)/35))/(LN(2)/35)*BL52*BM52*VLOOKUP('Données projet'!$B$11,Paramètres!$A$1:$I$89,3,0)*0.475*44/12</f>
        <v>61.127527531305603</v>
      </c>
      <c r="BQ52" s="21">
        <f>EXP(-LN(2)/25)*BQ51+(1-EXP(-LN(2)/25))/(LN(2)/25)*Calculateur!BL52*Calculateur!BN52*VLOOKUP('Données projet'!$B$11,Paramètres!$A$1:$I$89,3,0)*0.475*44/12</f>
        <v>27.607510848175917</v>
      </c>
      <c r="BR52" s="21">
        <f>EXP(-LN(2)/2)*BR51+(1-EXP(-LN(2)/2))/(LN(2)/2)*BL52*BO52*VLOOKUP('Données projet'!$B$11,Paramètres!$A$1:$I$89,3,0)*0.475*44/12</f>
        <v>8.2106758984533919</v>
      </c>
      <c r="BS52" s="22">
        <f t="shared" si="9"/>
        <v>96.945714277934911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6.826007326007324</v>
      </c>
      <c r="BY52" s="12">
        <f>IF('Données projet'!$A$114&gt;35,BY51+BX52-CG51,IF(A52&lt;'Données projet'!$A$114,$BV$205^A52,IF(A52='Données projet'!$A$114,'Données projet'!$B$114,BY51+BX52-CG51)))</f>
        <v>132.13644688644683</v>
      </c>
      <c r="BZ52" s="13">
        <f>BY52*VLOOKUP('Données projet'!$B$12,Paramètres!$A$1:$I$89,3,0)*VLOOKUP('Données projet'!$B$12,Paramètres!$A$1:$I$89,5,0)</f>
        <v>133.98635714285712</v>
      </c>
      <c r="CA52" s="13">
        <f t="shared" si="39"/>
        <v>34.915863980670267</v>
      </c>
      <c r="CB52" s="20">
        <f t="shared" si="10"/>
        <v>294.17136845681017</v>
      </c>
      <c r="CC52" s="59">
        <f t="shared" si="11"/>
        <v>587.50470179014349</v>
      </c>
      <c r="CD52" s="59">
        <f ca="1">AVERAGE(OFFSET($CC$3,0,0,'Données projet'!$E$12+1,1))-AVERAGE(OFFSET($H$3,0,0,'Données projet'!$E$12+1,1))</f>
        <v>264.08050363622294</v>
      </c>
      <c r="CE52" s="59">
        <f t="shared" si="40"/>
        <v>164.48884512322883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>
        <f>VLOOKUP(A52,'Données projet'!$A$139:$I$159,2,0)</f>
        <v>404.56923076923078</v>
      </c>
      <c r="CR52" s="12">
        <f>VLOOKUP(A52,'Données projet'!$A$139:$I$159,9,0)</f>
        <v>17.519780219780223</v>
      </c>
      <c r="CS52" s="12">
        <f t="array" ref="CS52">INDEX(CR:CR,MIN(IF(ISNUMBER(CR52:CR248),ROW(CR52:CR248),"")))</f>
        <v>17.519780219780223</v>
      </c>
      <c r="CT52" s="12">
        <f>IF('Données projet'!$A$140&gt;35,CT51+CS52-DB51,IF(A52&lt;'Données projet'!$A$140,$CQ$205^A52,IF(A52='Données projet'!$A$140,'Données projet'!$B$140,CT51+CS52-DB51)))</f>
        <v>404.56923076923078</v>
      </c>
      <c r="CU52" s="17">
        <f>CT52*VLOOKUP('Données projet'!$B$13,Paramètres!$A$1:$I$89,3,0)*VLOOKUP('Données projet'!$B$13,Paramètres!$A$1:$I$89,5,0)</f>
        <v>178.81960000000001</v>
      </c>
      <c r="CV52" s="13">
        <f t="shared" si="41"/>
        <v>45.059468437489592</v>
      </c>
      <c r="CW52" s="20">
        <f t="shared" si="13"/>
        <v>389.92271086196098</v>
      </c>
      <c r="CX52" s="59">
        <f t="shared" si="14"/>
        <v>683.25604419529429</v>
      </c>
      <c r="CY52" s="59">
        <f ca="1">AVERAGE(OFFSET($CX$3,0,0,'Données projet'!$E$13+1,1))-AVERAGE(OFFSET($H$3,0,0,'Données projet'!$E$13+1,1))</f>
        <v>194.7221767407824</v>
      </c>
      <c r="CZ52" s="59">
        <f t="shared" si="42"/>
        <v>177.6550559568646</v>
      </c>
      <c r="DA52" s="15">
        <f>IF(ISNA(VLOOKUP(A52,'Données projet'!$A$139:$I$159,3,0)),0,VLOOKUP(A52,'Données projet'!$A$139:$I$159,3,0))</f>
        <v>5</v>
      </c>
      <c r="DB52" s="15">
        <f>IF(ISNA(VLOOKUP(A52,'Données projet'!$A$139:$I$159,4,0)),0,VLOOKUP(A52,'Données projet'!$A$139:$I$159,4,0))</f>
        <v>90.453846153846158</v>
      </c>
      <c r="DC52" s="16">
        <f>IF(ISNA(VLOOKUP(A52,'Données projet'!$A$139:$I$159,5,0)),0%,VLOOKUP(A52,'Données projet'!$A$139:$I$159,5,0)*VLOOKUP('Données projet'!$B$13,Paramètres!$A$1:$I$89,7,0))</f>
        <v>0.38500000000000001</v>
      </c>
      <c r="DD52" s="16">
        <f>IF(ISNA(VLOOKUP(A52,'Données projet'!$A$139:$I$159,6,0)),0%,VLOOKUP(A52,'Données projet'!$A$139:$I$159,6,0)*VLOOKUP('Données projet'!$B$13,Paramètres!$A$1:$I$89,7,0))</f>
        <v>9.240000000000001E-2</v>
      </c>
      <c r="DE52" s="16">
        <f>IF(ISNA(VLOOKUP(A52,'Données projet'!$A$139:$I$159,7,0)),0%,VLOOKUP(A52,'Données projet'!$A$139:$I$159,7,0))</f>
        <v>0.13200000000000001</v>
      </c>
      <c r="DF52" s="21">
        <f>EXP(-LN(2)/35)*DF51+(1-EXP(-LN(2)/35))/(LN(2)/35)*DB52*DC52*VLOOKUP('Données projet'!$B$13,Paramètres!$A$1:$I$89,3,0)*0.475*44/12</f>
        <v>48.333393861962577</v>
      </c>
      <c r="DG52" s="21">
        <f>EXP(-LN(2)/25)*DG51+(1-EXP(-LN(2)/25))/(LN(2)/25)*Calculateur!DB52*Calculateur!DD52*VLOOKUP('Données projet'!$B$13,Paramètres!$A$1:$I$89,3,0)*0.475*44/12</f>
        <v>21.829194624139095</v>
      </c>
      <c r="DH52" s="21">
        <f>EXP(-LN(2)/2)*DH51+(1-EXP(-LN(2)/2))/(LN(2)/2)*DB52*DE52*VLOOKUP('Données projet'!$B$13,Paramètres!$A$1:$I$89,3,0)*0.475*44/12</f>
        <v>6.4921623383119842</v>
      </c>
      <c r="DI52" s="22">
        <f t="shared" si="15"/>
        <v>76.654750824413654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>
        <f>VLOOKUP(A52,'Données projet'!$A$165:$I$185,2,0)</f>
        <v>339.85384615384612</v>
      </c>
      <c r="DM52" s="12">
        <f>VLOOKUP(A52,'Données projet'!$A$165:$I$185,9,0)</f>
        <v>15.618681318681309</v>
      </c>
      <c r="DN52" s="12">
        <f t="array" ref="DN52">INDEX(DM:DM,MIN(IF(ISNUMBER(DM52:DM248),ROW(DM52:DM248),"")))</f>
        <v>15.618681318681309</v>
      </c>
      <c r="DO52" s="12">
        <f>IF('Données projet'!$A$166&gt;35,DO51+DN52-DW51,IF(A52&lt;'Données projet'!$A$166,$DL$205^A52,IF(A52='Données projet'!$A$166,'Données projet'!$B$166,DO51+DN52-DW51)))</f>
        <v>339.85384615384618</v>
      </c>
      <c r="DP52" s="17">
        <f>DO52*VLOOKUP('Données projet'!$B$14,Paramètres!$A$1:$I$89,3,0)*VLOOKUP('Données projet'!$B$14,Paramètres!$A$1:$I$89,5,0)</f>
        <v>159.05160000000001</v>
      </c>
      <c r="DQ52" s="13">
        <f t="shared" si="43"/>
        <v>40.628527179850586</v>
      </c>
      <c r="DR52" s="20">
        <f t="shared" si="16"/>
        <v>347.77622150490646</v>
      </c>
      <c r="DS52" s="59">
        <f t="shared" si="17"/>
        <v>641.10955483823977</v>
      </c>
      <c r="DT52" s="59">
        <f ca="1">AVERAGE(OFFSET($DS$3,0,0,'Données projet'!$E$14+1,1))-AVERAGE(OFFSET($H$3,0,0,'Données projet'!$E$14+1,1))</f>
        <v>207.25176714718668</v>
      </c>
      <c r="DU52" s="59">
        <f t="shared" si="44"/>
        <v>191.53228014642559</v>
      </c>
      <c r="DV52" s="15">
        <f>IF(ISNA(VLOOKUP(A52,'Données projet'!$A$165:$I$185,3,0)),0,VLOOKUP(A52,'Données projet'!$A$165:$I$185,3,0))</f>
        <v>2</v>
      </c>
      <c r="DW52" s="15">
        <f>IF(ISNA(VLOOKUP(A52,'Données projet'!$A$165:$I$185,4,0)),0,VLOOKUP(A52,'Données projet'!$A$165:$I$185,4,0))</f>
        <v>94.476923076923072</v>
      </c>
      <c r="DX52" s="16">
        <f>IF(ISNA(VLOOKUP(A52,'Données projet'!$A$165:$I$185,5,0)),0%,VLOOKUP(A52,'Données projet'!$A$165:$I$185,5,0)*VLOOKUP('Données projet'!$B$14,Paramètres!$A$1:$I$89,7,0))</f>
        <v>0.38500000000000001</v>
      </c>
      <c r="DY52" s="16">
        <f>IF(ISNA(VLOOKUP(A52,'Données projet'!$A$165:$I$185,6,0)),0%,VLOOKUP(A52,'Données projet'!$A$165:$I$185,6,0)*VLOOKUP('Données projet'!$B$14,Paramètres!$A$1:$I$89,7,0))</f>
        <v>9.240000000000001E-2</v>
      </c>
      <c r="DZ52" s="16">
        <f>IF(ISNA(VLOOKUP(A52,'Données projet'!$A$165:$I$185,7,0)),0%,VLOOKUP(A52,'Données projet'!$A$165:$I$185,7,0))</f>
        <v>0.13200000000000001</v>
      </c>
      <c r="EA52" s="21">
        <f>EXP(-LN(2)/35)*EA51+(1-EXP(-LN(2)/35))/(LN(2)/35)*DW52*DX52*VLOOKUP('Données projet'!$B$14,Paramètres!$A$1:$I$89,3,0)*0.475*44/12</f>
        <v>22.581910393407885</v>
      </c>
      <c r="EB52" s="21">
        <f>EXP(-LN(2)/25)*EB51+(1-EXP(-LN(2)/25))/(LN(2)/25)*Calculateur!DW52*Calculateur!DY52*VLOOKUP('Données projet'!$B$14,Paramètres!$A$1:$I$89,3,0)*0.475*44/12</f>
        <v>33.609698765562619</v>
      </c>
      <c r="EC52" s="21">
        <f>EXP(-LN(2)/2)*EC51+(1-EXP(-LN(2)/2))/(LN(2)/2)*DW52*DZ52*VLOOKUP('Données projet'!$B$14,Paramètres!$A$1:$I$89,3,0)*0.475*44/12</f>
        <v>10.314379661804189</v>
      </c>
      <c r="ED52" s="22">
        <f t="shared" si="18"/>
        <v>66.505988820774689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11.642307692307696</v>
      </c>
      <c r="EJ52" s="12">
        <f>IF('Données projet'!$A$192&gt;35,EJ51+EI52-ER51,IF(A52&lt;'Données projet'!$A$192,$EG$205^A52,IF(A52='Données projet'!$A$192,'Données projet'!$B$192,EJ51+EI52-ER51)))</f>
        <v>296.88846153846134</v>
      </c>
      <c r="EK52" s="17">
        <f>EJ52*VLOOKUP('Données projet'!$B$15,Paramètres!$A$1:$I$89,3,0)*VLOOKUP('Données projet'!$B$15,Paramètres!$A$1:$I$89,5,0)</f>
        <v>177.53929999999991</v>
      </c>
      <c r="EL52" s="13">
        <f t="shared" si="45"/>
        <v>44.774287946301975</v>
      </c>
      <c r="EM52" s="20">
        <f t="shared" si="19"/>
        <v>387.1961656731425</v>
      </c>
      <c r="EN52" s="59">
        <f t="shared" si="20"/>
        <v>680.52949900647582</v>
      </c>
      <c r="EO52" s="59">
        <f ca="1">AVERAGE(OFFSET($EN$3,0,0,'Données projet'!$E$15+1,1))-AVERAGE(OFFSET($H$3,0,0,'Données projet'!$E$15+1,1))</f>
        <v>200.15574321350221</v>
      </c>
      <c r="EP52" s="59">
        <f t="shared" si="46"/>
        <v>200.70728852570426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35.077177312530992</v>
      </c>
      <c r="EW52" s="21">
        <f>EXP(-LN(2)/25)*EW51+(1-EXP(-LN(2)/25))/(LN(2)/25)*Calculateur!ER52*Calculateur!ET52*VLOOKUP('Données projet'!$B$15,Paramètres!$A$1:$I$89,3,0)*0.475*44/12</f>
        <v>16.367219249483941</v>
      </c>
      <c r="EX52" s="21">
        <f>EXP(-LN(2)/2)*EX51+(1-EXP(-LN(2)/2))/(LN(2)/2)*ER52*EU52*VLOOKUP('Données projet'!$B$15,Paramètres!$A$1:$I$89,3,0)*0.475*44/12</f>
        <v>1.088747501837372</v>
      </c>
      <c r="EY52" s="22">
        <f t="shared" si="21"/>
        <v>52.533144063852305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8.8736263736263741</v>
      </c>
      <c r="FE52" s="12">
        <f>IF('Données projet'!$A$218&gt;35,FE51+FD52-FM51,IF(A52&lt;'Données projet'!$A$218,$FB$205^A52,IF(A52='Données projet'!$A$218,'Données projet'!$B$218,FE51+FD52-FM51)))</f>
        <v>145.20054945054954</v>
      </c>
      <c r="FF52" s="17">
        <f>FE52*VLOOKUP('Données projet'!$B$16,Paramètres!$A$1:$I$89,3,0)*VLOOKUP('Données projet'!$B$16,Paramètres!$A$1:$I$89,5,0)</f>
        <v>156.29387142857152</v>
      </c>
      <c r="FG52" s="13">
        <f t="shared" si="47"/>
        <v>40.005451010101218</v>
      </c>
      <c r="FH52" s="20">
        <f t="shared" si="22"/>
        <v>341.88798658068828</v>
      </c>
      <c r="FI52" s="59">
        <f t="shared" si="23"/>
        <v>635.22131991402159</v>
      </c>
      <c r="FJ52" s="59">
        <f ca="1">AVERAGE(OFFSET($FI$3,0,0,'Données projet'!$E$16+1,1))-AVERAGE(OFFSET($H$3,0,0,'Données projet'!$E$16+1,1))</f>
        <v>347.17049316703486</v>
      </c>
      <c r="FK52" s="59">
        <f t="shared" si="48"/>
        <v>255.45365487683489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7">
        <f t="shared" si="1"/>
        <v>347.10069832416985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266.02599413192075</v>
      </c>
      <c r="T53" s="59">
        <f t="shared" si="34"/>
        <v>332.94146254783254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8.8736263736263741</v>
      </c>
      <c r="AI53" s="13">
        <f>IF('Données projet'!$A$62&gt;35,AI52+AH53-AQ52,IF(A53&lt;'Données projet'!$A$62,$AF$205^A53,IF(A53='Données projet'!$A$62,'Données projet'!$B$62,AI52+AH53-AQ52)))</f>
        <v>154.07417582417591</v>
      </c>
      <c r="AJ53" s="13">
        <f>AI53*VLOOKUP('Données projet'!$B$10,Paramètres!$A$1:$I$89,3,0)*VLOOKUP('Données projet'!$B$10,Paramètres!$A$1:$I$89,5,0)</f>
        <v>139.40631428571436</v>
      </c>
      <c r="AK53" s="13">
        <f t="shared" si="35"/>
        <v>36.160966815041384</v>
      </c>
      <c r="AL53" s="20">
        <f t="shared" si="4"/>
        <v>305.77968125048289</v>
      </c>
      <c r="AM53" s="59">
        <f t="shared" si="5"/>
        <v>599.11301458381627</v>
      </c>
      <c r="AN53" s="59">
        <f ca="1">AVERAGE(OFFSET($AM$3,0,0,'Données projet'!$E$10+1,1))-AVERAGE(OFFSET($H$3,0,0,'Données projet'!$E$10+1,1))</f>
        <v>282.13645166362238</v>
      </c>
      <c r="AO53" s="59">
        <f t="shared" si="36"/>
        <v>210.5345332979457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16.227472527472521</v>
      </c>
      <c r="BD53" s="12">
        <f>IF('Données projet'!$A$88&gt;35,BD52+BC53-BL52,IF(A53&lt;'Données projet'!$A$88,$BA$205^A53,IF(A53='Données projet'!$A$88,'Données projet'!$B$88,BD52+BC53-BL52)))</f>
        <v>330.34285714285716</v>
      </c>
      <c r="BE53" s="13">
        <f>BD53*VLOOKUP('Données projet'!$B$11,Paramètres!$A$1:$I$89,3,0)*VLOOKUP('Données projet'!$B$11,Paramètres!$A$1:$I$89,5,0)</f>
        <v>184.66165714285717</v>
      </c>
      <c r="BF53" s="13">
        <f t="shared" si="37"/>
        <v>46.357770619215231</v>
      </c>
      <c r="BG53" s="20">
        <f t="shared" si="7"/>
        <v>402.35883668560945</v>
      </c>
      <c r="BH53" s="59">
        <f t="shared" si="8"/>
        <v>695.69217001894276</v>
      </c>
      <c r="BI53" s="59">
        <f ca="1">AVERAGE(OFFSET($BH$3,0,0,'Données projet'!$E$11+1,1))-AVERAGE(OFFSET($H$3,0,0,'Données projet'!$E$11+1,1))</f>
        <v>254.6443970237226</v>
      </c>
      <c r="BJ53" s="59">
        <f t="shared" si="38"/>
        <v>231.81667808018062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59.928854000526997</v>
      </c>
      <c r="BQ53" s="21">
        <f>EXP(-LN(2)/25)*BQ52+(1-EXP(-LN(2)/25))/(LN(2)/25)*Calculateur!BL53*Calculateur!BN53*VLOOKUP('Données projet'!$B$11,Paramètres!$A$1:$I$89,3,0)*0.475*44/12</f>
        <v>26.852582012216647</v>
      </c>
      <c r="BR53" s="21">
        <f>EXP(-LN(2)/2)*BR52+(1-EXP(-LN(2)/2))/(LN(2)/2)*BL53*BO53*VLOOKUP('Données projet'!$B$11,Paramètres!$A$1:$I$89,3,0)*0.475*44/12</f>
        <v>5.8058246059213428</v>
      </c>
      <c r="BS53" s="22">
        <f t="shared" si="9"/>
        <v>92.587260618664985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6.826007326007324</v>
      </c>
      <c r="BY53" s="12">
        <f>IF('Données projet'!$A$114&gt;35,BY52+BX53-CG52,IF(A53&lt;'Données projet'!$A$114,$BV$205^A53,IF(A53='Données projet'!$A$114,'Données projet'!$B$114,BY52+BX53-CG52)))</f>
        <v>138.96245421245416</v>
      </c>
      <c r="BZ53" s="13">
        <f>BY53*VLOOKUP('Données projet'!$B$12,Paramètres!$A$1:$I$89,3,0)*VLOOKUP('Données projet'!$B$12,Paramètres!$A$1:$I$89,5,0)</f>
        <v>140.90792857142853</v>
      </c>
      <c r="CA53" s="13">
        <f t="shared" si="39"/>
        <v>36.504920865079967</v>
      </c>
      <c r="CB53" s="20">
        <f t="shared" si="10"/>
        <v>308.99404610191897</v>
      </c>
      <c r="CC53" s="59">
        <f t="shared" si="11"/>
        <v>602.32737943525228</v>
      </c>
      <c r="CD53" s="59">
        <f ca="1">AVERAGE(OFFSET($CC$3,0,0,'Données projet'!$E$12+1,1))-AVERAGE(OFFSET($H$3,0,0,'Données projet'!$E$12+1,1))</f>
        <v>264.08050363622294</v>
      </c>
      <c r="CE53" s="59">
        <f t="shared" si="40"/>
        <v>164.48884512322883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16.227472527472521</v>
      </c>
      <c r="CT53" s="12">
        <f>IF('Données projet'!$A$140&gt;35,CT52+CS53-DB52,IF(A53&lt;'Données projet'!$A$140,$CQ$205^A53,IF(A53='Données projet'!$A$140,'Données projet'!$B$140,CT52+CS53-DB52)))</f>
        <v>330.34285714285716</v>
      </c>
      <c r="CU53" s="17">
        <f>CT53*VLOOKUP('Données projet'!$B$13,Paramètres!$A$1:$I$89,3,0)*VLOOKUP('Données projet'!$B$13,Paramètres!$A$1:$I$89,5,0)</f>
        <v>146.01154285714287</v>
      </c>
      <c r="CV53" s="13">
        <f t="shared" si="41"/>
        <v>37.670777685592256</v>
      </c>
      <c r="CW53" s="20">
        <f t="shared" si="13"/>
        <v>319.91337494526368</v>
      </c>
      <c r="CX53" s="59">
        <f t="shared" si="14"/>
        <v>613.246708278597</v>
      </c>
      <c r="CY53" s="59">
        <f ca="1">AVERAGE(OFFSET($CX$3,0,0,'Données projet'!$E$13+1,1))-AVERAGE(OFFSET($H$3,0,0,'Données projet'!$E$13+1,1))</f>
        <v>194.7221767407824</v>
      </c>
      <c r="CZ53" s="59">
        <f t="shared" si="42"/>
        <v>177.6550559568646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47.385605488788791</v>
      </c>
      <c r="DG53" s="21">
        <f>EXP(-LN(2)/25)*DG52+(1-EXP(-LN(2)/25))/(LN(2)/25)*Calculateur!DB53*Calculateur!DD53*VLOOKUP('Données projet'!$B$13,Paramètres!$A$1:$I$89,3,0)*0.475*44/12</f>
        <v>21.232274149194559</v>
      </c>
      <c r="DH53" s="21">
        <f>EXP(-LN(2)/2)*DH52+(1-EXP(-LN(2)/2))/(LN(2)/2)*DB53*DE53*VLOOKUP('Données projet'!$B$13,Paramètres!$A$1:$I$89,3,0)*0.475*44/12</f>
        <v>4.5906520139843172</v>
      </c>
      <c r="DI53" s="22">
        <f t="shared" si="15"/>
        <v>73.208531651967661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14.668131868131875</v>
      </c>
      <c r="DO53" s="12">
        <f>IF('Données projet'!$A$166&gt;35,DO52+DN53-DW52,IF(A53&lt;'Données projet'!$A$166,$DL$205^A53,IF(A53='Données projet'!$A$166,'Données projet'!$B$166,DO52+DN53-DW52)))</f>
        <v>260.04505494505497</v>
      </c>
      <c r="DP53" s="17">
        <f>DO53*VLOOKUP('Données projet'!$B$14,Paramètres!$A$1:$I$89,3,0)*VLOOKUP('Données projet'!$B$14,Paramètres!$A$1:$I$89,5,0)</f>
        <v>121.70108571428571</v>
      </c>
      <c r="DQ53" s="13">
        <f t="shared" si="43"/>
        <v>32.071423986344442</v>
      </c>
      <c r="DR53" s="20">
        <f t="shared" si="16"/>
        <v>267.82045439526422</v>
      </c>
      <c r="DS53" s="59">
        <f t="shared" si="17"/>
        <v>561.15378772859754</v>
      </c>
      <c r="DT53" s="59">
        <f ca="1">AVERAGE(OFFSET($DS$3,0,0,'Données projet'!$E$14+1,1))-AVERAGE(OFFSET($H$3,0,0,'Données projet'!$E$14+1,1))</f>
        <v>207.25176714718668</v>
      </c>
      <c r="DU53" s="59">
        <f t="shared" si="44"/>
        <v>191.53228014642559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22.139092904198467</v>
      </c>
      <c r="EB53" s="21">
        <f>EXP(-LN(2)/25)*EB52+(1-EXP(-LN(2)/25))/(LN(2)/25)*Calculateur!DW53*Calculateur!DY53*VLOOKUP('Données projet'!$B$14,Paramètres!$A$1:$I$89,3,0)*0.475*44/12</f>
        <v>32.690639785361064</v>
      </c>
      <c r="EC53" s="21">
        <f>EXP(-LN(2)/2)*EC52+(1-EXP(-LN(2)/2))/(LN(2)/2)*DW53*DZ53*VLOOKUP('Données projet'!$B$14,Paramètres!$A$1:$I$89,3,0)*0.475*44/12</f>
        <v>7.2933678025943509</v>
      </c>
      <c r="ED53" s="22">
        <f t="shared" si="18"/>
        <v>62.123100492153888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11.642307692307696</v>
      </c>
      <c r="EJ53" s="12">
        <f>IF('Données projet'!$A$192&gt;35,EJ52+EI53-ER52,IF(A53&lt;'Données projet'!$A$192,$EG$205^A53,IF(A53='Données projet'!$A$192,'Données projet'!$B$192,EJ52+EI53-ER52)))</f>
        <v>308.53076923076901</v>
      </c>
      <c r="EK53" s="17">
        <f>EJ53*VLOOKUP('Données projet'!$B$15,Paramètres!$A$1:$I$89,3,0)*VLOOKUP('Données projet'!$B$15,Paramètres!$A$1:$I$89,5,0)</f>
        <v>184.5013999999999</v>
      </c>
      <c r="EL53" s="13">
        <f t="shared" si="45"/>
        <v>46.322220516606542</v>
      </c>
      <c r="EM53" s="20">
        <f t="shared" si="19"/>
        <v>402.01780573308952</v>
      </c>
      <c r="EN53" s="59">
        <f t="shared" si="20"/>
        <v>695.35113906642277</v>
      </c>
      <c r="EO53" s="59">
        <f ca="1">AVERAGE(OFFSET($EN$3,0,0,'Données projet'!$E$15+1,1))-AVERAGE(OFFSET($H$3,0,0,'Données projet'!$E$15+1,1))</f>
        <v>200.15574321350221</v>
      </c>
      <c r="EP53" s="59">
        <f t="shared" si="46"/>
        <v>200.70728852570426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34.389335260397843</v>
      </c>
      <c r="EW53" s="21">
        <f>EXP(-LN(2)/25)*EW52+(1-EXP(-LN(2)/25))/(LN(2)/25)*Calculateur!ER53*Calculateur!ET53*VLOOKUP('Données projet'!$B$15,Paramètres!$A$1:$I$89,3,0)*0.475*44/12</f>
        <v>15.919656778392151</v>
      </c>
      <c r="EX53" s="21">
        <f>EXP(-LN(2)/2)*EX52+(1-EXP(-LN(2)/2))/(LN(2)/2)*ER53*EU53*VLOOKUP('Données projet'!$B$15,Paramètres!$A$1:$I$89,3,0)*0.475*44/12</f>
        <v>0.76986074154911888</v>
      </c>
      <c r="EY53" s="22">
        <f t="shared" si="21"/>
        <v>51.078852780339112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8.8736263736263741</v>
      </c>
      <c r="FE53" s="12">
        <f>IF('Données projet'!$A$218&gt;35,FE52+FD53-FM52,IF(A53&lt;'Données projet'!$A$218,$FB$205^A53,IF(A53='Données projet'!$A$218,'Données projet'!$B$218,FE52+FD53-FM52)))</f>
        <v>154.07417582417591</v>
      </c>
      <c r="FF53" s="17">
        <f>FE53*VLOOKUP('Données projet'!$B$16,Paramètres!$A$1:$I$89,3,0)*VLOOKUP('Données projet'!$B$16,Paramètres!$A$1:$I$89,5,0)</f>
        <v>165.84544285714293</v>
      </c>
      <c r="FG53" s="13">
        <f t="shared" si="47"/>
        <v>42.158205346797551</v>
      </c>
      <c r="FH53" s="20">
        <f t="shared" si="22"/>
        <v>362.273020621863</v>
      </c>
      <c r="FI53" s="59">
        <f t="shared" si="23"/>
        <v>655.60635395519625</v>
      </c>
      <c r="FJ53" s="59">
        <f ca="1">AVERAGE(OFFSET($FI$3,0,0,'Données projet'!$E$16+1,1))-AVERAGE(OFFSET($H$3,0,0,'Données projet'!$E$16+1,1))</f>
        <v>347.17049316703486</v>
      </c>
      <c r="FK53" s="59">
        <f t="shared" si="48"/>
        <v>255.45365487683489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7">
        <f t="shared" si="1"/>
        <v>348.14548714256841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266.02599413192075</v>
      </c>
      <c r="T54" s="59">
        <f t="shared" si="34"/>
        <v>332.94146254783254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8.8736263736263741</v>
      </c>
      <c r="AI54" s="13">
        <f>IF('Données projet'!$A$62&gt;35,AI53+AH54-AQ53,IF(A54&lt;'Données projet'!$A$62,$AF$205^A54,IF(A54='Données projet'!$A$62,'Données projet'!$B$62,AI53+AH54-AQ53)))</f>
        <v>162.94780219780228</v>
      </c>
      <c r="AJ54" s="13">
        <f>AI54*VLOOKUP('Données projet'!$B$10,Paramètres!$A$1:$I$89,3,0)*VLOOKUP('Données projet'!$B$10,Paramètres!$A$1:$I$89,5,0)</f>
        <v>147.43517142857149</v>
      </c>
      <c r="AK54" s="13">
        <f t="shared" si="35"/>
        <v>37.995135358244994</v>
      </c>
      <c r="AL54" s="20">
        <f t="shared" si="4"/>
        <v>322.95778432037201</v>
      </c>
      <c r="AM54" s="59">
        <f t="shared" si="5"/>
        <v>616.29111765370533</v>
      </c>
      <c r="AN54" s="59">
        <f ca="1">AVERAGE(OFFSET($AM$3,0,0,'Données projet'!$E$10+1,1))-AVERAGE(OFFSET($H$3,0,0,'Données projet'!$E$10+1,1))</f>
        <v>282.13645166362238</v>
      </c>
      <c r="AO54" s="59">
        <f t="shared" si="36"/>
        <v>210.5345332979457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16.227472527472521</v>
      </c>
      <c r="BD54" s="12">
        <f>IF('Données projet'!$A$88&gt;35,BD53+BC54-BL53,IF(A54&lt;'Données projet'!$A$88,$BA$205^A54,IF(A54='Données projet'!$A$88,'Données projet'!$B$88,BD53+BC54-BL53)))</f>
        <v>346.57032967032967</v>
      </c>
      <c r="BE54" s="13">
        <f>BD54*VLOOKUP('Données projet'!$B$11,Paramètres!$A$1:$I$89,3,0)*VLOOKUP('Données projet'!$B$11,Paramètres!$A$1:$I$89,5,0)</f>
        <v>193.73281428571428</v>
      </c>
      <c r="BF54" s="13">
        <f t="shared" si="37"/>
        <v>48.364288285880846</v>
      </c>
      <c r="BG54" s="20">
        <f t="shared" si="7"/>
        <v>421.65245364552817</v>
      </c>
      <c r="BH54" s="59">
        <f t="shared" si="8"/>
        <v>714.98578697886148</v>
      </c>
      <c r="BI54" s="59">
        <f ca="1">AVERAGE(OFFSET($BH$3,0,0,'Données projet'!$E$11+1,1))-AVERAGE(OFFSET($H$3,0,0,'Données projet'!$E$11+1,1))</f>
        <v>254.6443970237226</v>
      </c>
      <c r="BJ54" s="59">
        <f t="shared" si="38"/>
        <v>231.81667808018062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58.753685726568293</v>
      </c>
      <c r="BQ54" s="21">
        <f>EXP(-LN(2)/25)*BQ53+(1-EXP(-LN(2)/25))/(LN(2)/25)*Calculateur!BL54*Calculateur!BN54*VLOOKUP('Données projet'!$B$11,Paramètres!$A$1:$I$89,3,0)*0.475*44/12</f>
        <v>26.118296744976668</v>
      </c>
      <c r="BR54" s="21">
        <f>EXP(-LN(2)/2)*BR53+(1-EXP(-LN(2)/2))/(LN(2)/2)*BL54*BO54*VLOOKUP('Données projet'!$B$11,Paramètres!$A$1:$I$89,3,0)*0.475*44/12</f>
        <v>4.1053379492266968</v>
      </c>
      <c r="BS54" s="22">
        <f t="shared" si="9"/>
        <v>88.977320420771647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145.78846153846152</v>
      </c>
      <c r="BW54" s="12">
        <f>VLOOKUP(A54,'Données projet'!$A$113:$I$133,9,0)</f>
        <v>6.826007326007324</v>
      </c>
      <c r="BX54" s="12">
        <f t="array" ref="BX54">INDEX(BW:BW,MIN(IF(ISNUMBER(BW54:BW250),ROW(BW54:BW250),"")))</f>
        <v>6.826007326007324</v>
      </c>
      <c r="BY54" s="12">
        <f>IF('Données projet'!$A$114&gt;35,BY53+BX54-CG53,IF(A54&lt;'Données projet'!$A$114,$BV$205^A54,IF(A54='Données projet'!$A$114,'Données projet'!$B$114,BY53+BX54-CG53)))</f>
        <v>145.78846153846149</v>
      </c>
      <c r="BZ54" s="13">
        <f>BY54*VLOOKUP('Données projet'!$B$12,Paramètres!$A$1:$I$89,3,0)*VLOOKUP('Données projet'!$B$12,Paramètres!$A$1:$I$89,5,0)</f>
        <v>147.82949999999997</v>
      </c>
      <c r="CA54" s="13">
        <f t="shared" si="39"/>
        <v>38.084914057462001</v>
      </c>
      <c r="CB54" s="20">
        <f t="shared" si="10"/>
        <v>323.80093781674623</v>
      </c>
      <c r="CC54" s="59">
        <f t="shared" si="11"/>
        <v>617.13427115007948</v>
      </c>
      <c r="CD54" s="59">
        <f ca="1">AVERAGE(OFFSET($CC$3,0,0,'Données projet'!$E$12+1,1))-AVERAGE(OFFSET($H$3,0,0,'Données projet'!$E$12+1,1))</f>
        <v>264.08050363622294</v>
      </c>
      <c r="CE54" s="59">
        <f t="shared" si="40"/>
        <v>164.48884512322883</v>
      </c>
      <c r="CF54" s="15">
        <f>IF(ISNA(VLOOKUP(A54,'Données projet'!$A$113:$I$133,3,0)),0,VLOOKUP(A54,'Données projet'!$A$113:$I$133,3,0))</f>
        <v>2</v>
      </c>
      <c r="CG54" s="15">
        <f>IF(ISNA(VLOOKUP(A54,'Données projet'!$A$113:$I$133,4,0)),0,VLOOKUP(A54,'Données projet'!$A$113:$I$133,4,0))</f>
        <v>37.685897435897431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16.227472527472521</v>
      </c>
      <c r="CT54" s="12">
        <f>IF('Données projet'!$A$140&gt;35,CT53+CS54-DB53,IF(A54&lt;'Données projet'!$A$140,$CQ$205^A54,IF(A54='Données projet'!$A$140,'Données projet'!$B$140,CT53+CS54-DB53)))</f>
        <v>346.57032967032967</v>
      </c>
      <c r="CU54" s="17">
        <f>CT54*VLOOKUP('Données projet'!$B$13,Paramètres!$A$1:$I$89,3,0)*VLOOKUP('Données projet'!$B$13,Paramètres!$A$1:$I$89,5,0)</f>
        <v>153.18408571428574</v>
      </c>
      <c r="CV54" s="13">
        <f t="shared" si="41"/>
        <v>39.301293561000776</v>
      </c>
      <c r="CW54" s="20">
        <f t="shared" si="13"/>
        <v>335.24536890445728</v>
      </c>
      <c r="CX54" s="59">
        <f t="shared" si="14"/>
        <v>628.57870223779059</v>
      </c>
      <c r="CY54" s="59">
        <f ca="1">AVERAGE(OFFSET($CX$3,0,0,'Données projet'!$E$13+1,1))-AVERAGE(OFFSET($H$3,0,0,'Données projet'!$E$13+1,1))</f>
        <v>194.7221767407824</v>
      </c>
      <c r="CZ54" s="59">
        <f t="shared" si="42"/>
        <v>177.6550559568646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46.456402667519122</v>
      </c>
      <c r="DG54" s="21">
        <f>EXP(-LN(2)/25)*DG53+(1-EXP(-LN(2)/25))/(LN(2)/25)*Calculateur!DB54*Calculateur!DD54*VLOOKUP('Données projet'!$B$13,Paramètres!$A$1:$I$89,3,0)*0.475*44/12</f>
        <v>20.651676496028063</v>
      </c>
      <c r="DH54" s="21">
        <f>EXP(-LN(2)/2)*DH53+(1-EXP(-LN(2)/2))/(LN(2)/2)*DB54*DE54*VLOOKUP('Données projet'!$B$13,Paramètres!$A$1:$I$89,3,0)*0.475*44/12</f>
        <v>3.2460811691559925</v>
      </c>
      <c r="DI54" s="22">
        <f t="shared" si="15"/>
        <v>70.354160332703174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14.668131868131875</v>
      </c>
      <c r="DO54" s="12">
        <f>IF('Données projet'!$A$166&gt;35,DO53+DN54-DW53,IF(A54&lt;'Données projet'!$A$166,$DL$205^A54,IF(A54='Données projet'!$A$166,'Données projet'!$B$166,DO53+DN54-DW53)))</f>
        <v>274.71318681318684</v>
      </c>
      <c r="DP54" s="17">
        <f>DO54*VLOOKUP('Données projet'!$B$14,Paramètres!$A$1:$I$89,3,0)*VLOOKUP('Données projet'!$B$14,Paramètres!$A$1:$I$89,5,0)</f>
        <v>128.56577142857145</v>
      </c>
      <c r="DQ54" s="13">
        <f t="shared" si="43"/>
        <v>33.664737545838108</v>
      </c>
      <c r="DR54" s="20">
        <f t="shared" si="16"/>
        <v>282.55146979709662</v>
      </c>
      <c r="DS54" s="59">
        <f t="shared" si="17"/>
        <v>575.88480313042987</v>
      </c>
      <c r="DT54" s="59">
        <f ca="1">AVERAGE(OFFSET($DS$3,0,0,'Données projet'!$E$14+1,1))-AVERAGE(OFFSET($H$3,0,0,'Données projet'!$E$14+1,1))</f>
        <v>207.25176714718668</v>
      </c>
      <c r="DU54" s="59">
        <f t="shared" si="44"/>
        <v>191.53228014642559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21.704958795860446</v>
      </c>
      <c r="EB54" s="21">
        <f>EXP(-LN(2)/25)*EB53+(1-EXP(-LN(2)/25))/(LN(2)/25)*Calculateur!DW54*Calculateur!DY54*VLOOKUP('Données projet'!$B$14,Paramètres!$A$1:$I$89,3,0)*0.475*44/12</f>
        <v>31.796712521304336</v>
      </c>
      <c r="EC54" s="21">
        <f>EXP(-LN(2)/2)*EC53+(1-EXP(-LN(2)/2))/(LN(2)/2)*DW54*DZ54*VLOOKUP('Données projet'!$B$14,Paramètres!$A$1:$I$89,3,0)*0.475*44/12</f>
        <v>5.1571898309020954</v>
      </c>
      <c r="ED54" s="22">
        <f t="shared" si="18"/>
        <v>58.658861148066876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11.642307692307696</v>
      </c>
      <c r="EJ54" s="12">
        <f>IF('Données projet'!$A$192&gt;35,EJ53+EI54-ER53,IF(A54&lt;'Données projet'!$A$192,$EG$205^A54,IF(A54='Données projet'!$A$192,'Données projet'!$B$192,EJ53+EI54-ER53)))</f>
        <v>320.17307692307668</v>
      </c>
      <c r="EK54" s="17">
        <f>EJ54*VLOOKUP('Données projet'!$B$15,Paramètres!$A$1:$I$89,3,0)*VLOOKUP('Données projet'!$B$15,Paramètres!$A$1:$I$89,5,0)</f>
        <v>191.46349999999987</v>
      </c>
      <c r="EL54" s="13">
        <f t="shared" si="45"/>
        <v>47.863367286908087</v>
      </c>
      <c r="EM54" s="20">
        <f t="shared" si="19"/>
        <v>416.82762719136463</v>
      </c>
      <c r="EN54" s="59">
        <f t="shared" si="20"/>
        <v>710.16096052469788</v>
      </c>
      <c r="EO54" s="59">
        <f ca="1">AVERAGE(OFFSET($EN$3,0,0,'Données projet'!$E$15+1,1))-AVERAGE(OFFSET($H$3,0,0,'Données projet'!$E$15+1,1))</f>
        <v>200.15574321350221</v>
      </c>
      <c r="EP54" s="59">
        <f t="shared" si="46"/>
        <v>200.70728852570426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33.7149813713648</v>
      </c>
      <c r="EW54" s="21">
        <f>EXP(-LN(2)/25)*EW53+(1-EXP(-LN(2)/25))/(LN(2)/25)*Calculateur!ER54*Calculateur!ET54*VLOOKUP('Données projet'!$B$15,Paramètres!$A$1:$I$89,3,0)*0.475*44/12</f>
        <v>15.484332926608651</v>
      </c>
      <c r="EX54" s="21">
        <f>EXP(-LN(2)/2)*EX53+(1-EXP(-LN(2)/2))/(LN(2)/2)*ER54*EU54*VLOOKUP('Données projet'!$B$15,Paramètres!$A$1:$I$89,3,0)*0.475*44/12</f>
        <v>0.54437375091868601</v>
      </c>
      <c r="EY54" s="22">
        <f t="shared" si="21"/>
        <v>49.743688048892139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8.8736263736263741</v>
      </c>
      <c r="FE54" s="12">
        <f>IF('Données projet'!$A$218&gt;35,FE53+FD54-FM53,IF(A54&lt;'Données projet'!$A$218,$FB$205^A54,IF(A54='Données projet'!$A$218,'Données projet'!$B$218,FE53+FD54-FM53)))</f>
        <v>162.94780219780228</v>
      </c>
      <c r="FF54" s="17">
        <f>FE54*VLOOKUP('Données projet'!$B$16,Paramètres!$A$1:$I$89,3,0)*VLOOKUP('Données projet'!$B$16,Paramètres!$A$1:$I$89,5,0)</f>
        <v>175.39701428571436</v>
      </c>
      <c r="FG54" s="13">
        <f t="shared" si="47"/>
        <v>44.296567810404312</v>
      </c>
      <c r="FH54" s="20">
        <f t="shared" si="22"/>
        <v>382.63298881740667</v>
      </c>
      <c r="FI54" s="59">
        <f t="shared" si="23"/>
        <v>675.96632215073998</v>
      </c>
      <c r="FJ54" s="59">
        <f ca="1">AVERAGE(OFFSET($FI$3,0,0,'Données projet'!$E$16+1,1))-AVERAGE(OFFSET($H$3,0,0,'Données projet'!$E$16+1,1))</f>
        <v>347.17049316703486</v>
      </c>
      <c r="FK54" s="59">
        <f t="shared" si="48"/>
        <v>255.45365487683489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7">
        <f t="shared" si="1"/>
        <v>349.18975229233052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805.25375309715946</v>
      </c>
      <c r="S55" s="59">
        <f ca="1">AVERAGE(OFFSET($R$3,0,0,'Données projet'!$E$9+1,1))-AVERAGE(OFFSET($H$3,0,0,'Données projet'!$E$9+1,1))</f>
        <v>266.02599413192075</v>
      </c>
      <c r="T55" s="59">
        <f t="shared" si="34"/>
        <v>332.94146254783254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8.8736263736263741</v>
      </c>
      <c r="AI55" s="13">
        <f>IF('Données projet'!$A$62&gt;35,AI54+AH55-AQ54,IF(A55&lt;'Données projet'!$A$62,$AF$205^A55,IF(A55='Données projet'!$A$62,'Données projet'!$B$62,AI54+AH55-AQ54)))</f>
        <v>171.82142857142864</v>
      </c>
      <c r="AJ55" s="13">
        <f>AI55*VLOOKUP('Données projet'!$B$10,Paramètres!$A$1:$I$89,3,0)*VLOOKUP('Données projet'!$B$10,Paramètres!$A$1:$I$89,5,0)</f>
        <v>155.46402857142863</v>
      </c>
      <c r="AK55" s="13">
        <f t="shared" si="35"/>
        <v>39.817708233223598</v>
      </c>
      <c r="AL55" s="20">
        <f t="shared" si="4"/>
        <v>340.11569160143591</v>
      </c>
      <c r="AM55" s="59">
        <f t="shared" si="5"/>
        <v>633.44902493476923</v>
      </c>
      <c r="AN55" s="59">
        <f ca="1">AVERAGE(OFFSET($AM$3,0,0,'Données projet'!$E$10+1,1))-AVERAGE(OFFSET($H$3,0,0,'Données projet'!$E$10+1,1))</f>
        <v>282.13645166362238</v>
      </c>
      <c r="AO55" s="59">
        <f t="shared" si="36"/>
        <v>210.5345332979457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16.227472527472521</v>
      </c>
      <c r="BD55" s="12">
        <f>IF('Données projet'!$A$88&gt;35,BD54+BC55-BL54,IF(A55&lt;'Données projet'!$A$88,$BA$205^A55,IF(A55='Données projet'!$A$88,'Données projet'!$B$88,BD54+BC55-BL54)))</f>
        <v>362.79780219780218</v>
      </c>
      <c r="BE55" s="13">
        <f>BD55*VLOOKUP('Données projet'!$B$11,Paramètres!$A$1:$I$89,3,0)*VLOOKUP('Données projet'!$B$11,Paramètres!$A$1:$I$89,5,0)</f>
        <v>202.80397142857143</v>
      </c>
      <c r="BF55" s="13">
        <f t="shared" si="37"/>
        <v>50.359895566849602</v>
      </c>
      <c r="BG55" s="20">
        <f t="shared" si="7"/>
        <v>440.92706835035824</v>
      </c>
      <c r="BH55" s="59">
        <f t="shared" si="8"/>
        <v>734.2604016836915</v>
      </c>
      <c r="BI55" s="59">
        <f ca="1">AVERAGE(OFFSET($BH$3,0,0,'Données projet'!$E$11+1,1))-AVERAGE(OFFSET($H$3,0,0,'Données projet'!$E$11+1,1))</f>
        <v>254.6443970237226</v>
      </c>
      <c r="BJ55" s="59">
        <f t="shared" si="38"/>
        <v>231.81667808018062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57.601561785680047</v>
      </c>
      <c r="BQ55" s="21">
        <f>EXP(-LN(2)/25)*BQ54+(1-EXP(-LN(2)/25))/(LN(2)/25)*Calculateur!BL55*Calculateur!BN55*VLOOKUP('Données projet'!$B$11,Paramètres!$A$1:$I$89,3,0)*0.475*44/12</f>
        <v>25.404090546983749</v>
      </c>
      <c r="BR55" s="21">
        <f>EXP(-LN(2)/2)*BR54+(1-EXP(-LN(2)/2))/(LN(2)/2)*BL55*BO55*VLOOKUP('Données projet'!$B$11,Paramètres!$A$1:$I$89,3,0)*0.475*44/12</f>
        <v>2.9029123029606718</v>
      </c>
      <c r="BS55" s="22">
        <f t="shared" si="9"/>
        <v>85.908564635624472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6.3942307692307701</v>
      </c>
      <c r="BY55" s="12">
        <f>IF('Données projet'!$A$114&gt;35,BY54+BX55-CG54,IF(A55&lt;'Données projet'!$A$114,$BV$205^A55,IF(A55='Données projet'!$A$114,'Données projet'!$B$114,BY54+BX55-CG54)))</f>
        <v>114.49679487179483</v>
      </c>
      <c r="BZ55" s="13">
        <f>BY55*VLOOKUP('Données projet'!$B$12,Paramètres!$A$1:$I$89,3,0)*VLOOKUP('Données projet'!$B$12,Paramètres!$A$1:$I$89,5,0)</f>
        <v>116.09974999999996</v>
      </c>
      <c r="CA55" s="13">
        <f t="shared" si="39"/>
        <v>30.763588103307637</v>
      </c>
      <c r="CB55" s="20">
        <f t="shared" si="10"/>
        <v>255.78698052992738</v>
      </c>
      <c r="CC55" s="59">
        <f t="shared" si="11"/>
        <v>549.12031386326066</v>
      </c>
      <c r="CD55" s="59">
        <f ca="1">AVERAGE(OFFSET($CC$3,0,0,'Données projet'!$E$12+1,1))-AVERAGE(OFFSET($H$3,0,0,'Données projet'!$E$12+1,1))</f>
        <v>264.08050363622294</v>
      </c>
      <c r="CE55" s="59">
        <f t="shared" si="40"/>
        <v>164.48884512322883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16.227472527472521</v>
      </c>
      <c r="CT55" s="12">
        <f>IF('Données projet'!$A$140&gt;35,CT54+CS55-DB54,IF(A55&lt;'Données projet'!$A$140,$CQ$205^A55,IF(A55='Données projet'!$A$140,'Données projet'!$B$140,CT54+CS55-DB54)))</f>
        <v>362.79780219780218</v>
      </c>
      <c r="CU55" s="17">
        <f>CT55*VLOOKUP('Données projet'!$B$13,Paramètres!$A$1:$I$89,3,0)*VLOOKUP('Données projet'!$B$13,Paramètres!$A$1:$I$89,5,0)</f>
        <v>160.35662857142859</v>
      </c>
      <c r="CV55" s="13">
        <f t="shared" si="41"/>
        <v>40.922943550311551</v>
      </c>
      <c r="CW55" s="20">
        <f t="shared" si="13"/>
        <v>350.56192144536408</v>
      </c>
      <c r="CX55" s="59">
        <f t="shared" si="14"/>
        <v>643.89525477869734</v>
      </c>
      <c r="CY55" s="59">
        <f ca="1">AVERAGE(OFFSET($CX$3,0,0,'Données projet'!$E$13+1,1))-AVERAGE(OFFSET($H$3,0,0,'Données projet'!$E$13+1,1))</f>
        <v>194.7221767407824</v>
      </c>
      <c r="CZ55" s="59">
        <f t="shared" si="42"/>
        <v>177.6550559568646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45.54542094681679</v>
      </c>
      <c r="DG55" s="21">
        <f>EXP(-LN(2)/25)*DG54+(1-EXP(-LN(2)/25))/(LN(2)/25)*Calculateur!DB55*Calculateur!DD55*VLOOKUP('Données projet'!$B$13,Paramètres!$A$1:$I$89,3,0)*0.475*44/12</f>
        <v>20.086955316219708</v>
      </c>
      <c r="DH55" s="21">
        <f>EXP(-LN(2)/2)*DH54+(1-EXP(-LN(2)/2))/(LN(2)/2)*DB55*DE55*VLOOKUP('Données projet'!$B$13,Paramètres!$A$1:$I$89,3,0)*0.475*44/12</f>
        <v>2.2953260069921591</v>
      </c>
      <c r="DI55" s="22">
        <f t="shared" si="15"/>
        <v>67.927702270028647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14.668131868131875</v>
      </c>
      <c r="DO55" s="12">
        <f>IF('Données projet'!$A$166&gt;35,DO54+DN55-DW54,IF(A55&lt;'Données projet'!$A$166,$DL$205^A55,IF(A55='Données projet'!$A$166,'Données projet'!$B$166,DO54+DN55-DW54)))</f>
        <v>289.3813186813187</v>
      </c>
      <c r="DP55" s="17">
        <f>DO55*VLOOKUP('Données projet'!$B$14,Paramètres!$A$1:$I$89,3,0)*VLOOKUP('Données projet'!$B$14,Paramètres!$A$1:$I$89,5,0)</f>
        <v>135.43045714285716</v>
      </c>
      <c r="DQ55" s="13">
        <f t="shared" si="43"/>
        <v>35.248174253598229</v>
      </c>
      <c r="DR55" s="20">
        <f t="shared" si="16"/>
        <v>297.26528301549314</v>
      </c>
      <c r="DS55" s="59">
        <f t="shared" si="17"/>
        <v>590.59861634882645</v>
      </c>
      <c r="DT55" s="59">
        <f ca="1">AVERAGE(OFFSET($DS$3,0,0,'Données projet'!$E$14+1,1))-AVERAGE(OFFSET($H$3,0,0,'Données projet'!$E$14+1,1))</f>
        <v>207.25176714718668</v>
      </c>
      <c r="DU55" s="59">
        <f t="shared" si="44"/>
        <v>191.53228014642559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21.279337792591274</v>
      </c>
      <c r="EB55" s="21">
        <f>EXP(-LN(2)/25)*EB54+(1-EXP(-LN(2)/25))/(LN(2)/25)*Calculateur!DW55*Calculateur!DY55*VLOOKUP('Données projet'!$B$14,Paramètres!$A$1:$I$89,3,0)*0.475*44/12</f>
        <v>30.927229745292831</v>
      </c>
      <c r="EC55" s="21">
        <f>EXP(-LN(2)/2)*EC54+(1-EXP(-LN(2)/2))/(LN(2)/2)*DW55*DZ55*VLOOKUP('Données projet'!$B$14,Paramètres!$A$1:$I$89,3,0)*0.475*44/12</f>
        <v>3.6466839012971763</v>
      </c>
      <c r="ED55" s="22">
        <f t="shared" si="18"/>
        <v>55.853251439181278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331.81538461538463</v>
      </c>
      <c r="EH55" s="12">
        <f>VLOOKUP(A55,'Données projet'!$A$191:$I$211,9,0)</f>
        <v>11.642307692307696</v>
      </c>
      <c r="EI55" s="12">
        <f t="array" ref="EI55">INDEX(EH:EH,MIN(IF(ISNUMBER(EH55:EH251),ROW(EH55:EH251),"")))</f>
        <v>11.642307692307696</v>
      </c>
      <c r="EJ55" s="12">
        <f>IF('Données projet'!$A$192&gt;35,EJ54+EI55-ER54,IF(A55&lt;'Données projet'!$A$192,$EG$205^A55,IF(A55='Données projet'!$A$192,'Données projet'!$B$192,EJ54+EI55-ER54)))</f>
        <v>331.81538461538435</v>
      </c>
      <c r="EK55" s="17">
        <f>EJ55*VLOOKUP('Données projet'!$B$15,Paramètres!$A$1:$I$89,3,0)*VLOOKUP('Données projet'!$B$15,Paramètres!$A$1:$I$89,5,0)</f>
        <v>198.42559999999986</v>
      </c>
      <c r="EL55" s="13">
        <f t="shared" si="45"/>
        <v>49.398003268862659</v>
      </c>
      <c r="EM55" s="20">
        <f t="shared" si="19"/>
        <v>431.62610902660225</v>
      </c>
      <c r="EN55" s="59">
        <f t="shared" si="20"/>
        <v>724.95944235993557</v>
      </c>
      <c r="EO55" s="59">
        <f ca="1">AVERAGE(OFFSET($EN$3,0,0,'Données projet'!$E$15+1,1))-AVERAGE(OFFSET($H$3,0,0,'Données projet'!$E$15+1,1))</f>
        <v>200.15574321350221</v>
      </c>
      <c r="EP55" s="59">
        <f t="shared" si="46"/>
        <v>200.70728852570426</v>
      </c>
      <c r="EQ55" s="15">
        <f>IF(ISNA(VLOOKUP(A55,'Données projet'!$A$191:$I$211,3,0)),0,VLOOKUP(A55,'Données projet'!$A$191:$I$211,3,0))</f>
        <v>6</v>
      </c>
      <c r="ER55" s="15">
        <f>IF(ISNA(VLOOKUP(A55,'Données projet'!$A$191:$I$211,4,0)),0,VLOOKUP(A55,'Données projet'!$A$191:$I$211,4,0))</f>
        <v>61.784615384615378</v>
      </c>
      <c r="ES55" s="16">
        <f>IF(ISNA(VLOOKUP(A55,'Données projet'!$A$191:$I$211,5,0)),0%,VLOOKUP(A55,'Données projet'!$A$191:$I$211,5,0)*VLOOKUP('Données projet'!$B$15,Paramètres!$A$1:$I$89,7,0))</f>
        <v>0.315</v>
      </c>
      <c r="ET55" s="16">
        <f>IF(ISNA(VLOOKUP(A55,'Données projet'!$A$191:$I$211,6,0)),0%,VLOOKUP(A55,'Données projet'!$A$191:$I$211,6,0)*VLOOKUP('Données projet'!$B$15,Paramètres!$A$1:$I$89,7,0))</f>
        <v>7.5600000000000001E-2</v>
      </c>
      <c r="EU55" s="16">
        <f>IF(ISNA(VLOOKUP(A55,'Données projet'!$A$191:$I$211,7,0)),0%,VLOOKUP(A55,'Données projet'!$A$191:$I$211,7,0))</f>
        <v>0.13200000000000001</v>
      </c>
      <c r="EV55" s="21">
        <f>EXP(-LN(2)/35)*EV54+(1-EXP(-LN(2)/35))/(LN(2)/35)*ER55*ES55*VLOOKUP('Données projet'!$B$15,Paramètres!$A$1:$I$89,3,0)*0.475*44/12</f>
        <v>48.492896458905406</v>
      </c>
      <c r="EW55" s="21">
        <f>EXP(-LN(2)/25)*EW54+(1-EXP(-LN(2)/25))/(LN(2)/25)*Calculateur!ER55*Calculateur!ET55*VLOOKUP('Données projet'!$B$15,Paramètres!$A$1:$I$89,3,0)*0.475*44/12</f>
        <v>18.751694445407118</v>
      </c>
      <c r="EX55" s="21">
        <f>EXP(-LN(2)/2)*EX54+(1-EXP(-LN(2)/2))/(LN(2)/2)*ER55*EU55*VLOOKUP('Données projet'!$B$15,Paramètres!$A$1:$I$89,3,0)*0.475*44/12</f>
        <v>5.906861705672978</v>
      </c>
      <c r="EY55" s="22">
        <f t="shared" si="21"/>
        <v>73.151452609985512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8.8736263736263741</v>
      </c>
      <c r="FE55" s="12">
        <f>IF('Données projet'!$A$218&gt;35,FE54+FD55-FM54,IF(A55&lt;'Données projet'!$A$218,$FB$205^A55,IF(A55='Données projet'!$A$218,'Données projet'!$B$218,FE54+FD55-FM54)))</f>
        <v>171.82142857142864</v>
      </c>
      <c r="FF55" s="17">
        <f>FE55*VLOOKUP('Données projet'!$B$16,Paramètres!$A$1:$I$89,3,0)*VLOOKUP('Données projet'!$B$16,Paramètres!$A$1:$I$89,5,0)</f>
        <v>184.94858571428577</v>
      </c>
      <c r="FG55" s="13">
        <f t="shared" si="47"/>
        <v>46.42141148275023</v>
      </c>
      <c r="FH55" s="20">
        <f t="shared" si="22"/>
        <v>402.96941178483775</v>
      </c>
      <c r="FI55" s="59">
        <f t="shared" si="23"/>
        <v>696.30274511817106</v>
      </c>
      <c r="FJ55" s="59">
        <f ca="1">AVERAGE(OFFSET($FI$3,0,0,'Données projet'!$E$16+1,1))-AVERAGE(OFFSET($H$3,0,0,'Données projet'!$E$16+1,1))</f>
        <v>347.17049316703486</v>
      </c>
      <c r="FK55" s="59">
        <f t="shared" si="48"/>
        <v>255.45365487683489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7">
        <f t="shared" si="1"/>
        <v>350.23350500504188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821.50078763234706</v>
      </c>
      <c r="S56" s="59">
        <f ca="1">AVERAGE(OFFSET($R$3,0,0,'Données projet'!$E$9+1,1))-AVERAGE(OFFSET($H$3,0,0,'Données projet'!$E$9+1,1))</f>
        <v>266.02599413192075</v>
      </c>
      <c r="T56" s="59">
        <f t="shared" si="34"/>
        <v>332.94146254783254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8.8736263736263741</v>
      </c>
      <c r="AI56" s="13">
        <f>IF('Données projet'!$A$62&gt;35,AI55+AH56-AQ55,IF(A56&lt;'Données projet'!$A$62,$AF$205^A56,IF(A56='Données projet'!$A$62,'Données projet'!$B$62,AI55+AH56-AQ55)))</f>
        <v>180.69505494505501</v>
      </c>
      <c r="AJ56" s="13">
        <f>AI56*VLOOKUP('Données projet'!$B$10,Paramètres!$A$1:$I$89,3,0)*VLOOKUP('Données projet'!$B$10,Paramètres!$A$1:$I$89,5,0)</f>
        <v>163.49288571428576</v>
      </c>
      <c r="AK56" s="13">
        <f t="shared" si="35"/>
        <v>41.629352600963465</v>
      </c>
      <c r="AL56" s="20">
        <f t="shared" si="4"/>
        <v>357.25456506572573</v>
      </c>
      <c r="AM56" s="59">
        <f t="shared" si="5"/>
        <v>650.58789839905899</v>
      </c>
      <c r="AN56" s="59">
        <f ca="1">AVERAGE(OFFSET($AM$3,0,0,'Données projet'!$E$10+1,1))-AVERAGE(OFFSET($H$3,0,0,'Données projet'!$E$10+1,1))</f>
        <v>282.13645166362238</v>
      </c>
      <c r="AO56" s="59">
        <f t="shared" si="36"/>
        <v>210.5345332979457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16.227472527472521</v>
      </c>
      <c r="BD56" s="12">
        <f>IF('Données projet'!$A$88&gt;35,BD55+BC56-BL55,IF(A56&lt;'Données projet'!$A$88,$BA$205^A56,IF(A56='Données projet'!$A$88,'Données projet'!$B$88,BD55+BC56-BL55)))</f>
        <v>379.0252747252747</v>
      </c>
      <c r="BE56" s="13">
        <f>BD56*VLOOKUP('Données projet'!$B$11,Paramètres!$A$1:$I$89,3,0)*VLOOKUP('Données projet'!$B$11,Paramètres!$A$1:$I$89,5,0)</f>
        <v>211.87512857142855</v>
      </c>
      <c r="BF56" s="13">
        <f t="shared" si="37"/>
        <v>52.345136228066686</v>
      </c>
      <c r="BG56" s="20">
        <f t="shared" si="7"/>
        <v>460.18362785912086</v>
      </c>
      <c r="BH56" s="59">
        <f t="shared" si="8"/>
        <v>753.51696119245412</v>
      </c>
      <c r="BI56" s="59">
        <f ca="1">AVERAGE(OFFSET($BH$3,0,0,'Données projet'!$E$11+1,1))-AVERAGE(OFFSET($H$3,0,0,'Données projet'!$E$11+1,1))</f>
        <v>254.6443970237226</v>
      </c>
      <c r="BJ56" s="59">
        <f t="shared" si="38"/>
        <v>231.81667808018062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56.472030292546407</v>
      </c>
      <c r="BQ56" s="21">
        <f>EXP(-LN(2)/25)*BQ55+(1-EXP(-LN(2)/25))/(LN(2)/25)*Calculateur!BL56*Calculateur!BN56*VLOOKUP('Données projet'!$B$11,Paramètres!$A$1:$I$89,3,0)*0.475*44/12</f>
        <v>24.709414355033417</v>
      </c>
      <c r="BR56" s="21">
        <f>EXP(-LN(2)/2)*BR55+(1-EXP(-LN(2)/2))/(LN(2)/2)*BL56*BO56*VLOOKUP('Données projet'!$B$11,Paramètres!$A$1:$I$89,3,0)*0.475*44/12</f>
        <v>2.0526689746133489</v>
      </c>
      <c r="BS56" s="22">
        <f t="shared" si="9"/>
        <v>83.234113622193178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6.3942307692307701</v>
      </c>
      <c r="BY56" s="12">
        <f>IF('Données projet'!$A$114&gt;35,BY55+BX56-CG55,IF(A56&lt;'Données projet'!$A$114,$BV$205^A56,IF(A56='Données projet'!$A$114,'Données projet'!$B$114,BY55+BX56-CG55)))</f>
        <v>120.89102564102561</v>
      </c>
      <c r="BZ56" s="13">
        <f>BY56*VLOOKUP('Données projet'!$B$12,Paramètres!$A$1:$I$89,3,0)*VLOOKUP('Données projet'!$B$12,Paramètres!$A$1:$I$89,5,0)</f>
        <v>122.58349999999999</v>
      </c>
      <c r="CA56" s="13">
        <f t="shared" si="39"/>
        <v>32.276809219275542</v>
      </c>
      <c r="CB56" s="20">
        <f t="shared" si="10"/>
        <v>269.71503855690486</v>
      </c>
      <c r="CC56" s="59">
        <f t="shared" si="11"/>
        <v>563.04837189023817</v>
      </c>
      <c r="CD56" s="59">
        <f ca="1">AVERAGE(OFFSET($CC$3,0,0,'Données projet'!$E$12+1,1))-AVERAGE(OFFSET($H$3,0,0,'Données projet'!$E$12+1,1))</f>
        <v>264.08050363622294</v>
      </c>
      <c r="CE56" s="59">
        <f t="shared" si="40"/>
        <v>164.48884512322883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16.227472527472521</v>
      </c>
      <c r="CT56" s="12">
        <f>IF('Données projet'!$A$140&gt;35,CT55+CS56-DB55,IF(A56&lt;'Données projet'!$A$140,$CQ$205^A56,IF(A56='Données projet'!$A$140,'Données projet'!$B$140,CT55+CS56-DB55)))</f>
        <v>379.0252747252747</v>
      </c>
      <c r="CU56" s="17">
        <f>CT56*VLOOKUP('Données projet'!$B$13,Paramètres!$A$1:$I$89,3,0)*VLOOKUP('Données projet'!$B$13,Paramètres!$A$1:$I$89,5,0)</f>
        <v>167.52917142857146</v>
      </c>
      <c r="CV56" s="13">
        <f t="shared" si="41"/>
        <v>42.536169523048684</v>
      </c>
      <c r="CW56" s="20">
        <f t="shared" si="13"/>
        <v>365.86380215740513</v>
      </c>
      <c r="CX56" s="59">
        <f t="shared" si="14"/>
        <v>659.19713549073845</v>
      </c>
      <c r="CY56" s="59">
        <f ca="1">AVERAGE(OFFSET($CX$3,0,0,'Données projet'!$E$13+1,1))-AVERAGE(OFFSET($H$3,0,0,'Données projet'!$E$13+1,1))</f>
        <v>194.7221767407824</v>
      </c>
      <c r="CZ56" s="59">
        <f t="shared" si="42"/>
        <v>177.6550559568646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44.652303022013449</v>
      </c>
      <c r="DG56" s="21">
        <f>EXP(-LN(2)/25)*DG55+(1-EXP(-LN(2)/25))/(LN(2)/25)*Calculateur!DB56*Calculateur!DD56*VLOOKUP('Données projet'!$B$13,Paramètres!$A$1:$I$89,3,0)*0.475*44/12</f>
        <v>19.537676466770609</v>
      </c>
      <c r="DH56" s="21">
        <f>EXP(-LN(2)/2)*DH55+(1-EXP(-LN(2)/2))/(LN(2)/2)*DB56*DE56*VLOOKUP('Données projet'!$B$13,Paramètres!$A$1:$I$89,3,0)*0.475*44/12</f>
        <v>1.6230405845779965</v>
      </c>
      <c r="DI56" s="22">
        <f t="shared" si="15"/>
        <v>65.813020073362054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14.668131868131875</v>
      </c>
      <c r="DO56" s="12">
        <f>IF('Données projet'!$A$166&gt;35,DO55+DN56-DW55,IF(A56&lt;'Données projet'!$A$166,$DL$205^A56,IF(A56='Données projet'!$A$166,'Données projet'!$B$166,DO55+DN56-DW55)))</f>
        <v>304.04945054945057</v>
      </c>
      <c r="DP56" s="17">
        <f>DO56*VLOOKUP('Données projet'!$B$14,Paramètres!$A$1:$I$89,3,0)*VLOOKUP('Données projet'!$B$14,Paramètres!$A$1:$I$89,5,0)</f>
        <v>142.29514285714285</v>
      </c>
      <c r="DQ56" s="13">
        <f t="shared" si="43"/>
        <v>36.822291864436032</v>
      </c>
      <c r="DR56" s="20">
        <f t="shared" si="16"/>
        <v>311.96286547341651</v>
      </c>
      <c r="DS56" s="59">
        <f t="shared" si="17"/>
        <v>605.29619880674977</v>
      </c>
      <c r="DT56" s="59">
        <f ca="1">AVERAGE(OFFSET($DS$3,0,0,'Données projet'!$E$14+1,1))-AVERAGE(OFFSET($H$3,0,0,'Données projet'!$E$14+1,1))</f>
        <v>207.25176714718668</v>
      </c>
      <c r="DU56" s="59">
        <f t="shared" si="44"/>
        <v>191.53228014642559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20.862062957593032</v>
      </c>
      <c r="EB56" s="21">
        <f>EXP(-LN(2)/25)*EB55+(1-EXP(-LN(2)/25))/(LN(2)/25)*Calculateur!DW56*Calculateur!DY56*VLOOKUP('Données projet'!$B$14,Paramètres!$A$1:$I$89,3,0)*0.475*44/12</f>
        <v>30.081523021515473</v>
      </c>
      <c r="EC56" s="21">
        <f>EXP(-LN(2)/2)*EC55+(1-EXP(-LN(2)/2))/(LN(2)/2)*DW56*DZ56*VLOOKUP('Données projet'!$B$14,Paramètres!$A$1:$I$89,3,0)*0.475*44/12</f>
        <v>2.5785949154510481</v>
      </c>
      <c r="ED56" s="22">
        <f t="shared" si="18"/>
        <v>53.522180894559554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10.433653846153845</v>
      </c>
      <c r="EJ56" s="12">
        <f>IF('Données projet'!$A$192&gt;35,EJ55+EI56-ER55,IF(A56&lt;'Données projet'!$A$192,$EG$205^A56,IF(A56='Données projet'!$A$192,'Données projet'!$B$192,EJ55+EI56-ER55)))</f>
        <v>280.4644230769228</v>
      </c>
      <c r="EK56" s="17">
        <f>EJ56*VLOOKUP('Données projet'!$B$15,Paramètres!$A$1:$I$89,3,0)*VLOOKUP('Données projet'!$B$15,Paramètres!$A$1:$I$89,5,0)</f>
        <v>167.71772499999983</v>
      </c>
      <c r="EL56" s="13">
        <f t="shared" si="45"/>
        <v>42.578468510426148</v>
      </c>
      <c r="EM56" s="20">
        <f t="shared" si="19"/>
        <v>366.26587036399184</v>
      </c>
      <c r="EN56" s="59">
        <f t="shared" si="20"/>
        <v>659.59920369732515</v>
      </c>
      <c r="EO56" s="59">
        <f ca="1">AVERAGE(OFFSET($EN$3,0,0,'Données projet'!$E$15+1,1))-AVERAGE(OFFSET($H$3,0,0,'Données projet'!$E$15+1,1))</f>
        <v>200.15574321350221</v>
      </c>
      <c r="EP56" s="59">
        <f t="shared" si="46"/>
        <v>200.70728852570426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47.541980337092554</v>
      </c>
      <c r="EW56" s="21">
        <f>EXP(-LN(2)/25)*EW55+(1-EXP(-LN(2)/25))/(LN(2)/25)*Calculateur!ER56*Calculateur!ET56*VLOOKUP('Données projet'!$B$15,Paramètres!$A$1:$I$89,3,0)*0.475*44/12</f>
        <v>18.238928374688708</v>
      </c>
      <c r="EX56" s="21">
        <f>EXP(-LN(2)/2)*EX55+(1-EXP(-LN(2)/2))/(LN(2)/2)*ER56*EU56*VLOOKUP('Données projet'!$B$15,Paramètres!$A$1:$I$89,3,0)*0.475*44/12</f>
        <v>4.1767819676124995</v>
      </c>
      <c r="EY56" s="22">
        <f t="shared" si="21"/>
        <v>69.957690679393764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8.8736263736263741</v>
      </c>
      <c r="FE56" s="12">
        <f>IF('Données projet'!$A$218&gt;35,FE55+FD56-FM55,IF(A56&lt;'Données projet'!$A$218,$FB$205^A56,IF(A56='Données projet'!$A$218,'Données projet'!$B$218,FE55+FD56-FM55)))</f>
        <v>180.69505494505501</v>
      </c>
      <c r="FF56" s="17">
        <f>FE56*VLOOKUP('Données projet'!$B$16,Paramètres!$A$1:$I$89,3,0)*VLOOKUP('Données projet'!$B$16,Paramètres!$A$1:$I$89,5,0)</f>
        <v>194.5001571428572</v>
      </c>
      <c r="FG56" s="13">
        <f t="shared" si="47"/>
        <v>48.533514172404466</v>
      </c>
      <c r="FH56" s="20">
        <f t="shared" si="22"/>
        <v>423.283644207414</v>
      </c>
      <c r="FI56" s="59">
        <f t="shared" si="23"/>
        <v>716.61697754074726</v>
      </c>
      <c r="FJ56" s="59">
        <f ca="1">AVERAGE(OFFSET($FI$3,0,0,'Données projet'!$E$16+1,1))-AVERAGE(OFFSET($H$3,0,0,'Données projet'!$E$16+1,1))</f>
        <v>347.17049316703486</v>
      </c>
      <c r="FK56" s="59">
        <f t="shared" si="48"/>
        <v>255.45365487683489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7">
        <f t="shared" si="1"/>
        <v>351.27675606420007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837.73730337609027</v>
      </c>
      <c r="S57" s="59">
        <f ca="1">AVERAGE(OFFSET($R$3,0,0,'Données projet'!$E$9+1,1))-AVERAGE(OFFSET($H$3,0,0,'Données projet'!$E$9+1,1))</f>
        <v>266.02599413192075</v>
      </c>
      <c r="T57" s="59">
        <f t="shared" si="34"/>
        <v>332.94146254783254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8.8736263736263741</v>
      </c>
      <c r="AI57" s="13">
        <f>IF('Données projet'!$A$62&gt;35,AI56+AH57-AQ56,IF(A57&lt;'Données projet'!$A$62,$AF$205^A57,IF(A57='Données projet'!$A$62,'Données projet'!$B$62,AI56+AH57-AQ56)))</f>
        <v>189.56868131868137</v>
      </c>
      <c r="AJ57" s="13">
        <f>AI57*VLOOKUP('Données projet'!$B$10,Paramètres!$A$1:$I$89,3,0)*VLOOKUP('Données projet'!$B$10,Paramètres!$A$1:$I$89,5,0)</f>
        <v>171.5217428571429</v>
      </c>
      <c r="AK57" s="13">
        <f t="shared" si="35"/>
        <v>43.430666394282092</v>
      </c>
      <c r="AL57" s="20">
        <f t="shared" si="4"/>
        <v>374.37544611289854</v>
      </c>
      <c r="AM57" s="59">
        <f t="shared" si="5"/>
        <v>667.7087794462318</v>
      </c>
      <c r="AN57" s="59">
        <f ca="1">AVERAGE(OFFSET($AM$3,0,0,'Données projet'!$E$10+1,1))-AVERAGE(OFFSET($H$3,0,0,'Données projet'!$E$10+1,1))</f>
        <v>282.13645166362238</v>
      </c>
      <c r="AO57" s="59">
        <f t="shared" si="36"/>
        <v>210.5345332979457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16.227472527472521</v>
      </c>
      <c r="BD57" s="12">
        <f>IF('Données projet'!$A$88&gt;35,BD56+BC57-BL56,IF(A57&lt;'Données projet'!$A$88,$BA$205^A57,IF(A57='Données projet'!$A$88,'Données projet'!$B$88,BD56+BC57-BL56)))</f>
        <v>395.25274725274721</v>
      </c>
      <c r="BE57" s="13">
        <f>BD57*VLOOKUP('Données projet'!$B$11,Paramètres!$A$1:$I$89,3,0)*VLOOKUP('Données projet'!$B$11,Paramètres!$A$1:$I$89,5,0)</f>
        <v>220.94628571428569</v>
      </c>
      <c r="BF57" s="13">
        <f t="shared" si="37"/>
        <v>54.320504840756463</v>
      </c>
      <c r="BG57" s="20">
        <f t="shared" si="7"/>
        <v>479.42299355003178</v>
      </c>
      <c r="BH57" s="59">
        <f t="shared" si="8"/>
        <v>772.75632688336509</v>
      </c>
      <c r="BI57" s="59">
        <f ca="1">AVERAGE(OFFSET($BH$3,0,0,'Données projet'!$E$11+1,1))-AVERAGE(OFFSET($H$3,0,0,'Données projet'!$E$11+1,1))</f>
        <v>254.6443970237226</v>
      </c>
      <c r="BJ57" s="59">
        <f t="shared" si="38"/>
        <v>231.81667808018062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55.364648223046935</v>
      </c>
      <c r="BQ57" s="21">
        <f>EXP(-LN(2)/25)*BQ56+(1-EXP(-LN(2)/25))/(LN(2)/25)*Calculateur!BL57*Calculateur!BN57*VLOOKUP('Données projet'!$B$11,Paramètres!$A$1:$I$89,3,0)*0.475*44/12</f>
        <v>24.033734120083402</v>
      </c>
      <c r="BR57" s="21">
        <f>EXP(-LN(2)/2)*BR56+(1-EXP(-LN(2)/2))/(LN(2)/2)*BL57*BO57*VLOOKUP('Données projet'!$B$11,Paramètres!$A$1:$I$89,3,0)*0.475*44/12</f>
        <v>1.4514561514803361</v>
      </c>
      <c r="BS57" s="22">
        <f t="shared" si="9"/>
        <v>80.84983849461068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6.3942307692307701</v>
      </c>
      <c r="BY57" s="12">
        <f>IF('Données projet'!$A$114&gt;35,BY56+BX57-CG56,IF(A57&lt;'Données projet'!$A$114,$BV$205^A57,IF(A57='Données projet'!$A$114,'Données projet'!$B$114,BY56+BX57-CG56)))</f>
        <v>127.28525641025638</v>
      </c>
      <c r="BZ57" s="13">
        <f>BY57*VLOOKUP('Données projet'!$B$12,Paramètres!$A$1:$I$89,3,0)*VLOOKUP('Données projet'!$B$12,Paramètres!$A$1:$I$89,5,0)</f>
        <v>129.06724999999997</v>
      </c>
      <c r="CA57" s="13">
        <f t="shared" si="39"/>
        <v>33.780737949764791</v>
      </c>
      <c r="CB57" s="20">
        <f t="shared" si="10"/>
        <v>283.62691234584025</v>
      </c>
      <c r="CC57" s="59">
        <f t="shared" si="11"/>
        <v>576.96024567917357</v>
      </c>
      <c r="CD57" s="59">
        <f ca="1">AVERAGE(OFFSET($CC$3,0,0,'Données projet'!$E$12+1,1))-AVERAGE(OFFSET($H$3,0,0,'Données projet'!$E$12+1,1))</f>
        <v>264.08050363622294</v>
      </c>
      <c r="CE57" s="59">
        <f t="shared" si="40"/>
        <v>164.48884512322883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16.227472527472521</v>
      </c>
      <c r="CT57" s="12">
        <f>IF('Données projet'!$A$140&gt;35,CT56+CS57-DB56,IF(A57&lt;'Données projet'!$A$140,$CQ$205^A57,IF(A57='Données projet'!$A$140,'Données projet'!$B$140,CT56+CS57-DB56)))</f>
        <v>395.25274725274721</v>
      </c>
      <c r="CU57" s="17">
        <f>CT57*VLOOKUP('Données projet'!$B$13,Paramètres!$A$1:$I$89,3,0)*VLOOKUP('Données projet'!$B$13,Paramètres!$A$1:$I$89,5,0)</f>
        <v>174.7017142857143</v>
      </c>
      <c r="CV57" s="13">
        <f t="shared" si="41"/>
        <v>44.14137337262482</v>
      </c>
      <c r="CW57" s="20">
        <f t="shared" si="13"/>
        <v>381.15171100494064</v>
      </c>
      <c r="CX57" s="59">
        <f t="shared" si="14"/>
        <v>674.48504433827395</v>
      </c>
      <c r="CY57" s="59">
        <f ca="1">AVERAGE(OFFSET($CX$3,0,0,'Données projet'!$E$13+1,1))-AVERAGE(OFFSET($H$3,0,0,'Données projet'!$E$13+1,1))</f>
        <v>194.7221767407824</v>
      </c>
      <c r="CZ57" s="59">
        <f t="shared" si="42"/>
        <v>177.6550559568646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43.776698594967357</v>
      </c>
      <c r="DG57" s="21">
        <f>EXP(-LN(2)/25)*DG56+(1-EXP(-LN(2)/25))/(LN(2)/25)*Calculateur!DB57*Calculateur!DD57*VLOOKUP('Données projet'!$B$13,Paramètres!$A$1:$I$89,3,0)*0.475*44/12</f>
        <v>19.003417676345016</v>
      </c>
      <c r="DH57" s="21">
        <f>EXP(-LN(2)/2)*DH56+(1-EXP(-LN(2)/2))/(LN(2)/2)*DB57*DE57*VLOOKUP('Données projet'!$B$13,Paramètres!$A$1:$I$89,3,0)*0.475*44/12</f>
        <v>1.1476630034960795</v>
      </c>
      <c r="DI57" s="22">
        <f t="shared" si="15"/>
        <v>63.927779274808451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14.668131868131875</v>
      </c>
      <c r="DO57" s="12">
        <f>IF('Données projet'!$A$166&gt;35,DO56+DN57-DW56,IF(A57&lt;'Données projet'!$A$166,$DL$205^A57,IF(A57='Données projet'!$A$166,'Données projet'!$B$166,DO56+DN57-DW56)))</f>
        <v>318.71758241758243</v>
      </c>
      <c r="DP57" s="17">
        <f>DO57*VLOOKUP('Données projet'!$B$14,Paramètres!$A$1:$I$89,3,0)*VLOOKUP('Données projet'!$B$14,Paramètres!$A$1:$I$89,5,0)</f>
        <v>149.15982857142859</v>
      </c>
      <c r="DQ57" s="13">
        <f t="shared" si="43"/>
        <v>38.387591277502224</v>
      </c>
      <c r="DR57" s="20">
        <f t="shared" si="16"/>
        <v>326.64508957022116</v>
      </c>
      <c r="DS57" s="59">
        <f t="shared" si="17"/>
        <v>619.97842290355447</v>
      </c>
      <c r="DT57" s="59">
        <f ca="1">AVERAGE(OFFSET($DS$3,0,0,'Données projet'!$E$14+1,1))-AVERAGE(OFFSET($H$3,0,0,'Données projet'!$E$14+1,1))</f>
        <v>207.25176714718668</v>
      </c>
      <c r="DU57" s="59">
        <f t="shared" si="44"/>
        <v>191.53228014642559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20.452970627596589</v>
      </c>
      <c r="EB57" s="21">
        <f>EXP(-LN(2)/25)*EB56+(1-EXP(-LN(2)/25))/(LN(2)/25)*Calculateur!DW57*Calculateur!DY57*VLOOKUP('Données projet'!$B$14,Paramètres!$A$1:$I$89,3,0)*0.475*44/12</f>
        <v>29.258942192573588</v>
      </c>
      <c r="EC57" s="21">
        <f>EXP(-LN(2)/2)*EC56+(1-EXP(-LN(2)/2))/(LN(2)/2)*DW57*DZ57*VLOOKUP('Données projet'!$B$14,Paramètres!$A$1:$I$89,3,0)*0.475*44/12</f>
        <v>1.8233419506485884</v>
      </c>
      <c r="ED57" s="22">
        <f t="shared" si="18"/>
        <v>51.535254770818767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10.433653846153845</v>
      </c>
      <c r="EJ57" s="12">
        <f>IF('Données projet'!$A$192&gt;35,EJ56+EI57-ER56,IF(A57&lt;'Données projet'!$A$192,$EG$205^A57,IF(A57='Données projet'!$A$192,'Données projet'!$B$192,EJ56+EI57-ER56)))</f>
        <v>290.89807692307664</v>
      </c>
      <c r="EK57" s="17">
        <f>EJ57*VLOOKUP('Données projet'!$B$15,Paramètres!$A$1:$I$89,3,0)*VLOOKUP('Données projet'!$B$15,Paramètres!$A$1:$I$89,5,0)</f>
        <v>173.95704999999984</v>
      </c>
      <c r="EL57" s="13">
        <f t="shared" si="45"/>
        <v>43.975080818549294</v>
      </c>
      <c r="EM57" s="20">
        <f t="shared" si="19"/>
        <v>379.56512784230637</v>
      </c>
      <c r="EN57" s="59">
        <f t="shared" si="20"/>
        <v>672.89846117563968</v>
      </c>
      <c r="EO57" s="59">
        <f ca="1">AVERAGE(OFFSET($EN$3,0,0,'Données projet'!$E$15+1,1))-AVERAGE(OFFSET($H$3,0,0,'Données projet'!$E$15+1,1))</f>
        <v>200.15574321350221</v>
      </c>
      <c r="EP57" s="59">
        <f t="shared" si="46"/>
        <v>200.70728852570426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46.609711100426885</v>
      </c>
      <c r="EW57" s="21">
        <f>EXP(-LN(2)/25)*EW56+(1-EXP(-LN(2)/25))/(LN(2)/25)*Calculateur!ER57*Calculateur!ET57*VLOOKUP('Données projet'!$B$15,Paramètres!$A$1:$I$89,3,0)*0.475*44/12</f>
        <v>17.740183919139287</v>
      </c>
      <c r="EX57" s="21">
        <f>EXP(-LN(2)/2)*EX56+(1-EXP(-LN(2)/2))/(LN(2)/2)*ER57*EU57*VLOOKUP('Données projet'!$B$15,Paramètres!$A$1:$I$89,3,0)*0.475*44/12</f>
        <v>2.9534308528364894</v>
      </c>
      <c r="EY57" s="22">
        <f t="shared" si="21"/>
        <v>67.303325872402667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8.8736263736263741</v>
      </c>
      <c r="FE57" s="12">
        <f>IF('Données projet'!$A$218&gt;35,FE56+FD57-FM56,IF(A57&lt;'Données projet'!$A$218,$FB$205^A57,IF(A57='Données projet'!$A$218,'Données projet'!$B$218,FE56+FD57-FM56)))</f>
        <v>189.56868131868137</v>
      </c>
      <c r="FF57" s="17">
        <f>FE57*VLOOKUP('Données projet'!$B$16,Paramètres!$A$1:$I$89,3,0)*VLOOKUP('Données projet'!$B$16,Paramètres!$A$1:$I$89,5,0)</f>
        <v>204.05172857142861</v>
      </c>
      <c r="FG57" s="13">
        <f t="shared" si="47"/>
        <v>50.633572978386375</v>
      </c>
      <c r="FH57" s="20">
        <f t="shared" si="22"/>
        <v>443.57690019926105</v>
      </c>
      <c r="FI57" s="59">
        <f t="shared" si="23"/>
        <v>736.91023353259436</v>
      </c>
      <c r="FJ57" s="59">
        <f ca="1">AVERAGE(OFFSET($FI$3,0,0,'Données projet'!$E$16+1,1))-AVERAGE(OFFSET($H$3,0,0,'Données projet'!$E$16+1,1))</f>
        <v>347.17049316703486</v>
      </c>
      <c r="FK57" s="59">
        <f t="shared" si="48"/>
        <v>255.45365487683489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7">
        <f t="shared" si="1"/>
        <v>352.31951583105229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266.02599413192075</v>
      </c>
      <c r="T58" s="59">
        <f t="shared" si="34"/>
        <v>332.94146254783254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198.44230769230768</v>
      </c>
      <c r="AG58" s="12">
        <f>VLOOKUP(A58,'Données projet'!$A$61:$I$81,9,0)</f>
        <v>8.8736263736263741</v>
      </c>
      <c r="AH58" s="12">
        <f t="array" ref="AH58">INDEX(AG:AG,MIN(IF(ISNUMBER(AG58:AG254),ROW(AG58:AG254),"")))</f>
        <v>8.8736263736263741</v>
      </c>
      <c r="AI58" s="13">
        <f>IF('Données projet'!$A$62&gt;35,AI57+AH58-AQ57,IF(A58&lt;'Données projet'!$A$62,$AF$205^A58,IF(A58='Données projet'!$A$62,'Données projet'!$B$62,AI57+AH58-AQ57)))</f>
        <v>198.44230769230774</v>
      </c>
      <c r="AJ58" s="13">
        <f>AI58*VLOOKUP('Données projet'!$B$10,Paramètres!$A$1:$I$89,3,0)*VLOOKUP('Données projet'!$B$10,Paramètres!$A$1:$I$89,5,0)</f>
        <v>179.55060000000003</v>
      </c>
      <c r="AK58" s="13">
        <f t="shared" si="35"/>
        <v>45.22218840459005</v>
      </c>
      <c r="AL58" s="20">
        <f t="shared" si="4"/>
        <v>391.47927313799437</v>
      </c>
      <c r="AM58" s="59">
        <f t="shared" si="5"/>
        <v>684.81260647132763</v>
      </c>
      <c r="AN58" s="59">
        <f ca="1">AVERAGE(OFFSET($AM$3,0,0,'Données projet'!$E$10+1,1))-AVERAGE(OFFSET($H$3,0,0,'Données projet'!$E$10+1,1))</f>
        <v>282.13645166362238</v>
      </c>
      <c r="AO58" s="59">
        <f t="shared" si="36"/>
        <v>210.5345332979457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45.147435897435898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16.227472527472521</v>
      </c>
      <c r="BD58" s="12">
        <f>IF('Données projet'!$A$88&gt;35,BD57+BC58-BL57,IF(A58&lt;'Données projet'!$A$88,$BA$205^A58,IF(A58='Données projet'!$A$88,'Données projet'!$B$88,BD57+BC58-BL57)))</f>
        <v>411.48021978021973</v>
      </c>
      <c r="BE58" s="13">
        <f>BD58*VLOOKUP('Données projet'!$B$11,Paramètres!$A$1:$I$89,3,0)*VLOOKUP('Données projet'!$B$11,Paramètres!$A$1:$I$89,5,0)</f>
        <v>230.01744285714284</v>
      </c>
      <c r="BF58" s="13">
        <f t="shared" si="37"/>
        <v>56.286453068022915</v>
      </c>
      <c r="BG58" s="20">
        <f t="shared" si="7"/>
        <v>498.64595206966368</v>
      </c>
      <c r="BH58" s="59">
        <f t="shared" si="8"/>
        <v>791.97928540299699</v>
      </c>
      <c r="BI58" s="59">
        <f ca="1">AVERAGE(OFFSET($BH$3,0,0,'Données projet'!$E$11+1,1))-AVERAGE(OFFSET($H$3,0,0,'Données projet'!$E$11+1,1))</f>
        <v>254.6443970237226</v>
      </c>
      <c r="BJ58" s="59">
        <f t="shared" si="38"/>
        <v>231.81667808018062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54.278981240493977</v>
      </c>
      <c r="BQ58" s="21">
        <f>EXP(-LN(2)/25)*BQ57+(1-EXP(-LN(2)/25))/(LN(2)/25)*Calculateur!BL58*Calculateur!BN58*VLOOKUP('Données projet'!$B$11,Paramètres!$A$1:$I$89,3,0)*0.475*44/12</f>
        <v>23.376530396690573</v>
      </c>
      <c r="BR58" s="21">
        <f>EXP(-LN(2)/2)*BR57+(1-EXP(-LN(2)/2))/(LN(2)/2)*BL58*BO58*VLOOKUP('Données projet'!$B$11,Paramètres!$A$1:$I$89,3,0)*0.475*44/12</f>
        <v>1.0263344873066744</v>
      </c>
      <c r="BS58" s="22">
        <f t="shared" si="9"/>
        <v>78.681846124491216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6.3942307692307701</v>
      </c>
      <c r="BY58" s="12">
        <f>IF('Données projet'!$A$114&gt;35,BY57+BX58-CG57,IF(A58&lt;'Données projet'!$A$114,$BV$205^A58,IF(A58='Données projet'!$A$114,'Données projet'!$B$114,BY57+BX58-CG57)))</f>
        <v>133.67948717948715</v>
      </c>
      <c r="BZ58" s="13">
        <f>BY58*VLOOKUP('Données projet'!$B$12,Paramètres!$A$1:$I$89,3,0)*VLOOKUP('Données projet'!$B$12,Paramètres!$A$1:$I$89,5,0)</f>
        <v>135.55099999999999</v>
      </c>
      <c r="CA58" s="13">
        <f t="shared" si="39"/>
        <v>35.275894365560525</v>
      </c>
      <c r="CB58" s="20">
        <f t="shared" si="10"/>
        <v>297.52350768668458</v>
      </c>
      <c r="CC58" s="59">
        <f t="shared" si="11"/>
        <v>590.8568410200179</v>
      </c>
      <c r="CD58" s="59">
        <f ca="1">AVERAGE(OFFSET($CC$3,0,0,'Données projet'!$E$12+1,1))-AVERAGE(OFFSET($H$3,0,0,'Données projet'!$E$12+1,1))</f>
        <v>264.08050363622294</v>
      </c>
      <c r="CE58" s="59">
        <f t="shared" si="40"/>
        <v>164.48884512322883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16.227472527472521</v>
      </c>
      <c r="CT58" s="12">
        <f>IF('Données projet'!$A$140&gt;35,CT57+CS58-DB57,IF(A58&lt;'Données projet'!$A$140,$CQ$205^A58,IF(A58='Données projet'!$A$140,'Données projet'!$B$140,CT57+CS58-DB57)))</f>
        <v>411.48021978021973</v>
      </c>
      <c r="CU58" s="17">
        <f>CT58*VLOOKUP('Données projet'!$B$13,Paramètres!$A$1:$I$89,3,0)*VLOOKUP('Données projet'!$B$13,Paramètres!$A$1:$I$89,5,0)</f>
        <v>181.87425714285715</v>
      </c>
      <c r="CV58" s="13">
        <f t="shared" si="41"/>
        <v>45.738922124894664</v>
      </c>
      <c r="CW58" s="20">
        <f t="shared" si="13"/>
        <v>396.4262872246677</v>
      </c>
      <c r="CX58" s="59">
        <f t="shared" si="14"/>
        <v>689.75962055800096</v>
      </c>
      <c r="CY58" s="59">
        <f ca="1">AVERAGE(OFFSET($CX$3,0,0,'Données projet'!$E$13+1,1))-AVERAGE(OFFSET($H$3,0,0,'Données projet'!$E$13+1,1))</f>
        <v>194.7221767407824</v>
      </c>
      <c r="CZ58" s="59">
        <f t="shared" si="42"/>
        <v>177.6550559568646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42.918264236669671</v>
      </c>
      <c r="DG58" s="21">
        <f>EXP(-LN(2)/25)*DG57+(1-EXP(-LN(2)/25))/(LN(2)/25)*Calculateur!DB58*Calculateur!DD58*VLOOKUP('Données projet'!$B$13,Paramètres!$A$1:$I$89,3,0)*0.475*44/12</f>
        <v>18.48376822063906</v>
      </c>
      <c r="DH58" s="21">
        <f>EXP(-LN(2)/2)*DH57+(1-EXP(-LN(2)/2))/(LN(2)/2)*DB58*DE58*VLOOKUP('Données projet'!$B$13,Paramètres!$A$1:$I$89,3,0)*0.475*44/12</f>
        <v>0.81152029228899825</v>
      </c>
      <c r="DI58" s="22">
        <f t="shared" si="15"/>
        <v>62.213552749597731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14.668131868131875</v>
      </c>
      <c r="DO58" s="12">
        <f>IF('Données projet'!$A$166&gt;35,DO57+DN58-DW57,IF(A58&lt;'Données projet'!$A$166,$DL$205^A58,IF(A58='Données projet'!$A$166,'Données projet'!$B$166,DO57+DN58-DW57)))</f>
        <v>333.3857142857143</v>
      </c>
      <c r="DP58" s="17">
        <f>DO58*VLOOKUP('Données projet'!$B$14,Paramètres!$A$1:$I$89,3,0)*VLOOKUP('Données projet'!$B$14,Paramètres!$A$1:$I$89,5,0)</f>
        <v>156.0245142857143</v>
      </c>
      <c r="DQ58" s="13">
        <f t="shared" si="43"/>
        <v>39.944524680961258</v>
      </c>
      <c r="DR58" s="20">
        <f t="shared" si="16"/>
        <v>341.31274286695992</v>
      </c>
      <c r="DS58" s="59">
        <f t="shared" si="17"/>
        <v>634.64607620029324</v>
      </c>
      <c r="DT58" s="59">
        <f ca="1">AVERAGE(OFFSET($DS$3,0,0,'Données projet'!$E$14+1,1))-AVERAGE(OFFSET($H$3,0,0,'Données projet'!$E$14+1,1))</f>
        <v>207.25176714718668</v>
      </c>
      <c r="DU58" s="59">
        <f t="shared" si="44"/>
        <v>191.53228014642559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20.05190034866969</v>
      </c>
      <c r="EB58" s="21">
        <f>EXP(-LN(2)/25)*EB57+(1-EXP(-LN(2)/25))/(LN(2)/25)*Calculateur!DW58*Calculateur!DY58*VLOOKUP('Données projet'!$B$14,Paramètres!$A$1:$I$89,3,0)*0.475*44/12</f>
        <v>28.458854879656766</v>
      </c>
      <c r="EC58" s="21">
        <f>EXP(-LN(2)/2)*EC57+(1-EXP(-LN(2)/2))/(LN(2)/2)*DW58*DZ58*VLOOKUP('Données projet'!$B$14,Paramètres!$A$1:$I$89,3,0)*0.475*44/12</f>
        <v>1.2892974577255243</v>
      </c>
      <c r="ED58" s="22">
        <f t="shared" si="18"/>
        <v>49.800052686051984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10.433653846153845</v>
      </c>
      <c r="EJ58" s="12">
        <f>IF('Données projet'!$A$192&gt;35,EJ57+EI58-ER57,IF(A58&lt;'Données projet'!$A$192,$EG$205^A58,IF(A58='Données projet'!$A$192,'Données projet'!$B$192,EJ57+EI58-ER57)))</f>
        <v>301.33173076923049</v>
      </c>
      <c r="EK58" s="17">
        <f>EJ58*VLOOKUP('Données projet'!$B$15,Paramètres!$A$1:$I$89,3,0)*VLOOKUP('Données projet'!$B$15,Paramètres!$A$1:$I$89,5,0)</f>
        <v>180.19637499999985</v>
      </c>
      <c r="EL58" s="13">
        <f t="shared" si="45"/>
        <v>45.365873213127998</v>
      </c>
      <c r="EM58" s="20">
        <f t="shared" si="19"/>
        <v>392.85424897119765</v>
      </c>
      <c r="EN58" s="59">
        <f t="shared" si="20"/>
        <v>686.18758230453091</v>
      </c>
      <c r="EO58" s="59">
        <f ca="1">AVERAGE(OFFSET($EN$3,0,0,'Données projet'!$E$15+1,1))-AVERAGE(OFFSET($H$3,0,0,'Données projet'!$E$15+1,1))</f>
        <v>200.15574321350221</v>
      </c>
      <c r="EP58" s="59">
        <f t="shared" si="46"/>
        <v>200.70728852570426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45.695723094864142</v>
      </c>
      <c r="EW58" s="21">
        <f>EXP(-LN(2)/25)*EW57+(1-EXP(-LN(2)/25))/(LN(2)/25)*Calculateur!ER58*Calculateur!ET58*VLOOKUP('Données projet'!$B$15,Paramètres!$A$1:$I$89,3,0)*0.475*44/12</f>
        <v>17.255077656954697</v>
      </c>
      <c r="EX58" s="21">
        <f>EXP(-LN(2)/2)*EX57+(1-EXP(-LN(2)/2))/(LN(2)/2)*ER58*EU58*VLOOKUP('Données projet'!$B$15,Paramètres!$A$1:$I$89,3,0)*0.475*44/12</f>
        <v>2.0883909838062502</v>
      </c>
      <c r="EY58" s="22">
        <f t="shared" si="21"/>
        <v>65.039191735625096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198.44230769230768</v>
      </c>
      <c r="FC58" s="12">
        <f>VLOOKUP(A58,'Données projet'!$A$217:$I$237,9,0)</f>
        <v>8.8736263736263741</v>
      </c>
      <c r="FD58" s="12">
        <f t="array" ref="FD58">INDEX(FC:FC,MIN(IF(ISNUMBER(FC58:FC254),ROW(FC58:FC254),"")))</f>
        <v>8.8736263736263741</v>
      </c>
      <c r="FE58" s="12">
        <f>IF('Données projet'!$A$218&gt;35,FE57+FD58-FM57,IF(A58&lt;'Données projet'!$A$218,$FB$205^A58,IF(A58='Données projet'!$A$218,'Données projet'!$B$218,FE57+FD58-FM57)))</f>
        <v>198.44230769230774</v>
      </c>
      <c r="FF58" s="17">
        <f>FE58*VLOOKUP('Données projet'!$B$16,Paramètres!$A$1:$I$89,3,0)*VLOOKUP('Données projet'!$B$16,Paramètres!$A$1:$I$89,5,0)</f>
        <v>213.60330000000005</v>
      </c>
      <c r="FG58" s="13">
        <f t="shared" si="47"/>
        <v>52.722216049800402</v>
      </c>
      <c r="FH58" s="20">
        <f t="shared" si="22"/>
        <v>463.85027378673584</v>
      </c>
      <c r="FI58" s="59">
        <f t="shared" si="23"/>
        <v>757.18360712006915</v>
      </c>
      <c r="FJ58" s="59">
        <f ca="1">AVERAGE(OFFSET($FI$3,0,0,'Données projet'!$E$16+1,1))-AVERAGE(OFFSET($H$3,0,0,'Données projet'!$E$16+1,1))</f>
        <v>347.17049316703486</v>
      </c>
      <c r="FK58" s="59">
        <f t="shared" si="48"/>
        <v>255.45365487683489</v>
      </c>
      <c r="FL58" s="15">
        <f>IF(ISNA(VLOOKUP(A58,'Données projet'!$A$217:$I$237,3,0)),0,VLOOKUP(A58,'Données projet'!$A$217:$I$237,3,0))</f>
        <v>4</v>
      </c>
      <c r="FM58" s="15">
        <f>IF(ISNA(VLOOKUP(A58,'Données projet'!$A$217:$I$237,4,0)),0,VLOOKUP(A58,'Données projet'!$A$217:$I$237,4,0))</f>
        <v>45.147435897435898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7">
        <f t="shared" si="1"/>
        <v>353.361794268501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870.18018702091422</v>
      </c>
      <c r="S59" s="59">
        <f ca="1">AVERAGE(OFFSET($R$3,0,0,'Données projet'!$E$9+1,1))-AVERAGE(OFFSET($H$3,0,0,'Données projet'!$E$9+1,1))</f>
        <v>266.02599413192075</v>
      </c>
      <c r="T59" s="59">
        <f t="shared" si="34"/>
        <v>332.94146254783254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8.374198717948719</v>
      </c>
      <c r="AI59" s="13">
        <f>IF('Données projet'!$A$62&gt;35,AI58+AH59-AQ58,IF(A59&lt;'Données projet'!$A$62,$AF$205^A59,IF(A59='Données projet'!$A$62,'Données projet'!$B$62,AI58+AH59-AQ58)))</f>
        <v>161.66907051282055</v>
      </c>
      <c r="AJ59" s="13">
        <f>AI59*VLOOKUP('Données projet'!$B$10,Paramètres!$A$1:$I$89,3,0)*VLOOKUP('Données projet'!$B$10,Paramètres!$A$1:$I$89,5,0)</f>
        <v>146.27817500000003</v>
      </c>
      <c r="AK59" s="13">
        <f t="shared" si="35"/>
        <v>37.731554716297467</v>
      </c>
      <c r="AL59" s="20">
        <f t="shared" si="4"/>
        <v>320.48361258921813</v>
      </c>
      <c r="AM59" s="59">
        <f t="shared" si="5"/>
        <v>613.81694592255144</v>
      </c>
      <c r="AN59" s="59">
        <f ca="1">AVERAGE(OFFSET($AM$3,0,0,'Données projet'!$E$10+1,1))-AVERAGE(OFFSET($H$3,0,0,'Données projet'!$E$10+1,1))</f>
        <v>282.13645166362238</v>
      </c>
      <c r="AO59" s="59">
        <f t="shared" si="36"/>
        <v>210.5345332979457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427.7076923076923</v>
      </c>
      <c r="BB59" s="12">
        <f>VLOOKUP(A59,'Données projet'!$A$87:$I$107,9,0)</f>
        <v>16.227472527472521</v>
      </c>
      <c r="BC59" s="12">
        <f t="array" ref="BC59">INDEX(BB:BB,MIN(IF(ISNUMBER(BB59:BB255),ROW(BB59:BB255),"")))</f>
        <v>16.227472527472521</v>
      </c>
      <c r="BD59" s="12">
        <f>IF('Données projet'!$A$88&gt;35,BD58+BC59-BL58,IF(A59&lt;'Données projet'!$A$88,$BA$205^A59,IF(A59='Données projet'!$A$88,'Données projet'!$B$88,BD58+BC59-BL58)))</f>
        <v>427.70769230769224</v>
      </c>
      <c r="BE59" s="13">
        <f>BD59*VLOOKUP('Données projet'!$B$11,Paramètres!$A$1:$I$89,3,0)*VLOOKUP('Données projet'!$B$11,Paramètres!$A$1:$I$89,5,0)</f>
        <v>239.08859999999996</v>
      </c>
      <c r="BF59" s="13">
        <f t="shared" si="37"/>
        <v>58.243394931850105</v>
      </c>
      <c r="BG59" s="20">
        <f t="shared" si="7"/>
        <v>517.85322450630554</v>
      </c>
      <c r="BH59" s="59">
        <f t="shared" si="8"/>
        <v>811.18655783963891</v>
      </c>
      <c r="BI59" s="59">
        <f ca="1">AVERAGE(OFFSET($BH$3,0,0,'Données projet'!$E$11+1,1))-AVERAGE(OFFSET($H$3,0,0,'Données projet'!$E$11+1,1))</f>
        <v>254.6443970237226</v>
      </c>
      <c r="BJ59" s="59">
        <f t="shared" si="38"/>
        <v>231.81667808018062</v>
      </c>
      <c r="BK59" s="15">
        <f>IF(ISNA(VLOOKUP(A59,'Données projet'!$A$87:$I$107,3,0)),0,VLOOKUP(A59,'Données projet'!$A$87:$I$107,3,0))</f>
        <v>6</v>
      </c>
      <c r="BL59" s="15">
        <f>IF(ISNA(VLOOKUP(A59,'Données projet'!$A$87:$I$107,4,0)),0,VLOOKUP(A59,'Données projet'!$A$87:$I$107,4,0))</f>
        <v>75.869230769230768</v>
      </c>
      <c r="BM59" s="16">
        <f>IF(ISNA(VLOOKUP(A59,'Données projet'!$A$87:$I$107,5,0)),0%,VLOOKUP(A59,'Données projet'!$A$87:$I$107,5,0)*VLOOKUP('Données projet'!$B$11,Paramètres!$A$1:$I$89,7,0))</f>
        <v>0.38500000000000001</v>
      </c>
      <c r="BN59" s="16">
        <f>IF(ISNA(VLOOKUP(A59,'Données projet'!$A$87:$I$107,6,0)),0%,VLOOKUP(A59,'Données projet'!$A$87:$I$107,6,0)*VLOOKUP('Données projet'!$B$11,Paramètres!$A$1:$I$89,7,0))</f>
        <v>9.240000000000001E-2</v>
      </c>
      <c r="BO59" s="16">
        <f>IF(ISNA(VLOOKUP(A59,'Données projet'!$A$87:$I$107,7,0)),0%,VLOOKUP(A59,'Données projet'!$A$87:$I$107,7,0))</f>
        <v>0.13200000000000001</v>
      </c>
      <c r="BP59" s="21">
        <f>EXP(-LN(2)/35)*BP58+(1-EXP(-LN(2)/35))/(LN(2)/35)*BL59*BM59*VLOOKUP('Données projet'!$B$11,Paramètres!$A$1:$I$89,3,0)*0.475*44/12</f>
        <v>74.875008623609716</v>
      </c>
      <c r="BQ59" s="21">
        <f>EXP(-LN(2)/25)*BQ58+(1-EXP(-LN(2)/25))/(LN(2)/25)*Calculateur!BL59*Calculateur!BN59*VLOOKUP('Données projet'!$B$11,Paramètres!$A$1:$I$89,3,0)*0.475*44/12</f>
        <v>27.915326702922474</v>
      </c>
      <c r="BR59" s="21">
        <f>EXP(-LN(2)/2)*BR58+(1-EXP(-LN(2)/2))/(LN(2)/2)*BL59*BO59*VLOOKUP('Données projet'!$B$11,Paramètres!$A$1:$I$89,3,0)*0.475*44/12</f>
        <v>7.0642348543659716</v>
      </c>
      <c r="BS59" s="22">
        <f t="shared" si="9"/>
        <v>109.85457018089816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6.3942307692307701</v>
      </c>
      <c r="BY59" s="12">
        <f>IF('Données projet'!$A$114&gt;35,BY58+BX59-CG58,IF(A59&lt;'Données projet'!$A$114,$BV$205^A59,IF(A59='Données projet'!$A$114,'Données projet'!$B$114,BY58+BX59-CG58)))</f>
        <v>140.07371794871793</v>
      </c>
      <c r="BZ59" s="13">
        <f>BY59*VLOOKUP('Données projet'!$B$12,Paramètres!$A$1:$I$89,3,0)*VLOOKUP('Données projet'!$B$12,Paramètres!$A$1:$I$89,5,0)</f>
        <v>142.03474999999997</v>
      </c>
      <c r="CA59" s="13">
        <f t="shared" si="39"/>
        <v>36.762745973606584</v>
      </c>
      <c r="CB59" s="20">
        <f t="shared" si="10"/>
        <v>311.40563882069802</v>
      </c>
      <c r="CC59" s="59">
        <f t="shared" si="11"/>
        <v>604.73897215403133</v>
      </c>
      <c r="CD59" s="59">
        <f ca="1">AVERAGE(OFFSET($CC$3,0,0,'Données projet'!$E$12+1,1))-AVERAGE(OFFSET($H$3,0,0,'Données projet'!$E$12+1,1))</f>
        <v>264.08050363622294</v>
      </c>
      <c r="CE59" s="59">
        <f t="shared" si="40"/>
        <v>164.48884512322883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>
        <f>VLOOKUP(A59,'Données projet'!$A$139:$I$159,2,0)</f>
        <v>427.7076923076923</v>
      </c>
      <c r="CR59" s="12">
        <f>VLOOKUP(A59,'Données projet'!$A$139:$I$159,9,0)</f>
        <v>16.227472527472521</v>
      </c>
      <c r="CS59" s="12">
        <f t="array" ref="CS59">INDEX(CR:CR,MIN(IF(ISNUMBER(CR59:CR255),ROW(CR59:CR255),"")))</f>
        <v>16.227472527472521</v>
      </c>
      <c r="CT59" s="12">
        <f>IF('Données projet'!$A$140&gt;35,CT58+CS59-DB58,IF(A59&lt;'Données projet'!$A$140,$CQ$205^A59,IF(A59='Données projet'!$A$140,'Données projet'!$B$140,CT58+CS59-DB58)))</f>
        <v>427.70769230769224</v>
      </c>
      <c r="CU59" s="17">
        <f>CT59*VLOOKUP('Données projet'!$B$13,Paramètres!$A$1:$I$89,3,0)*VLOOKUP('Données projet'!$B$13,Paramètres!$A$1:$I$89,5,0)</f>
        <v>189.04679999999996</v>
      </c>
      <c r="CV59" s="13">
        <f t="shared" si="41"/>
        <v>47.329152218170634</v>
      </c>
      <c r="CW59" s="20">
        <f t="shared" si="13"/>
        <v>411.68811677998042</v>
      </c>
      <c r="CX59" s="59">
        <f t="shared" si="14"/>
        <v>705.02145011331368</v>
      </c>
      <c r="CY59" s="59">
        <f ca="1">AVERAGE(OFFSET($CX$3,0,0,'Données projet'!$E$13+1,1))-AVERAGE(OFFSET($H$3,0,0,'Données projet'!$E$13+1,1))</f>
        <v>194.7221767407824</v>
      </c>
      <c r="CZ59" s="59">
        <f t="shared" si="42"/>
        <v>177.6550559568646</v>
      </c>
      <c r="DA59" s="15">
        <f>IF(ISNA(VLOOKUP(A59,'Données projet'!$A$139:$I$159,3,0)),0,VLOOKUP(A59,'Données projet'!$A$139:$I$159,3,0))</f>
        <v>6</v>
      </c>
      <c r="DB59" s="15">
        <f>IF(ISNA(VLOOKUP(A59,'Données projet'!$A$139:$I$159,4,0)),0,VLOOKUP(A59,'Données projet'!$A$139:$I$159,4,0))</f>
        <v>75.869230769230768</v>
      </c>
      <c r="DC59" s="16">
        <f>IF(ISNA(VLOOKUP(A59,'Données projet'!$A$139:$I$159,5,0)),0%,VLOOKUP(A59,'Données projet'!$A$139:$I$159,5,0)*VLOOKUP('Données projet'!$B$13,Paramètres!$A$1:$I$89,7,0))</f>
        <v>0.38500000000000001</v>
      </c>
      <c r="DD59" s="16">
        <f>IF(ISNA(VLOOKUP(A59,'Données projet'!$A$139:$I$159,6,0)),0%,VLOOKUP(A59,'Données projet'!$A$139:$I$159,6,0)*VLOOKUP('Données projet'!$B$13,Paramètres!$A$1:$I$89,7,0))</f>
        <v>9.240000000000001E-2</v>
      </c>
      <c r="DE59" s="16">
        <f>IF(ISNA(VLOOKUP(A59,'Données projet'!$A$139:$I$159,7,0)),0%,VLOOKUP(A59,'Données projet'!$A$139:$I$159,7,0))</f>
        <v>0.13200000000000001</v>
      </c>
      <c r="DF59" s="21">
        <f>EXP(-LN(2)/35)*DF58+(1-EXP(-LN(2)/35))/(LN(2)/35)*DB59*DC59*VLOOKUP('Données projet'!$B$13,Paramètres!$A$1:$I$89,3,0)*0.475*44/12</f>
        <v>59.203495190761188</v>
      </c>
      <c r="DG59" s="21">
        <f>EXP(-LN(2)/25)*DG58+(1-EXP(-LN(2)/25))/(LN(2)/25)*Calculateur!DB59*Calculateur!DD59*VLOOKUP('Données projet'!$B$13,Paramètres!$A$1:$I$89,3,0)*0.475*44/12</f>
        <v>22.072583904636375</v>
      </c>
      <c r="DH59" s="21">
        <f>EXP(-LN(2)/2)*DH58+(1-EXP(-LN(2)/2))/(LN(2)/2)*DB59*DE59*VLOOKUP('Données projet'!$B$13,Paramètres!$A$1:$I$89,3,0)*0.475*44/12</f>
        <v>5.5856740708940249</v>
      </c>
      <c r="DI59" s="22">
        <f t="shared" si="15"/>
        <v>86.861753166291592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>
        <f>VLOOKUP(A59,'Données projet'!$A$165:$I$185,2,0)</f>
        <v>348.05384615384617</v>
      </c>
      <c r="DM59" s="12">
        <f>VLOOKUP(A59,'Données projet'!$A$165:$I$185,9,0)</f>
        <v>14.668131868131875</v>
      </c>
      <c r="DN59" s="12">
        <f t="array" ref="DN59">INDEX(DM:DM,MIN(IF(ISNUMBER(DM59:DM255),ROW(DM59:DM255),"")))</f>
        <v>14.668131868131875</v>
      </c>
      <c r="DO59" s="12">
        <f>IF('Données projet'!$A$166&gt;35,DO58+DN59-DW58,IF(A59&lt;'Données projet'!$A$166,$DL$205^A59,IF(A59='Données projet'!$A$166,'Données projet'!$B$166,DO58+DN59-DW58)))</f>
        <v>348.05384615384617</v>
      </c>
      <c r="DP59" s="17">
        <f>DO59*VLOOKUP('Données projet'!$B$14,Paramètres!$A$1:$I$89,3,0)*VLOOKUP('Données projet'!$B$14,Paramètres!$A$1:$I$89,5,0)</f>
        <v>162.88919999999999</v>
      </c>
      <c r="DQ59" s="13">
        <f t="shared" si="43"/>
        <v>41.493502222820894</v>
      </c>
      <c r="DR59" s="20">
        <f t="shared" si="16"/>
        <v>355.96653970474637</v>
      </c>
      <c r="DS59" s="59">
        <f t="shared" si="17"/>
        <v>649.29987303807968</v>
      </c>
      <c r="DT59" s="59">
        <f ca="1">AVERAGE(OFFSET($DS$3,0,0,'Données projet'!$E$14+1,1))-AVERAGE(OFFSET($H$3,0,0,'Données projet'!$E$14+1,1))</f>
        <v>207.25176714718668</v>
      </c>
      <c r="DU59" s="59">
        <f t="shared" si="44"/>
        <v>191.53228014642559</v>
      </c>
      <c r="DV59" s="15">
        <f>IF(ISNA(VLOOKUP(A59,'Données projet'!$A$165:$I$185,3,0)),0,VLOOKUP(A59,'Données projet'!$A$165:$I$185,3,0))</f>
        <v>3</v>
      </c>
      <c r="DW59" s="15">
        <f>IF(ISNA(VLOOKUP(A59,'Données projet'!$A$165:$I$185,4,0)),0,VLOOKUP(A59,'Données projet'!$A$165:$I$185,4,0))</f>
        <v>72.769230769230759</v>
      </c>
      <c r="DX59" s="16">
        <f>IF(ISNA(VLOOKUP(A59,'Données projet'!$A$165:$I$185,5,0)),0%,VLOOKUP(A59,'Données projet'!$A$165:$I$185,5,0)*VLOOKUP('Données projet'!$B$14,Paramètres!$A$1:$I$89,7,0))</f>
        <v>0.38500000000000001</v>
      </c>
      <c r="DY59" s="16">
        <f>IF(ISNA(VLOOKUP(A59,'Données projet'!$A$165:$I$185,6,0)),0%,VLOOKUP(A59,'Données projet'!$A$165:$I$185,6,0)*VLOOKUP('Données projet'!$B$14,Paramètres!$A$1:$I$89,7,0))</f>
        <v>9.240000000000001E-2</v>
      </c>
      <c r="DZ59" s="16">
        <f>IF(ISNA(VLOOKUP(A59,'Données projet'!$A$165:$I$185,7,0)),0%,VLOOKUP(A59,'Données projet'!$A$165:$I$185,7,0))</f>
        <v>0.13200000000000001</v>
      </c>
      <c r="EA59" s="21">
        <f>EXP(-LN(2)/35)*EA58+(1-EXP(-LN(2)/35))/(LN(2)/35)*DW59*DX59*VLOOKUP('Données projet'!$B$14,Paramètres!$A$1:$I$89,3,0)*0.475*44/12</f>
        <v>37.05202426464669</v>
      </c>
      <c r="EB59" s="21">
        <f>EXP(-LN(2)/25)*EB58+(1-EXP(-LN(2)/25))/(LN(2)/25)*Calculateur!DW59*Calculateur!DY59*VLOOKUP('Données projet'!$B$14,Paramètres!$A$1:$I$89,3,0)*0.475*44/12</f>
        <v>31.838608865010755</v>
      </c>
      <c r="EC59" s="21">
        <f>EXP(-LN(2)/2)*EC58+(1-EXP(-LN(2)/2))/(LN(2)/2)*DW59*DZ59*VLOOKUP('Données projet'!$B$14,Paramètres!$A$1:$I$89,3,0)*0.475*44/12</f>
        <v>6.0014989877663876</v>
      </c>
      <c r="ED59" s="22">
        <f t="shared" si="18"/>
        <v>74.892132117423827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10.433653846153845</v>
      </c>
      <c r="EJ59" s="12">
        <f>IF('Données projet'!$A$192&gt;35,EJ58+EI59-ER58,IF(A59&lt;'Données projet'!$A$192,$EG$205^A59,IF(A59='Données projet'!$A$192,'Données projet'!$B$192,EJ58+EI59-ER58)))</f>
        <v>311.76538461538433</v>
      </c>
      <c r="EK59" s="17">
        <f>EJ59*VLOOKUP('Données projet'!$B$15,Paramètres!$A$1:$I$89,3,0)*VLOOKUP('Données projet'!$B$15,Paramètres!$A$1:$I$89,5,0)</f>
        <v>186.43569999999985</v>
      </c>
      <c r="EL59" s="13">
        <f t="shared" si="45"/>
        <v>46.751070304344353</v>
      </c>
      <c r="EM59" s="20">
        <f t="shared" si="19"/>
        <v>406.13362494673282</v>
      </c>
      <c r="EN59" s="59">
        <f t="shared" si="20"/>
        <v>699.46695828006614</v>
      </c>
      <c r="EO59" s="59">
        <f ca="1">AVERAGE(OFFSET($EN$3,0,0,'Données projet'!$E$15+1,1))-AVERAGE(OFFSET($H$3,0,0,'Données projet'!$E$15+1,1))</f>
        <v>200.15574321350221</v>
      </c>
      <c r="EP59" s="59">
        <f t="shared" si="46"/>
        <v>200.70728852570426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44.799657836612852</v>
      </c>
      <c r="EW59" s="21">
        <f>EXP(-LN(2)/25)*EW58+(1-EXP(-LN(2)/25))/(LN(2)/25)*Calculateur!ER59*Calculateur!ET59*VLOOKUP('Données projet'!$B$15,Paramètres!$A$1:$I$89,3,0)*0.475*44/12</f>
        <v>16.783236651020175</v>
      </c>
      <c r="EX59" s="21">
        <f>EXP(-LN(2)/2)*EX58+(1-EXP(-LN(2)/2))/(LN(2)/2)*ER59*EU59*VLOOKUP('Données projet'!$B$15,Paramètres!$A$1:$I$89,3,0)*0.475*44/12</f>
        <v>1.4767154264182449</v>
      </c>
      <c r="EY59" s="22">
        <f t="shared" si="21"/>
        <v>63.059609914051272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8.374198717948719</v>
      </c>
      <c r="FE59" s="12">
        <f>IF('Données projet'!$A$218&gt;35,FE58+FD59-FM58,IF(A59&lt;'Données projet'!$A$218,$FB$205^A59,IF(A59='Données projet'!$A$218,'Données projet'!$B$218,FE58+FD59-FM58)))</f>
        <v>161.66907051282055</v>
      </c>
      <c r="FF59" s="17">
        <f>FE59*VLOOKUP('Données projet'!$B$16,Paramètres!$A$1:$I$89,3,0)*VLOOKUP('Données projet'!$B$16,Paramètres!$A$1:$I$89,5,0)</f>
        <v>174.02058750000003</v>
      </c>
      <c r="FG59" s="13">
        <f t="shared" si="47"/>
        <v>43.989272740405184</v>
      </c>
      <c r="FH59" s="20">
        <f t="shared" si="22"/>
        <v>379.70050658537235</v>
      </c>
      <c r="FI59" s="59">
        <f t="shared" si="23"/>
        <v>673.03383991870567</v>
      </c>
      <c r="FJ59" s="59">
        <f ca="1">AVERAGE(OFFSET($FI$3,0,0,'Données projet'!$E$16+1,1))-AVERAGE(OFFSET($H$3,0,0,'Données projet'!$E$16+1,1))</f>
        <v>347.17049316703486</v>
      </c>
      <c r="FK59" s="59">
        <f t="shared" si="48"/>
        <v>255.45365487683489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7">
        <f t="shared" si="1"/>
        <v>354.40360096325321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266.02599413192075</v>
      </c>
      <c r="T60" s="59">
        <f t="shared" si="34"/>
        <v>332.94146254783254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8.374198717948719</v>
      </c>
      <c r="AI60" s="13">
        <f>IF('Données projet'!$A$62&gt;35,AI59+AH60-AQ59,IF(A60&lt;'Données projet'!$A$62,$AF$205^A60,IF(A60='Données projet'!$A$62,'Données projet'!$B$62,AI59+AH60-AQ59)))</f>
        <v>170.04326923076928</v>
      </c>
      <c r="AJ60" s="13">
        <f>AI60*VLOOKUP('Données projet'!$B$10,Paramètres!$A$1:$I$89,3,0)*VLOOKUP('Données projet'!$B$10,Paramètres!$A$1:$I$89,5,0)</f>
        <v>153.85515000000004</v>
      </c>
      <c r="AK60" s="13">
        <f t="shared" si="35"/>
        <v>39.453384193994481</v>
      </c>
      <c r="AL60" s="20">
        <f t="shared" si="4"/>
        <v>336.67903038787375</v>
      </c>
      <c r="AM60" s="59">
        <f t="shared" si="5"/>
        <v>630.01236372120707</v>
      </c>
      <c r="AN60" s="59">
        <f ca="1">AVERAGE(OFFSET($AM$3,0,0,'Données projet'!$E$10+1,1))-AVERAGE(OFFSET($H$3,0,0,'Données projet'!$E$10+1,1))</f>
        <v>282.13645166362238</v>
      </c>
      <c r="AO60" s="59">
        <f t="shared" si="36"/>
        <v>210.5345332979457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14.839560439560453</v>
      </c>
      <c r="BD60" s="12">
        <f>IF('Données projet'!$A$88&gt;35,BD59+BC60-BL59,IF(A60&lt;'Données projet'!$A$88,$BA$205^A60,IF(A60='Données projet'!$A$88,'Données projet'!$B$88,BD59+BC60-BL59)))</f>
        <v>366.67802197802189</v>
      </c>
      <c r="BE60" s="13">
        <f>BD60*VLOOKUP('Données projet'!$B$11,Paramètres!$A$1:$I$89,3,0)*VLOOKUP('Données projet'!$B$11,Paramètres!$A$1:$I$89,5,0)</f>
        <v>204.97301428571424</v>
      </c>
      <c r="BF60" s="13">
        <f t="shared" si="37"/>
        <v>50.835518579260878</v>
      </c>
      <c r="BG60" s="20">
        <f t="shared" si="7"/>
        <v>445.53319473983169</v>
      </c>
      <c r="BH60" s="59">
        <f t="shared" si="8"/>
        <v>738.866528073165</v>
      </c>
      <c r="BI60" s="59">
        <f ca="1">AVERAGE(OFFSET($BH$3,0,0,'Données projet'!$E$11+1,1))-AVERAGE(OFFSET($H$3,0,0,'Données projet'!$E$11+1,1))</f>
        <v>254.6443970237226</v>
      </c>
      <c r="BJ60" s="59">
        <f t="shared" si="38"/>
        <v>231.81667808018062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73.40675537374652</v>
      </c>
      <c r="BQ60" s="21">
        <f>EXP(-LN(2)/25)*BQ59+(1-EXP(-LN(2)/25))/(LN(2)/25)*Calculateur!BL60*Calculateur!BN60*VLOOKUP('Données projet'!$B$11,Paramètres!$A$1:$I$89,3,0)*0.475*44/12</f>
        <v>27.151980626227829</v>
      </c>
      <c r="BR60" s="21">
        <f>EXP(-LN(2)/2)*BR59+(1-EXP(-LN(2)/2))/(LN(2)/2)*BL60*BO60*VLOOKUP('Données projet'!$B$11,Paramètres!$A$1:$I$89,3,0)*0.475*44/12</f>
        <v>4.9951683694165423</v>
      </c>
      <c r="BS60" s="22">
        <f t="shared" si="9"/>
        <v>105.55390436939089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6.3942307692307701</v>
      </c>
      <c r="BY60" s="12">
        <f>IF('Données projet'!$A$114&gt;35,BY59+BX60-CG59,IF(A60&lt;'Données projet'!$A$114,$BV$205^A60,IF(A60='Données projet'!$A$114,'Données projet'!$B$114,BY59+BX60-CG59)))</f>
        <v>146.4679487179487</v>
      </c>
      <c r="BZ60" s="13">
        <f>BY60*VLOOKUP('Données projet'!$B$12,Paramètres!$A$1:$I$89,3,0)*VLOOKUP('Données projet'!$B$12,Paramètres!$A$1:$I$89,5,0)</f>
        <v>148.51850000000002</v>
      </c>
      <c r="CA60" s="13">
        <f t="shared" si="39"/>
        <v>38.241715185767696</v>
      </c>
      <c r="CB60" s="20">
        <f t="shared" si="10"/>
        <v>325.27404144854546</v>
      </c>
      <c r="CC60" s="59">
        <f t="shared" si="11"/>
        <v>618.60737478187878</v>
      </c>
      <c r="CD60" s="59">
        <f ca="1">AVERAGE(OFFSET($CC$3,0,0,'Données projet'!$E$12+1,1))-AVERAGE(OFFSET($H$3,0,0,'Données projet'!$E$12+1,1))</f>
        <v>264.08050363622294</v>
      </c>
      <c r="CE60" s="59">
        <f t="shared" si="40"/>
        <v>164.48884512322883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14.839560439560453</v>
      </c>
      <c r="CT60" s="12">
        <f>IF('Données projet'!$A$140&gt;35,CT59+CS60-DB59,IF(A60&lt;'Données projet'!$A$140,$CQ$205^A60,IF(A60='Données projet'!$A$140,'Données projet'!$B$140,CT59+CS60-DB59)))</f>
        <v>366.67802197802189</v>
      </c>
      <c r="CU60" s="17">
        <f>CT60*VLOOKUP('Données projet'!$B$13,Paramètres!$A$1:$I$89,3,0)*VLOOKUP('Données projet'!$B$13,Paramètres!$A$1:$I$89,5,0)</f>
        <v>162.07168571428571</v>
      </c>
      <c r="CV60" s="13">
        <f t="shared" si="41"/>
        <v>41.309439460778606</v>
      </c>
      <c r="CW60" s="20">
        <f t="shared" si="13"/>
        <v>354.22212634657035</v>
      </c>
      <c r="CX60" s="59">
        <f t="shared" si="14"/>
        <v>647.55545967990361</v>
      </c>
      <c r="CY60" s="59">
        <f ca="1">AVERAGE(OFFSET($CX$3,0,0,'Données projet'!$E$13+1,1))-AVERAGE(OFFSET($H$3,0,0,'Données projet'!$E$13+1,1))</f>
        <v>194.7221767407824</v>
      </c>
      <c r="CZ60" s="59">
        <f t="shared" si="42"/>
        <v>177.6550559568646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58.042550760636807</v>
      </c>
      <c r="DG60" s="21">
        <f>EXP(-LN(2)/25)*DG59+(1-EXP(-LN(2)/25))/(LN(2)/25)*Calculateur!DB60*Calculateur!DD60*VLOOKUP('Données projet'!$B$13,Paramètres!$A$1:$I$89,3,0)*0.475*44/12</f>
        <v>21.469007937017352</v>
      </c>
      <c r="DH60" s="21">
        <f>EXP(-LN(2)/2)*DH59+(1-EXP(-LN(2)/2))/(LN(2)/2)*DB60*DE60*VLOOKUP('Données projet'!$B$13,Paramètres!$A$1:$I$89,3,0)*0.475*44/12</f>
        <v>3.9496680130270336</v>
      </c>
      <c r="DI60" s="22">
        <f t="shared" si="15"/>
        <v>83.461226710681188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14.270329670329668</v>
      </c>
      <c r="DO60" s="12">
        <f>IF('Données projet'!$A$166&gt;35,DO59+DN60-DW59,IF(A60&lt;'Données projet'!$A$166,$DL$205^A60,IF(A60='Données projet'!$A$166,'Données projet'!$B$166,DO59+DN60-DW59)))</f>
        <v>289.55494505494505</v>
      </c>
      <c r="DP60" s="17">
        <f>DO60*VLOOKUP('Données projet'!$B$14,Paramètres!$A$1:$I$89,3,0)*VLOOKUP('Données projet'!$B$14,Paramètres!$A$1:$I$89,5,0)</f>
        <v>135.51171428571428</v>
      </c>
      <c r="DQ60" s="13">
        <f t="shared" si="43"/>
        <v>35.26686051307076</v>
      </c>
      <c r="DR60" s="20">
        <f t="shared" si="16"/>
        <v>297.43935110788397</v>
      </c>
      <c r="DS60" s="59">
        <f t="shared" si="17"/>
        <v>590.77268444121728</v>
      </c>
      <c r="DT60" s="59">
        <f ca="1">AVERAGE(OFFSET($DS$3,0,0,'Données projet'!$E$14+1,1))-AVERAGE(OFFSET($H$3,0,0,'Données projet'!$E$14+1,1))</f>
        <v>207.25176714718668</v>
      </c>
      <c r="DU60" s="59">
        <f t="shared" si="44"/>
        <v>191.53228014642559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36.325456668320257</v>
      </c>
      <c r="EB60" s="21">
        <f>EXP(-LN(2)/25)*EB59+(1-EXP(-LN(2)/25))/(LN(2)/25)*Calculateur!DW60*Calculateur!DY60*VLOOKUP('Données projet'!$B$14,Paramètres!$A$1:$I$89,3,0)*0.475*44/12</f>
        <v>30.967980431277365</v>
      </c>
      <c r="EC60" s="21">
        <f>EXP(-LN(2)/2)*EC59+(1-EXP(-LN(2)/2))/(LN(2)/2)*DW60*DZ60*VLOOKUP('Données projet'!$B$14,Paramètres!$A$1:$I$89,3,0)*0.475*44/12</f>
        <v>4.2437006315338142</v>
      </c>
      <c r="ED60" s="22">
        <f t="shared" si="18"/>
        <v>71.537137731131438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10.433653846153845</v>
      </c>
      <c r="EJ60" s="12">
        <f>IF('Données projet'!$A$192&gt;35,EJ59+EI60-ER59,IF(A60&lt;'Données projet'!$A$192,$EG$205^A60,IF(A60='Données projet'!$A$192,'Données projet'!$B$192,EJ59+EI60-ER59)))</f>
        <v>322.19903846153818</v>
      </c>
      <c r="EK60" s="17">
        <f>EJ60*VLOOKUP('Données projet'!$B$15,Paramètres!$A$1:$I$89,3,0)*VLOOKUP('Données projet'!$B$15,Paramètres!$A$1:$I$89,5,0)</f>
        <v>192.67502499999983</v>
      </c>
      <c r="EL60" s="13">
        <f t="shared" si="45"/>
        <v>48.130880815569739</v>
      </c>
      <c r="EM60" s="20">
        <f t="shared" si="19"/>
        <v>419.40361929545037</v>
      </c>
      <c r="EN60" s="59">
        <f t="shared" si="20"/>
        <v>712.73695262878368</v>
      </c>
      <c r="EO60" s="59">
        <f ca="1">AVERAGE(OFFSET($EN$3,0,0,'Données projet'!$E$15+1,1))-AVERAGE(OFFSET($H$3,0,0,'Données projet'!$E$15+1,1))</f>
        <v>200.15574321350221</v>
      </c>
      <c r="EP60" s="59">
        <f t="shared" si="46"/>
        <v>200.70728852570426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43.921163871530027</v>
      </c>
      <c r="EW60" s="21">
        <f>EXP(-LN(2)/25)*EW59+(1-EXP(-LN(2)/25))/(LN(2)/25)*Calculateur!ER60*Calculateur!ET60*VLOOKUP('Données projet'!$B$15,Paramètres!$A$1:$I$89,3,0)*0.475*44/12</f>
        <v>16.32429816220597</v>
      </c>
      <c r="EX60" s="21">
        <f>EXP(-LN(2)/2)*EX59+(1-EXP(-LN(2)/2))/(LN(2)/2)*ER60*EU60*VLOOKUP('Données projet'!$B$15,Paramètres!$A$1:$I$89,3,0)*0.475*44/12</f>
        <v>1.0441954919031251</v>
      </c>
      <c r="EY60" s="22">
        <f t="shared" si="21"/>
        <v>61.289657525639122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8.374198717948719</v>
      </c>
      <c r="FE60" s="12">
        <f>IF('Données projet'!$A$218&gt;35,FE59+FD60-FM59,IF(A60&lt;'Données projet'!$A$218,$FB$205^A60,IF(A60='Données projet'!$A$218,'Données projet'!$B$218,FE59+FD60-FM59)))</f>
        <v>170.04326923076928</v>
      </c>
      <c r="FF60" s="17">
        <f>FE60*VLOOKUP('Données projet'!$B$16,Paramètres!$A$1:$I$89,3,0)*VLOOKUP('Données projet'!$B$16,Paramètres!$A$1:$I$89,5,0)</f>
        <v>183.03457500000005</v>
      </c>
      <c r="FG60" s="13">
        <f t="shared" si="47"/>
        <v>45.99666488409995</v>
      </c>
      <c r="FH60" s="20">
        <f t="shared" si="22"/>
        <v>398.8960761314741</v>
      </c>
      <c r="FI60" s="59">
        <f t="shared" si="23"/>
        <v>692.22940946480742</v>
      </c>
      <c r="FJ60" s="59">
        <f ca="1">AVERAGE(OFFSET($FI$3,0,0,'Données projet'!$E$16+1,1))-AVERAGE(OFFSET($H$3,0,0,'Données projet'!$E$16+1,1))</f>
        <v>347.17049316703486</v>
      </c>
      <c r="FK60" s="59">
        <f t="shared" si="48"/>
        <v>255.45365487683489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7">
        <f t="shared" si="1"/>
        <v>355.44494514637177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266.02599413192075</v>
      </c>
      <c r="T61" s="59">
        <f t="shared" si="34"/>
        <v>332.94146254783254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8.374198717948719</v>
      </c>
      <c r="AI61" s="13">
        <f>IF('Données projet'!$A$62&gt;35,AI60+AH61-AQ60,IF(A61&lt;'Données projet'!$A$62,$AF$205^A61,IF(A61='Données projet'!$A$62,'Données projet'!$B$62,AI60+AH61-AQ60)))</f>
        <v>178.41746794871801</v>
      </c>
      <c r="AJ61" s="13">
        <f>AI61*VLOOKUP('Données projet'!$B$10,Paramètres!$A$1:$I$89,3,0)*VLOOKUP('Données projet'!$B$10,Paramètres!$A$1:$I$89,5,0)</f>
        <v>161.43212500000007</v>
      </c>
      <c r="AK61" s="13">
        <f t="shared" si="35"/>
        <v>41.16536748337429</v>
      </c>
      <c r="AL61" s="20">
        <f t="shared" si="4"/>
        <v>352.85729940854367</v>
      </c>
      <c r="AM61" s="59">
        <f t="shared" si="5"/>
        <v>646.19063274187693</v>
      </c>
      <c r="AN61" s="59">
        <f ca="1">AVERAGE(OFFSET($AM$3,0,0,'Données projet'!$E$10+1,1))-AVERAGE(OFFSET($H$3,0,0,'Données projet'!$E$10+1,1))</f>
        <v>282.13645166362238</v>
      </c>
      <c r="AO61" s="59">
        <f t="shared" si="36"/>
        <v>210.5345332979457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14.839560439560453</v>
      </c>
      <c r="BD61" s="12">
        <f>IF('Données projet'!$A$88&gt;35,BD60+BC61-BL60,IF(A61&lt;'Données projet'!$A$88,$BA$205^A61,IF(A61='Données projet'!$A$88,'Données projet'!$B$88,BD60+BC61-BL60)))</f>
        <v>381.51758241758233</v>
      </c>
      <c r="BE61" s="13">
        <f>BD61*VLOOKUP('Données projet'!$B$11,Paramètres!$A$1:$I$89,3,0)*VLOOKUP('Données projet'!$B$11,Paramètres!$A$1:$I$89,5,0)</f>
        <v>213.26832857142853</v>
      </c>
      <c r="BF61" s="13">
        <f t="shared" si="37"/>
        <v>52.649154508451623</v>
      </c>
      <c r="BG61" s="20">
        <f t="shared" si="7"/>
        <v>463.13961636412455</v>
      </c>
      <c r="BH61" s="59">
        <f t="shared" si="8"/>
        <v>756.47294969745781</v>
      </c>
      <c r="BI61" s="59">
        <f ca="1">AVERAGE(OFFSET($BH$3,0,0,'Données projet'!$E$11+1,1))-AVERAGE(OFFSET($H$3,0,0,'Données projet'!$E$11+1,1))</f>
        <v>254.6443970237226</v>
      </c>
      <c r="BJ61" s="59">
        <f t="shared" si="38"/>
        <v>231.81667808018062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71.967293674567088</v>
      </c>
      <c r="BQ61" s="21">
        <f>EXP(-LN(2)/25)*BQ60+(1-EXP(-LN(2)/25))/(LN(2)/25)*Calculateur!BL61*Calculateur!BN61*VLOOKUP('Données projet'!$B$11,Paramètres!$A$1:$I$89,3,0)*0.475*44/12</f>
        <v>26.409508288143023</v>
      </c>
      <c r="BR61" s="21">
        <f>EXP(-LN(2)/2)*BR60+(1-EXP(-LN(2)/2))/(LN(2)/2)*BL61*BO61*VLOOKUP('Données projet'!$B$11,Paramètres!$A$1:$I$89,3,0)*0.475*44/12</f>
        <v>3.5321174271829867</v>
      </c>
      <c r="BS61" s="22">
        <f t="shared" si="9"/>
        <v>101.9089193898931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6.3942307692307701</v>
      </c>
      <c r="BY61" s="12">
        <f>IF('Données projet'!$A$114&gt;35,BY60+BX61-CG60,IF(A61&lt;'Données projet'!$A$114,$BV$205^A61,IF(A61='Données projet'!$A$114,'Données projet'!$B$114,BY60+BX61-CG60)))</f>
        <v>152.86217948717947</v>
      </c>
      <c r="BZ61" s="13">
        <f>BY61*VLOOKUP('Données projet'!$B$12,Paramètres!$A$1:$I$89,3,0)*VLOOKUP('Données projet'!$B$12,Paramètres!$A$1:$I$89,5,0)</f>
        <v>155.00225</v>
      </c>
      <c r="CA61" s="13">
        <f t="shared" si="39"/>
        <v>39.713185446553709</v>
      </c>
      <c r="CB61" s="20">
        <f t="shared" si="10"/>
        <v>339.12938340274769</v>
      </c>
      <c r="CC61" s="59">
        <f t="shared" si="11"/>
        <v>632.46271673608101</v>
      </c>
      <c r="CD61" s="59">
        <f ca="1">AVERAGE(OFFSET($CC$3,0,0,'Données projet'!$E$12+1,1))-AVERAGE(OFFSET($H$3,0,0,'Données projet'!$E$12+1,1))</f>
        <v>264.08050363622294</v>
      </c>
      <c r="CE61" s="59">
        <f t="shared" si="40"/>
        <v>164.48884512322883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14.839560439560453</v>
      </c>
      <c r="CT61" s="12">
        <f>IF('Données projet'!$A$140&gt;35,CT60+CS61-DB60,IF(A61&lt;'Données projet'!$A$140,$CQ$205^A61,IF(A61='Données projet'!$A$140,'Données projet'!$B$140,CT60+CS61-DB60)))</f>
        <v>381.51758241758233</v>
      </c>
      <c r="CU61" s="17">
        <f>CT61*VLOOKUP('Données projet'!$B$13,Paramètres!$A$1:$I$89,3,0)*VLOOKUP('Données projet'!$B$13,Paramètres!$A$1:$I$89,5,0)</f>
        <v>168.63077142857142</v>
      </c>
      <c r="CV61" s="13">
        <f t="shared" si="41"/>
        <v>42.783217750341748</v>
      </c>
      <c r="CW61" s="20">
        <f t="shared" si="13"/>
        <v>368.2126978199405</v>
      </c>
      <c r="CX61" s="59">
        <f t="shared" si="14"/>
        <v>661.54603115327382</v>
      </c>
      <c r="CY61" s="59">
        <f ca="1">AVERAGE(OFFSET($CX$3,0,0,'Données projet'!$E$13+1,1))-AVERAGE(OFFSET($H$3,0,0,'Données projet'!$E$13+1,1))</f>
        <v>194.7221767407824</v>
      </c>
      <c r="CZ61" s="59">
        <f t="shared" si="42"/>
        <v>177.6550559568646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56.904371742680979</v>
      </c>
      <c r="DG61" s="21">
        <f>EXP(-LN(2)/25)*DG60+(1-EXP(-LN(2)/25))/(LN(2)/25)*Calculateur!DB61*Calculateur!DD61*VLOOKUP('Données projet'!$B$13,Paramètres!$A$1:$I$89,3,0)*0.475*44/12</f>
        <v>20.881936785973554</v>
      </c>
      <c r="DH61" s="21">
        <f>EXP(-LN(2)/2)*DH60+(1-EXP(-LN(2)/2))/(LN(2)/2)*DB61*DE61*VLOOKUP('Données projet'!$B$13,Paramètres!$A$1:$I$89,3,0)*0.475*44/12</f>
        <v>2.7928370354470129</v>
      </c>
      <c r="DI61" s="22">
        <f t="shared" si="15"/>
        <v>80.579145564101538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14.270329670329668</v>
      </c>
      <c r="DO61" s="12">
        <f>IF('Données projet'!$A$166&gt;35,DO60+DN61-DW60,IF(A61&lt;'Données projet'!$A$166,$DL$205^A61,IF(A61='Données projet'!$A$166,'Données projet'!$B$166,DO60+DN61-DW60)))</f>
        <v>303.82527472527471</v>
      </c>
      <c r="DP61" s="17">
        <f>DO61*VLOOKUP('Données projet'!$B$14,Paramètres!$A$1:$I$89,3,0)*VLOOKUP('Données projet'!$B$14,Paramètres!$A$1:$I$89,5,0)</f>
        <v>142.19022857142855</v>
      </c>
      <c r="DQ61" s="13">
        <f t="shared" si="43"/>
        <v>36.798301893816983</v>
      </c>
      <c r="DR61" s="20">
        <f t="shared" si="16"/>
        <v>311.7383572269693</v>
      </c>
      <c r="DS61" s="59">
        <f t="shared" si="17"/>
        <v>605.07169056030261</v>
      </c>
      <c r="DT61" s="59">
        <f ca="1">AVERAGE(OFFSET($DS$3,0,0,'Données projet'!$E$14+1,1))-AVERAGE(OFFSET($H$3,0,0,'Données projet'!$E$14+1,1))</f>
        <v>207.25176714718668</v>
      </c>
      <c r="DU61" s="59">
        <f t="shared" si="44"/>
        <v>191.53228014642559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35.613136619395306</v>
      </c>
      <c r="EB61" s="21">
        <f>EXP(-LN(2)/25)*EB60+(1-EXP(-LN(2)/25))/(LN(2)/25)*Calculateur!DW61*Calculateur!DY61*VLOOKUP('Données projet'!$B$14,Paramètres!$A$1:$I$89,3,0)*0.475*44/12</f>
        <v>30.121159377848773</v>
      </c>
      <c r="EC61" s="21">
        <f>EXP(-LN(2)/2)*EC60+(1-EXP(-LN(2)/2))/(LN(2)/2)*DW61*DZ61*VLOOKUP('Données projet'!$B$14,Paramètres!$A$1:$I$89,3,0)*0.475*44/12</f>
        <v>3.0007494938831947</v>
      </c>
      <c r="ED61" s="22">
        <f t="shared" si="18"/>
        <v>68.735045491127266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10.433653846153845</v>
      </c>
      <c r="EJ61" s="12">
        <f>IF('Données projet'!$A$192&gt;35,EJ60+EI61-ER60,IF(A61&lt;'Données projet'!$A$192,$EG$205^A61,IF(A61='Données projet'!$A$192,'Données projet'!$B$192,EJ60+EI61-ER60)))</f>
        <v>332.63269230769203</v>
      </c>
      <c r="EK61" s="17">
        <f>EJ61*VLOOKUP('Données projet'!$B$15,Paramètres!$A$1:$I$89,3,0)*VLOOKUP('Données projet'!$B$15,Paramètres!$A$1:$I$89,5,0)</f>
        <v>198.91434999999984</v>
      </c>
      <c r="EL61" s="13">
        <f t="shared" si="45"/>
        <v>49.505499184742547</v>
      </c>
      <c r="EM61" s="20">
        <f t="shared" si="19"/>
        <v>432.66457066342628</v>
      </c>
      <c r="EN61" s="59">
        <f t="shared" si="20"/>
        <v>725.99790399675953</v>
      </c>
      <c r="EO61" s="59">
        <f ca="1">AVERAGE(OFFSET($EN$3,0,0,'Données projet'!$E$15+1,1))-AVERAGE(OFFSET($H$3,0,0,'Données projet'!$E$15+1,1))</f>
        <v>200.15574321350221</v>
      </c>
      <c r="EP61" s="59">
        <f t="shared" si="46"/>
        <v>200.70728852570426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43.059896637274065</v>
      </c>
      <c r="EW61" s="21">
        <f>EXP(-LN(2)/25)*EW60+(1-EXP(-LN(2)/25))/(LN(2)/25)*Calculateur!ER61*Calculateur!ET61*VLOOKUP('Données projet'!$B$15,Paramètres!$A$1:$I$89,3,0)*0.475*44/12</f>
        <v>15.877909370502918</v>
      </c>
      <c r="EX61" s="21">
        <f>EXP(-LN(2)/2)*EX60+(1-EXP(-LN(2)/2))/(LN(2)/2)*ER61*EU61*VLOOKUP('Données projet'!$B$15,Paramètres!$A$1:$I$89,3,0)*0.475*44/12</f>
        <v>0.73835771320912247</v>
      </c>
      <c r="EY61" s="22">
        <f t="shared" si="21"/>
        <v>59.676163720986104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8.374198717948719</v>
      </c>
      <c r="FE61" s="12">
        <f>IF('Données projet'!$A$218&gt;35,FE60+FD61-FM60,IF(A61&lt;'Données projet'!$A$218,$FB$205^A61,IF(A61='Données projet'!$A$218,'Données projet'!$B$218,FE60+FD61-FM60)))</f>
        <v>178.41746794871801</v>
      </c>
      <c r="FF61" s="17">
        <f>FE61*VLOOKUP('Données projet'!$B$16,Paramètres!$A$1:$I$89,3,0)*VLOOKUP('Données projet'!$B$16,Paramètres!$A$1:$I$89,5,0)</f>
        <v>192.04856250000006</v>
      </c>
      <c r="FG61" s="13">
        <f t="shared" si="47"/>
        <v>47.99257786488721</v>
      </c>
      <c r="FH61" s="20">
        <f t="shared" si="22"/>
        <v>418.07165280217868</v>
      </c>
      <c r="FI61" s="59">
        <f t="shared" si="23"/>
        <v>711.40498613551199</v>
      </c>
      <c r="FJ61" s="59">
        <f ca="1">AVERAGE(OFFSET($FI$3,0,0,'Données projet'!$E$16+1,1))-AVERAGE(OFFSET($H$3,0,0,'Données projet'!$E$16+1,1))</f>
        <v>347.17049316703486</v>
      </c>
      <c r="FK61" s="59">
        <f t="shared" si="48"/>
        <v>255.45365487683489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7">
        <f t="shared" si="1"/>
        <v>356.48583571236912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266.02599413192075</v>
      </c>
      <c r="T62" s="59">
        <f t="shared" si="34"/>
        <v>332.94146254783254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8.374198717948719</v>
      </c>
      <c r="AI62" s="13">
        <f>IF('Données projet'!$A$62&gt;35,AI61+AH62-AQ61,IF(A62&lt;'Données projet'!$A$62,$AF$205^A62,IF(A62='Données projet'!$A$62,'Données projet'!$B$62,AI61+AH62-AQ61)))</f>
        <v>186.79166666666674</v>
      </c>
      <c r="AJ62" s="13">
        <f>AI62*VLOOKUP('Données projet'!$B$10,Paramètres!$A$1:$I$89,3,0)*VLOOKUP('Données projet'!$B$10,Paramètres!$A$1:$I$89,5,0)</f>
        <v>169.00910000000005</v>
      </c>
      <c r="AK62" s="13">
        <f t="shared" si="35"/>
        <v>42.868019497909927</v>
      </c>
      <c r="AL62" s="20">
        <f t="shared" si="4"/>
        <v>369.01931645885981</v>
      </c>
      <c r="AM62" s="59">
        <f t="shared" si="5"/>
        <v>662.35264979219312</v>
      </c>
      <c r="AN62" s="59">
        <f ca="1">AVERAGE(OFFSET($AM$3,0,0,'Données projet'!$E$10+1,1))-AVERAGE(OFFSET($H$3,0,0,'Données projet'!$E$10+1,1))</f>
        <v>282.13645166362238</v>
      </c>
      <c r="AO62" s="59">
        <f t="shared" si="36"/>
        <v>210.5345332979457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14.839560439560453</v>
      </c>
      <c r="BD62" s="12">
        <f>IF('Données projet'!$A$88&gt;35,BD61+BC62-BL61,IF(A62&lt;'Données projet'!$A$88,$BA$205^A62,IF(A62='Données projet'!$A$88,'Données projet'!$B$88,BD61+BC62-BL61)))</f>
        <v>396.35714285714278</v>
      </c>
      <c r="BE62" s="13">
        <f>BD62*VLOOKUP('Données projet'!$B$11,Paramètres!$A$1:$I$89,3,0)*VLOOKUP('Données projet'!$B$11,Paramètres!$A$1:$I$89,5,0)</f>
        <v>221.56364285714281</v>
      </c>
      <c r="BF62" s="13">
        <f t="shared" si="37"/>
        <v>54.45459555983345</v>
      </c>
      <c r="BG62" s="20">
        <f t="shared" si="7"/>
        <v>480.73176524290034</v>
      </c>
      <c r="BH62" s="59">
        <f t="shared" si="8"/>
        <v>774.06509857623359</v>
      </c>
      <c r="BI62" s="59">
        <f ca="1">AVERAGE(OFFSET($BH$3,0,0,'Données projet'!$E$11+1,1))-AVERAGE(OFFSET($H$3,0,0,'Données projet'!$E$11+1,1))</f>
        <v>254.6443970237226</v>
      </c>
      <c r="BJ62" s="59">
        <f t="shared" si="38"/>
        <v>231.81667808018062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70.556058941323627</v>
      </c>
      <c r="BQ62" s="21">
        <f>EXP(-LN(2)/25)*BQ61+(1-EXP(-LN(2)/25))/(LN(2)/25)*Calculateur!BL62*Calculateur!BN62*VLOOKUP('Données projet'!$B$11,Paramètres!$A$1:$I$89,3,0)*0.475*44/12</f>
        <v>25.68733889518807</v>
      </c>
      <c r="BR62" s="21">
        <f>EXP(-LN(2)/2)*BR61+(1-EXP(-LN(2)/2))/(LN(2)/2)*BL62*BO62*VLOOKUP('Données projet'!$B$11,Paramètres!$A$1:$I$89,3,0)*0.475*44/12</f>
        <v>2.4975841847082716</v>
      </c>
      <c r="BS62" s="22">
        <f t="shared" si="9"/>
        <v>98.740982021219963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159.25641025641025</v>
      </c>
      <c r="BW62" s="12">
        <f>VLOOKUP(A62,'Données projet'!$A$113:$I$133,9,0)</f>
        <v>6.3942307692307701</v>
      </c>
      <c r="BX62" s="12">
        <f t="array" ref="BX62">INDEX(BW:BW,MIN(IF(ISNUMBER(BW62:BW258),ROW(BW62:BW258),"")))</f>
        <v>6.3942307692307701</v>
      </c>
      <c r="BY62" s="12">
        <f>IF('Données projet'!$A$114&gt;35,BY61+BX62-CG61,IF(A62&lt;'Données projet'!$A$114,$BV$205^A62,IF(A62='Données projet'!$A$114,'Données projet'!$B$114,BY61+BX62-CG61)))</f>
        <v>159.25641025641025</v>
      </c>
      <c r="BZ62" s="13">
        <f>BY62*VLOOKUP('Données projet'!$B$12,Paramètres!$A$1:$I$89,3,0)*VLOOKUP('Données projet'!$B$12,Paramètres!$A$1:$I$89,5,0)</f>
        <v>161.48599999999999</v>
      </c>
      <c r="CA62" s="13">
        <f t="shared" si="39"/>
        <v>41.177506306658742</v>
      </c>
      <c r="CB62" s="20">
        <f t="shared" si="10"/>
        <v>352.97227348409729</v>
      </c>
      <c r="CC62" s="59">
        <f t="shared" si="11"/>
        <v>646.30560681743054</v>
      </c>
      <c r="CD62" s="59">
        <f ca="1">AVERAGE(OFFSET($CC$3,0,0,'Données projet'!$E$12+1,1))-AVERAGE(OFFSET($H$3,0,0,'Données projet'!$E$12+1,1))</f>
        <v>264.08050363622294</v>
      </c>
      <c r="CE62" s="59">
        <f t="shared" si="40"/>
        <v>164.48884512322883</v>
      </c>
      <c r="CF62" s="15">
        <f>IF(ISNA(VLOOKUP(A62,'Données projet'!$A$113:$I$133,3,0)),0,VLOOKUP(A62,'Données projet'!$A$113:$I$133,3,0))</f>
        <v>3</v>
      </c>
      <c r="CG62" s="15">
        <f>IF(ISNA(VLOOKUP(A62,'Données projet'!$A$113:$I$133,4,0)),0,VLOOKUP(A62,'Données projet'!$A$113:$I$133,4,0))</f>
        <v>38.942307692307693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14.839560439560453</v>
      </c>
      <c r="CT62" s="12">
        <f>IF('Données projet'!$A$140&gt;35,CT61+CS62-DB61,IF(A62&lt;'Données projet'!$A$140,$CQ$205^A62,IF(A62='Données projet'!$A$140,'Données projet'!$B$140,CT61+CS62-DB61)))</f>
        <v>396.35714285714278</v>
      </c>
      <c r="CU62" s="17">
        <f>CT62*VLOOKUP('Données projet'!$B$13,Paramètres!$A$1:$I$89,3,0)*VLOOKUP('Données projet'!$B$13,Paramètres!$A$1:$I$89,5,0)</f>
        <v>175.18985714285714</v>
      </c>
      <c r="CV62" s="13">
        <f t="shared" si="41"/>
        <v>44.250336802068873</v>
      </c>
      <c r="CW62" s="20">
        <f t="shared" si="13"/>
        <v>382.19167112074615</v>
      </c>
      <c r="CX62" s="59">
        <f t="shared" si="14"/>
        <v>675.52500445407941</v>
      </c>
      <c r="CY62" s="59">
        <f ca="1">AVERAGE(OFFSET($CX$3,0,0,'Données projet'!$E$13+1,1))-AVERAGE(OFFSET($H$3,0,0,'Données projet'!$E$13+1,1))</f>
        <v>194.7221767407824</v>
      </c>
      <c r="CZ62" s="59">
        <f t="shared" si="42"/>
        <v>177.6550559568646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55.788511721046618</v>
      </c>
      <c r="DG62" s="21">
        <f>EXP(-LN(2)/25)*DG61+(1-EXP(-LN(2)/25))/(LN(2)/25)*Calculateur!DB62*Calculateur!DD62*VLOOKUP('Données projet'!$B$13,Paramètres!$A$1:$I$89,3,0)*0.475*44/12</f>
        <v>20.310919126427777</v>
      </c>
      <c r="DH62" s="21">
        <f>EXP(-LN(2)/2)*DH61+(1-EXP(-LN(2)/2))/(LN(2)/2)*DB62*DE62*VLOOKUP('Données projet'!$B$13,Paramètres!$A$1:$I$89,3,0)*0.475*44/12</f>
        <v>1.9748340065135173</v>
      </c>
      <c r="DI62" s="22">
        <f t="shared" si="15"/>
        <v>78.074264853987913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14.270329670329668</v>
      </c>
      <c r="DO62" s="12">
        <f>IF('Données projet'!$A$166&gt;35,DO61+DN62-DW61,IF(A62&lt;'Données projet'!$A$166,$DL$205^A62,IF(A62='Données projet'!$A$166,'Données projet'!$B$166,DO61+DN62-DW61)))</f>
        <v>318.09560439560437</v>
      </c>
      <c r="DP62" s="17">
        <f>DO62*VLOOKUP('Données projet'!$B$14,Paramètres!$A$1:$I$89,3,0)*VLOOKUP('Données projet'!$B$14,Paramètres!$A$1:$I$89,5,0)</f>
        <v>148.86874285714285</v>
      </c>
      <c r="DQ62" s="13">
        <f t="shared" si="43"/>
        <v>38.321390217280914</v>
      </c>
      <c r="DR62" s="20">
        <f t="shared" si="16"/>
        <v>326.02281510462137</v>
      </c>
      <c r="DS62" s="59">
        <f t="shared" si="17"/>
        <v>619.35614843795474</v>
      </c>
      <c r="DT62" s="59">
        <f ca="1">AVERAGE(OFFSET($DS$3,0,0,'Données projet'!$E$14+1,1))-AVERAGE(OFFSET($H$3,0,0,'Données projet'!$E$14+1,1))</f>
        <v>207.25176714718668</v>
      </c>
      <c r="DU62" s="59">
        <f t="shared" si="44"/>
        <v>191.53228014642559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34.914784732157443</v>
      </c>
      <c r="EB62" s="21">
        <f>EXP(-LN(2)/25)*EB61+(1-EXP(-LN(2)/25))/(LN(2)/25)*Calculateur!DW62*Calculateur!DY62*VLOOKUP('Données projet'!$B$14,Paramètres!$A$1:$I$89,3,0)*0.475*44/12</f>
        <v>29.297494690658571</v>
      </c>
      <c r="EC62" s="21">
        <f>EXP(-LN(2)/2)*EC61+(1-EXP(-LN(2)/2))/(LN(2)/2)*DW62*DZ62*VLOOKUP('Données projet'!$B$14,Paramètres!$A$1:$I$89,3,0)*0.475*44/12</f>
        <v>2.1218503157669075</v>
      </c>
      <c r="ED62" s="22">
        <f t="shared" si="18"/>
        <v>66.334129738582917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10.433653846153845</v>
      </c>
      <c r="EJ62" s="12">
        <f>IF('Données projet'!$A$192&gt;35,EJ61+EI62-ER61,IF(A62&lt;'Données projet'!$A$192,$EG$205^A62,IF(A62='Données projet'!$A$192,'Données projet'!$B$192,EJ61+EI62-ER61)))</f>
        <v>343.06634615384587</v>
      </c>
      <c r="EK62" s="17">
        <f>EJ62*VLOOKUP('Données projet'!$B$15,Paramètres!$A$1:$I$89,3,0)*VLOOKUP('Données projet'!$B$15,Paramètres!$A$1:$I$89,5,0)</f>
        <v>205.15367499999985</v>
      </c>
      <c r="EL62" s="13">
        <f t="shared" si="45"/>
        <v>50.875106959180371</v>
      </c>
      <c r="EM62" s="20">
        <f t="shared" si="19"/>
        <v>445.91679524557213</v>
      </c>
      <c r="EN62" s="59">
        <f t="shared" si="20"/>
        <v>739.25012857890545</v>
      </c>
      <c r="EO62" s="59">
        <f ca="1">AVERAGE(OFFSET($EN$3,0,0,'Données projet'!$E$15+1,1))-AVERAGE(OFFSET($H$3,0,0,'Données projet'!$E$15+1,1))</f>
        <v>200.15574321350221</v>
      </c>
      <c r="EP62" s="59">
        <f t="shared" si="46"/>
        <v>200.70728852570426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42.215518328160719</v>
      </c>
      <c r="EW62" s="21">
        <f>EXP(-LN(2)/25)*EW61+(1-EXP(-LN(2)/25))/(LN(2)/25)*Calculateur!ER62*Calculateur!ET62*VLOOKUP('Données projet'!$B$15,Paramètres!$A$1:$I$89,3,0)*0.475*44/12</f>
        <v>15.443727103783552</v>
      </c>
      <c r="EX62" s="21">
        <f>EXP(-LN(2)/2)*EX61+(1-EXP(-LN(2)/2))/(LN(2)/2)*ER62*EU62*VLOOKUP('Données projet'!$B$15,Paramètres!$A$1:$I$89,3,0)*0.475*44/12</f>
        <v>0.52209774595156255</v>
      </c>
      <c r="EY62" s="22">
        <f t="shared" si="21"/>
        <v>58.181343177895833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8.374198717948719</v>
      </c>
      <c r="FE62" s="12">
        <f>IF('Données projet'!$A$218&gt;35,FE61+FD62-FM61,IF(A62&lt;'Données projet'!$A$218,$FB$205^A62,IF(A62='Données projet'!$A$218,'Données projet'!$B$218,FE61+FD62-FM61)))</f>
        <v>186.79166666666674</v>
      </c>
      <c r="FF62" s="17">
        <f>FE62*VLOOKUP('Données projet'!$B$16,Paramètres!$A$1:$I$89,3,0)*VLOOKUP('Données projet'!$B$16,Paramètres!$A$1:$I$89,5,0)</f>
        <v>201.06255000000007</v>
      </c>
      <c r="FG62" s="13">
        <f t="shared" si="47"/>
        <v>49.977611993816417</v>
      </c>
      <c r="FH62" s="20">
        <f t="shared" si="22"/>
        <v>437.22828213923043</v>
      </c>
      <c r="FI62" s="59">
        <f t="shared" si="23"/>
        <v>730.56161547256374</v>
      </c>
      <c r="FJ62" s="59">
        <f ca="1">AVERAGE(OFFSET($FI$3,0,0,'Données projet'!$E$16+1,1))-AVERAGE(OFFSET($H$3,0,0,'Données projet'!$E$16+1,1))</f>
        <v>347.17049316703486</v>
      </c>
      <c r="FK62" s="59">
        <f t="shared" si="48"/>
        <v>255.45365487683489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7">
        <f t="shared" si="1"/>
        <v>357.52628123696991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266.02599413192075</v>
      </c>
      <c r="T63" s="59">
        <f t="shared" si="34"/>
        <v>332.94146254783254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8.374198717948719</v>
      </c>
      <c r="AI63" s="13">
        <f>IF('Données projet'!$A$62&gt;35,AI62+AH63-AQ62,IF(A63&lt;'Données projet'!$A$62,$AF$205^A63,IF(A63='Données projet'!$A$62,'Données projet'!$B$62,AI62+AH63-AQ62)))</f>
        <v>195.16586538461547</v>
      </c>
      <c r="AJ63" s="13">
        <f>AI63*VLOOKUP('Données projet'!$B$10,Paramètres!$A$1:$I$89,3,0)*VLOOKUP('Données projet'!$B$10,Paramètres!$A$1:$I$89,5,0)</f>
        <v>176.58607500000008</v>
      </c>
      <c r="AK63" s="13">
        <f t="shared" si="35"/>
        <v>44.561806372041367</v>
      </c>
      <c r="AL63" s="20">
        <f t="shared" si="4"/>
        <v>385.16589338963877</v>
      </c>
      <c r="AM63" s="59">
        <f t="shared" si="5"/>
        <v>678.49922672297203</v>
      </c>
      <c r="AN63" s="59">
        <f ca="1">AVERAGE(OFFSET($AM$3,0,0,'Données projet'!$E$10+1,1))-AVERAGE(OFFSET($H$3,0,0,'Données projet'!$E$10+1,1))</f>
        <v>282.13645166362238</v>
      </c>
      <c r="AO63" s="59">
        <f t="shared" si="36"/>
        <v>210.5345332979457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14.839560439560453</v>
      </c>
      <c r="BD63" s="12">
        <f>IF('Données projet'!$A$88&gt;35,BD62+BC63-BL62,IF(A63&lt;'Données projet'!$A$88,$BA$205^A63,IF(A63='Données projet'!$A$88,'Données projet'!$B$88,BD62+BC63-BL62)))</f>
        <v>411.19670329670322</v>
      </c>
      <c r="BE63" s="13">
        <f>BD63*VLOOKUP('Données projet'!$B$11,Paramètres!$A$1:$I$89,3,0)*VLOOKUP('Données projet'!$B$11,Paramètres!$A$1:$I$89,5,0)</f>
        <v>229.85895714285712</v>
      </c>
      <c r="BF63" s="13">
        <f t="shared" si="37"/>
        <v>56.252183679167004</v>
      </c>
      <c r="BG63" s="20">
        <f t="shared" si="7"/>
        <v>498.31023693169203</v>
      </c>
      <c r="BH63" s="59">
        <f t="shared" si="8"/>
        <v>791.64357026502535</v>
      </c>
      <c r="BI63" s="59">
        <f ca="1">AVERAGE(OFFSET($BH$3,0,0,'Données projet'!$E$11+1,1))-AVERAGE(OFFSET($H$3,0,0,'Données projet'!$E$11+1,1))</f>
        <v>254.6443970237226</v>
      </c>
      <c r="BJ63" s="59">
        <f t="shared" si="38"/>
        <v>231.81667808018062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69.172497660430878</v>
      </c>
      <c r="BQ63" s="21">
        <f>EXP(-LN(2)/25)*BQ62+(1-EXP(-LN(2)/25))/(LN(2)/25)*Calculateur!BL63*Calculateur!BN63*VLOOKUP('Données projet'!$B$11,Paramètres!$A$1:$I$89,3,0)*0.475*44/12</f>
        <v>24.984917262260709</v>
      </c>
      <c r="BR63" s="21">
        <f>EXP(-LN(2)/2)*BR62+(1-EXP(-LN(2)/2))/(LN(2)/2)*BL63*BO63*VLOOKUP('Données projet'!$B$11,Paramètres!$A$1:$I$89,3,0)*0.475*44/12</f>
        <v>1.7660587135914936</v>
      </c>
      <c r="BS63" s="22">
        <f t="shared" si="9"/>
        <v>95.923473636283077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5.9431089743589762</v>
      </c>
      <c r="BY63" s="12">
        <f>IF('Données projet'!$A$114&gt;35,BY62+BX63-CG62,IF(A63&lt;'Données projet'!$A$114,$BV$205^A63,IF(A63='Données projet'!$A$114,'Données projet'!$B$114,BY62+BX63-CG62)))</f>
        <v>126.25721153846153</v>
      </c>
      <c r="BZ63" s="13">
        <f>BY63*VLOOKUP('Données projet'!$B$12,Paramètres!$A$1:$I$89,3,0)*VLOOKUP('Données projet'!$B$12,Paramètres!$A$1:$I$89,5,0)</f>
        <v>128.0248125</v>
      </c>
      <c r="CA63" s="13">
        <f t="shared" si="39"/>
        <v>33.539545602958114</v>
      </c>
      <c r="CB63" s="20">
        <f t="shared" si="10"/>
        <v>281.39125702931875</v>
      </c>
      <c r="CC63" s="59">
        <f t="shared" si="11"/>
        <v>574.72459036265207</v>
      </c>
      <c r="CD63" s="59">
        <f ca="1">AVERAGE(OFFSET($CC$3,0,0,'Données projet'!$E$12+1,1))-AVERAGE(OFFSET($H$3,0,0,'Données projet'!$E$12+1,1))</f>
        <v>264.08050363622294</v>
      </c>
      <c r="CE63" s="59">
        <f t="shared" si="40"/>
        <v>164.48884512322883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14.839560439560453</v>
      </c>
      <c r="CT63" s="12">
        <f>IF('Données projet'!$A$140&gt;35,CT62+CS63-DB62,IF(A63&lt;'Données projet'!$A$140,$CQ$205^A63,IF(A63='Données projet'!$A$140,'Données projet'!$B$140,CT62+CS63-DB62)))</f>
        <v>411.19670329670322</v>
      </c>
      <c r="CU63" s="17">
        <f>CT63*VLOOKUP('Données projet'!$B$13,Paramètres!$A$1:$I$89,3,0)*VLOOKUP('Données projet'!$B$13,Paramètres!$A$1:$I$89,5,0)</f>
        <v>181.74894285714285</v>
      </c>
      <c r="CV63" s="13">
        <f t="shared" si="41"/>
        <v>45.711074484428558</v>
      </c>
      <c r="CW63" s="20">
        <f t="shared" si="13"/>
        <v>396.1595302032369</v>
      </c>
      <c r="CX63" s="59">
        <f t="shared" si="14"/>
        <v>689.49286353657021</v>
      </c>
      <c r="CY63" s="59">
        <f ca="1">AVERAGE(OFFSET($CX$3,0,0,'Données projet'!$E$13+1,1))-AVERAGE(OFFSET($H$3,0,0,'Données projet'!$E$13+1,1))</f>
        <v>194.7221767407824</v>
      </c>
      <c r="CZ63" s="59">
        <f t="shared" si="42"/>
        <v>177.6550559568646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54.694533033829096</v>
      </c>
      <c r="DG63" s="21">
        <f>EXP(-LN(2)/25)*DG62+(1-EXP(-LN(2)/25))/(LN(2)/25)*Calculateur!DB63*Calculateur!DD63*VLOOKUP('Données projet'!$B$13,Paramètres!$A$1:$I$89,3,0)*0.475*44/12</f>
        <v>19.755515974810795</v>
      </c>
      <c r="DH63" s="21">
        <f>EXP(-LN(2)/2)*DH62+(1-EXP(-LN(2)/2))/(LN(2)/2)*DB63*DE63*VLOOKUP('Données projet'!$B$13,Paramètres!$A$1:$I$89,3,0)*0.475*44/12</f>
        <v>1.3964185177235067</v>
      </c>
      <c r="DI63" s="22">
        <f t="shared" si="15"/>
        <v>75.846467526363398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14.270329670329668</v>
      </c>
      <c r="DO63" s="12">
        <f>IF('Données projet'!$A$166&gt;35,DO62+DN63-DW62,IF(A63&lt;'Données projet'!$A$166,$DL$205^A63,IF(A63='Données projet'!$A$166,'Données projet'!$B$166,DO62+DN63-DW62)))</f>
        <v>332.36593406593403</v>
      </c>
      <c r="DP63" s="17">
        <f>DO63*VLOOKUP('Données projet'!$B$14,Paramètres!$A$1:$I$89,3,0)*VLOOKUP('Données projet'!$B$14,Paramètres!$A$1:$I$89,5,0)</f>
        <v>155.54725714285712</v>
      </c>
      <c r="DQ63" s="13">
        <f t="shared" si="43"/>
        <v>39.836543030962723</v>
      </c>
      <c r="DR63" s="20">
        <f t="shared" si="16"/>
        <v>340.29345196940289</v>
      </c>
      <c r="DS63" s="59">
        <f t="shared" si="17"/>
        <v>633.62678530273615</v>
      </c>
      <c r="DT63" s="59">
        <f ca="1">AVERAGE(OFFSET($DS$3,0,0,'Données projet'!$E$14+1,1))-AVERAGE(OFFSET($H$3,0,0,'Données projet'!$E$14+1,1))</f>
        <v>207.25176714718668</v>
      </c>
      <c r="DU63" s="59">
        <f t="shared" si="44"/>
        <v>191.53228014642559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34.230127099475723</v>
      </c>
      <c r="EB63" s="21">
        <f>EXP(-LN(2)/25)*EB62+(1-EXP(-LN(2)/25))/(LN(2)/25)*Calculateur!DW63*Calculateur!DY63*VLOOKUP('Données projet'!$B$14,Paramètres!$A$1:$I$89,3,0)*0.475*44/12</f>
        <v>28.496353157654227</v>
      </c>
      <c r="EC63" s="21">
        <f>EXP(-LN(2)/2)*EC62+(1-EXP(-LN(2)/2))/(LN(2)/2)*DW63*DZ63*VLOOKUP('Données projet'!$B$14,Paramètres!$A$1:$I$89,3,0)*0.475*44/12</f>
        <v>1.5003747469415976</v>
      </c>
      <c r="ED63" s="22">
        <f t="shared" si="18"/>
        <v>64.226855004071552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353.5</v>
      </c>
      <c r="EH63" s="12">
        <f>VLOOKUP(A63,'Données projet'!$A$191:$I$211,9,0)</f>
        <v>10.433653846153845</v>
      </c>
      <c r="EI63" s="12">
        <f t="array" ref="EI63">INDEX(EH:EH,MIN(IF(ISNUMBER(EH63:EH259),ROW(EH63:EH259),"")))</f>
        <v>10.433653846153845</v>
      </c>
      <c r="EJ63" s="12">
        <f>IF('Données projet'!$A$192&gt;35,EJ62+EI63-ER62,IF(A63&lt;'Données projet'!$A$192,$EG$205^A63,IF(A63='Données projet'!$A$192,'Données projet'!$B$192,EJ62+EI63-ER62)))</f>
        <v>353.49999999999972</v>
      </c>
      <c r="EK63" s="17">
        <f>EJ63*VLOOKUP('Données projet'!$B$15,Paramètres!$A$1:$I$89,3,0)*VLOOKUP('Données projet'!$B$15,Paramètres!$A$1:$I$89,5,0)</f>
        <v>211.39299999999983</v>
      </c>
      <c r="EL63" s="13">
        <f t="shared" si="45"/>
        <v>52.239874015944039</v>
      </c>
      <c r="EM63" s="20">
        <f t="shared" si="19"/>
        <v>459.1605889111022</v>
      </c>
      <c r="EN63" s="59">
        <f t="shared" si="20"/>
        <v>752.49392224443545</v>
      </c>
      <c r="EO63" s="59">
        <f ca="1">AVERAGE(OFFSET($EN$3,0,0,'Données projet'!$E$15+1,1))-AVERAGE(OFFSET($H$3,0,0,'Données projet'!$E$15+1,1))</f>
        <v>200.15574321350221</v>
      </c>
      <c r="EP63" s="59">
        <f t="shared" si="46"/>
        <v>200.70728852570426</v>
      </c>
      <c r="EQ63" s="15">
        <f>IF(ISNA(VLOOKUP(A63,'Données projet'!$A$191:$I$211,3,0)),0,VLOOKUP(A63,'Données projet'!$A$191:$I$211,3,0))</f>
        <v>7</v>
      </c>
      <c r="ER63" s="15">
        <f>IF(ISNA(VLOOKUP(A63,'Données projet'!$A$191:$I$211,4,0)),0,VLOOKUP(A63,'Données projet'!$A$191:$I$211,4,0))</f>
        <v>353.5</v>
      </c>
      <c r="ES63" s="16">
        <f>IF(ISNA(VLOOKUP(A63,'Données projet'!$A$191:$I$211,5,0)),0%,VLOOKUP(A63,'Données projet'!$A$191:$I$211,5,0)*VLOOKUP('Données projet'!$B$15,Paramètres!$A$1:$I$89,7,0))</f>
        <v>0.315</v>
      </c>
      <c r="ET63" s="16">
        <f>IF(ISNA(VLOOKUP(A63,'Données projet'!$A$191:$I$211,6,0)),0%,VLOOKUP(A63,'Données projet'!$A$191:$I$211,6,0)*VLOOKUP('Données projet'!$B$15,Paramètres!$A$1:$I$89,7,0))</f>
        <v>7.5600000000000001E-2</v>
      </c>
      <c r="EU63" s="16">
        <f>IF(ISNA(VLOOKUP(A63,'Données projet'!$A$191:$I$211,7,0)),0%,VLOOKUP(A63,'Données projet'!$A$191:$I$211,7,0))</f>
        <v>0.13200000000000001</v>
      </c>
      <c r="EV63" s="21">
        <f>EXP(-LN(2)/35)*EV62+(1-EXP(-LN(2)/35))/(LN(2)/35)*ER63*ES63*VLOOKUP('Données projet'!$B$15,Paramètres!$A$1:$I$89,3,0)*0.475*44/12</f>
        <v>129.72202634021937</v>
      </c>
      <c r="EW63" s="21">
        <f>EXP(-LN(2)/25)*EW62+(1-EXP(-LN(2)/25))/(LN(2)/25)*Calculateur!ER63*Calculateur!ET63*VLOOKUP('Données projet'!$B$15,Paramètres!$A$1:$I$89,3,0)*0.475*44/12</f>
        <v>36.138183014281665</v>
      </c>
      <c r="EX63" s="21">
        <f>EXP(-LN(2)/2)*EX62+(1-EXP(-LN(2)/2))/(LN(2)/2)*ER63*EU63*VLOOKUP('Données projet'!$B$15,Paramètres!$A$1:$I$89,3,0)*0.475*44/12</f>
        <v>31.962848489978171</v>
      </c>
      <c r="EY63" s="22">
        <f t="shared" si="21"/>
        <v>197.82305784447919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8.374198717948719</v>
      </c>
      <c r="FE63" s="12">
        <f>IF('Données projet'!$A$218&gt;35,FE62+FD63-FM62,IF(A63&lt;'Données projet'!$A$218,$FB$205^A63,IF(A63='Données projet'!$A$218,'Données projet'!$B$218,FE62+FD63-FM62)))</f>
        <v>195.16586538461547</v>
      </c>
      <c r="FF63" s="17">
        <f>FE63*VLOOKUP('Données projet'!$B$16,Paramètres!$A$1:$I$89,3,0)*VLOOKUP('Données projet'!$B$16,Paramètres!$A$1:$I$89,5,0)</f>
        <v>210.07653750000009</v>
      </c>
      <c r="FG63" s="13">
        <f t="shared" si="47"/>
        <v>51.952310712978978</v>
      </c>
      <c r="FH63" s="20">
        <f t="shared" si="22"/>
        <v>456.36691063760526</v>
      </c>
      <c r="FI63" s="59">
        <f t="shared" si="23"/>
        <v>749.70024397093857</v>
      </c>
      <c r="FJ63" s="59">
        <f ca="1">AVERAGE(OFFSET($FI$3,0,0,'Données projet'!$E$16+1,1))-AVERAGE(OFFSET($H$3,0,0,'Données projet'!$E$16+1,1))</f>
        <v>347.17049316703486</v>
      </c>
      <c r="FK63" s="59">
        <f t="shared" si="48"/>
        <v>255.45365487683489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7">
        <f t="shared" si="1"/>
        <v>358.56628999365586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266.02599413192075</v>
      </c>
      <c r="T64" s="59">
        <f t="shared" si="34"/>
        <v>332.94146254783254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8.374198717948719</v>
      </c>
      <c r="AI64" s="13">
        <f>IF('Données projet'!$A$62&gt;35,AI63+AH64-AQ63,IF(A64&lt;'Données projet'!$A$62,$AF$205^A64,IF(A64='Données projet'!$A$62,'Données projet'!$B$62,AI63+AH64-AQ63)))</f>
        <v>203.5400641025642</v>
      </c>
      <c r="AJ64" s="13">
        <f>AI64*VLOOKUP('Données projet'!$B$10,Paramètres!$A$1:$I$89,3,0)*VLOOKUP('Données projet'!$B$10,Paramètres!$A$1:$I$89,5,0)</f>
        <v>184.16305000000008</v>
      </c>
      <c r="AK64" s="13">
        <f t="shared" si="35"/>
        <v>46.247151975893182</v>
      </c>
      <c r="AL64" s="20">
        <f t="shared" si="4"/>
        <v>401.29776844134739</v>
      </c>
      <c r="AM64" s="59">
        <f t="shared" si="5"/>
        <v>694.6311017746807</v>
      </c>
      <c r="AN64" s="59">
        <f ca="1">AVERAGE(OFFSET($AM$3,0,0,'Données projet'!$E$10+1,1))-AVERAGE(OFFSET($H$3,0,0,'Données projet'!$E$10+1,1))</f>
        <v>282.13645166362238</v>
      </c>
      <c r="AO64" s="59">
        <f t="shared" si="36"/>
        <v>210.5345332979457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14.839560439560453</v>
      </c>
      <c r="BD64" s="12">
        <f>IF('Données projet'!$A$88&gt;35,BD63+BC64-BL63,IF(A64&lt;'Données projet'!$A$88,$BA$205^A64,IF(A64='Données projet'!$A$88,'Données projet'!$B$88,BD63+BC64-BL63)))</f>
        <v>426.03626373626366</v>
      </c>
      <c r="BE64" s="13">
        <f>BD64*VLOOKUP('Données projet'!$B$11,Paramètres!$A$1:$I$89,3,0)*VLOOKUP('Données projet'!$B$11,Paramètres!$A$1:$I$89,5,0)</f>
        <v>238.15427142857138</v>
      </c>
      <c r="BF64" s="13">
        <f t="shared" si="37"/>
        <v>58.042234732541061</v>
      </c>
      <c r="BG64" s="20">
        <f t="shared" si="7"/>
        <v>515.87558156393754</v>
      </c>
      <c r="BH64" s="59">
        <f t="shared" si="8"/>
        <v>809.20891489727092</v>
      </c>
      <c r="BI64" s="59">
        <f ca="1">AVERAGE(OFFSET($BH$3,0,0,'Données projet'!$E$11+1,1))-AVERAGE(OFFSET($H$3,0,0,'Données projet'!$E$11+1,1))</f>
        <v>254.6443970237226</v>
      </c>
      <c r="BJ64" s="59">
        <f t="shared" si="38"/>
        <v>231.81667808018062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67.816067172367383</v>
      </c>
      <c r="BQ64" s="21">
        <f>EXP(-LN(2)/25)*BQ63+(1-EXP(-LN(2)/25))/(LN(2)/25)*Calculateur!BL64*Calculateur!BN64*VLOOKUP('Données projet'!$B$11,Paramètres!$A$1:$I$89,3,0)*0.475*44/12</f>
        <v>24.301703385824496</v>
      </c>
      <c r="BR64" s="21">
        <f>EXP(-LN(2)/2)*BR63+(1-EXP(-LN(2)/2))/(LN(2)/2)*BL64*BO64*VLOOKUP('Données projet'!$B$11,Paramètres!$A$1:$I$89,3,0)*0.475*44/12</f>
        <v>1.248792092354136</v>
      </c>
      <c r="BS64" s="22">
        <f t="shared" si="9"/>
        <v>93.366562650546015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5.9431089743589762</v>
      </c>
      <c r="BY64" s="12">
        <f>IF('Données projet'!$A$114&gt;35,BY63+BX64-CG63,IF(A64&lt;'Données projet'!$A$114,$BV$205^A64,IF(A64='Données projet'!$A$114,'Données projet'!$B$114,BY63+BX64-CG63)))</f>
        <v>132.2003205128205</v>
      </c>
      <c r="BZ64" s="13">
        <f>BY64*VLOOKUP('Données projet'!$B$12,Paramètres!$A$1:$I$89,3,0)*VLOOKUP('Données projet'!$B$12,Paramètres!$A$1:$I$89,5,0)</f>
        <v>134.05112499999998</v>
      </c>
      <c r="CA64" s="13">
        <f t="shared" si="39"/>
        <v>34.930776988059094</v>
      </c>
      <c r="CB64" s="20">
        <f t="shared" si="10"/>
        <v>294.31014596253618</v>
      </c>
      <c r="CC64" s="59">
        <f t="shared" si="11"/>
        <v>587.6434792958695</v>
      </c>
      <c r="CD64" s="59">
        <f ca="1">AVERAGE(OFFSET($CC$3,0,0,'Données projet'!$E$12+1,1))-AVERAGE(OFFSET($H$3,0,0,'Données projet'!$E$12+1,1))</f>
        <v>264.08050363622294</v>
      </c>
      <c r="CE64" s="59">
        <f t="shared" si="40"/>
        <v>164.48884512322883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14.839560439560453</v>
      </c>
      <c r="CT64" s="12">
        <f>IF('Données projet'!$A$140&gt;35,CT63+CS64-DB63,IF(A64&lt;'Données projet'!$A$140,$CQ$205^A64,IF(A64='Données projet'!$A$140,'Données projet'!$B$140,CT63+CS64-DB63)))</f>
        <v>426.03626373626366</v>
      </c>
      <c r="CU64" s="17">
        <f>CT64*VLOOKUP('Données projet'!$B$13,Paramètres!$A$1:$I$89,3,0)*VLOOKUP('Données projet'!$B$13,Paramètres!$A$1:$I$89,5,0)</f>
        <v>188.30802857142857</v>
      </c>
      <c r="CV64" s="13">
        <f t="shared" si="41"/>
        <v>47.165687473293119</v>
      </c>
      <c r="CW64" s="20">
        <f t="shared" si="13"/>
        <v>410.11672211122362</v>
      </c>
      <c r="CX64" s="59">
        <f t="shared" si="14"/>
        <v>703.45005544455694</v>
      </c>
      <c r="CY64" s="59">
        <f ca="1">AVERAGE(OFFSET($CX$3,0,0,'Données projet'!$E$13+1,1))-AVERAGE(OFFSET($H$3,0,0,'Données projet'!$E$13+1,1))</f>
        <v>194.7221767407824</v>
      </c>
      <c r="CZ64" s="59">
        <f t="shared" si="42"/>
        <v>177.6550559568646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53.622006601406795</v>
      </c>
      <c r="DG64" s="21">
        <f>EXP(-LN(2)/25)*DG63+(1-EXP(-LN(2)/25))/(LN(2)/25)*Calculateur!DB64*Calculateur!DD64*VLOOKUP('Données projet'!$B$13,Paramètres!$A$1:$I$89,3,0)*0.475*44/12</f>
        <v>19.215300351582162</v>
      </c>
      <c r="DH64" s="21">
        <f>EXP(-LN(2)/2)*DH63+(1-EXP(-LN(2)/2))/(LN(2)/2)*DB64*DE64*VLOOKUP('Données projet'!$B$13,Paramètres!$A$1:$I$89,3,0)*0.475*44/12</f>
        <v>0.98741700325675874</v>
      </c>
      <c r="DI64" s="22">
        <f t="shared" si="15"/>
        <v>73.824723956245705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14.270329670329668</v>
      </c>
      <c r="DO64" s="12">
        <f>IF('Données projet'!$A$166&gt;35,DO63+DN64-DW63,IF(A64&lt;'Données projet'!$A$166,$DL$205^A64,IF(A64='Données projet'!$A$166,'Données projet'!$B$166,DO63+DN64-DW63)))</f>
        <v>346.63626373626369</v>
      </c>
      <c r="DP64" s="17">
        <f>DO64*VLOOKUP('Données projet'!$B$14,Paramètres!$A$1:$I$89,3,0)*VLOOKUP('Données projet'!$B$14,Paramètres!$A$1:$I$89,5,0)</f>
        <v>162.22577142857142</v>
      </c>
      <c r="DQ64" s="13">
        <f t="shared" si="43"/>
        <v>41.344139999178246</v>
      </c>
      <c r="DR64" s="20">
        <f t="shared" si="16"/>
        <v>354.55092906999738</v>
      </c>
      <c r="DS64" s="59">
        <f t="shared" si="17"/>
        <v>647.88426240333069</v>
      </c>
      <c r="DT64" s="59">
        <f ca="1">AVERAGE(OFFSET($DS$3,0,0,'Données projet'!$E$14+1,1))-AVERAGE(OFFSET($H$3,0,0,'Données projet'!$E$14+1,1))</f>
        <v>207.25176714718668</v>
      </c>
      <c r="DU64" s="59">
        <f t="shared" si="44"/>
        <v>191.53228014642559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33.558895185370972</v>
      </c>
      <c r="EB64" s="21">
        <f>EXP(-LN(2)/25)*EB63+(1-EXP(-LN(2)/25))/(LN(2)/25)*Calculateur!DW64*Calculateur!DY64*VLOOKUP('Données projet'!$B$14,Paramètres!$A$1:$I$89,3,0)*0.475*44/12</f>
        <v>27.71711888200009</v>
      </c>
      <c r="EC64" s="21">
        <f>EXP(-LN(2)/2)*EC63+(1-EXP(-LN(2)/2))/(LN(2)/2)*DW64*DZ64*VLOOKUP('Données projet'!$B$14,Paramètres!$A$1:$I$89,3,0)*0.475*44/12</f>
        <v>1.060925157883454</v>
      </c>
      <c r="ED64" s="22">
        <f t="shared" si="18"/>
        <v>62.336939225254518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-2.8421709430404007E-13</v>
      </c>
      <c r="EK64" s="17">
        <f>EJ64*VLOOKUP('Données projet'!$B$15,Paramètres!$A$1:$I$89,3,0)*VLOOKUP('Données projet'!$B$15,Paramètres!$A$1:$I$89,5,0)</f>
        <v>-1.69961822393816E-13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200.15574321350221</v>
      </c>
      <c r="EP64" s="59">
        <f t="shared" si="46"/>
        <v>200.70728852570426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127.17825652631103</v>
      </c>
      <c r="EW64" s="21">
        <f>EXP(-LN(2)/25)*EW63+(1-EXP(-LN(2)/25))/(LN(2)/25)*Calculateur!ER64*Calculateur!ET64*VLOOKUP('Données projet'!$B$15,Paramètres!$A$1:$I$89,3,0)*0.475*44/12</f>
        <v>35.149982499331685</v>
      </c>
      <c r="EX64" s="21">
        <f>EXP(-LN(2)/2)*EX63+(1-EXP(-LN(2)/2))/(LN(2)/2)*ER64*EU64*VLOOKUP('Données projet'!$B$15,Paramètres!$A$1:$I$89,3,0)*0.475*44/12</f>
        <v>22.601146913301768</v>
      </c>
      <c r="EY64" s="22">
        <f t="shared" si="21"/>
        <v>184.92938593894448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8.374198717948719</v>
      </c>
      <c r="FE64" s="12">
        <f>IF('Données projet'!$A$218&gt;35,FE63+FD64-FM63,IF(A64&lt;'Données projet'!$A$218,$FB$205^A64,IF(A64='Données projet'!$A$218,'Données projet'!$B$218,FE63+FD64-FM63)))</f>
        <v>203.5400641025642</v>
      </c>
      <c r="FF64" s="17">
        <f>FE64*VLOOKUP('Données projet'!$B$16,Paramètres!$A$1:$I$89,3,0)*VLOOKUP('Données projet'!$B$16,Paramètres!$A$1:$I$89,5,0)</f>
        <v>219.09052500000007</v>
      </c>
      <c r="FG64" s="13">
        <f t="shared" si="47"/>
        <v>53.917168190682062</v>
      </c>
      <c r="FH64" s="20">
        <f t="shared" si="22"/>
        <v>475.48839897377138</v>
      </c>
      <c r="FI64" s="59">
        <f t="shared" si="23"/>
        <v>768.82173230710464</v>
      </c>
      <c r="FJ64" s="59">
        <f ca="1">AVERAGE(OFFSET($FI$3,0,0,'Données projet'!$E$16+1,1))-AVERAGE(OFFSET($H$3,0,0,'Données projet'!$E$16+1,1))</f>
        <v>347.17049316703486</v>
      </c>
      <c r="FK64" s="59">
        <f t="shared" si="48"/>
        <v>255.45365487683489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7">
        <f t="shared" si="1"/>
        <v>359.60586996909478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266.02599413192075</v>
      </c>
      <c r="T65" s="59">
        <f t="shared" si="34"/>
        <v>332.94146254783254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8.374198717948719</v>
      </c>
      <c r="AI65" s="13">
        <f>IF('Données projet'!$A$62&gt;35,AI64+AH65-AQ64,IF(A65&lt;'Données projet'!$A$62,$AF$205^A65,IF(A65='Données projet'!$A$62,'Données projet'!$B$62,AI64+AH65-AQ64)))</f>
        <v>211.91426282051293</v>
      </c>
      <c r="AJ65" s="13">
        <f>AI65*VLOOKUP('Données projet'!$B$10,Paramètres!$A$1:$I$89,3,0)*VLOOKUP('Données projet'!$B$10,Paramètres!$A$1:$I$89,5,0)</f>
        <v>191.74002500000009</v>
      </c>
      <c r="AK65" s="13">
        <f t="shared" si="35"/>
        <v>47.924443327659169</v>
      </c>
      <c r="AL65" s="20">
        <f t="shared" si="4"/>
        <v>417.41561567067316</v>
      </c>
      <c r="AM65" s="59">
        <f t="shared" si="5"/>
        <v>710.74894900400648</v>
      </c>
      <c r="AN65" s="59">
        <f ca="1">AVERAGE(OFFSET($AM$3,0,0,'Données projet'!$E$10+1,1))-AVERAGE(OFFSET($H$3,0,0,'Données projet'!$E$10+1,1))</f>
        <v>282.13645166362238</v>
      </c>
      <c r="AO65" s="59">
        <f t="shared" si="36"/>
        <v>210.5345332979457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14.839560439560453</v>
      </c>
      <c r="BD65" s="12">
        <f>IF('Données projet'!$A$88&gt;35,BD64+BC65-BL64,IF(A65&lt;'Données projet'!$A$88,$BA$205^A65,IF(A65='Données projet'!$A$88,'Données projet'!$B$88,BD64+BC65-BL64)))</f>
        <v>440.87582417582411</v>
      </c>
      <c r="BE65" s="13">
        <f>BD65*VLOOKUP('Données projet'!$B$11,Paramètres!$A$1:$I$89,3,0)*VLOOKUP('Données projet'!$B$11,Paramètres!$A$1:$I$89,5,0)</f>
        <v>246.44958571428569</v>
      </c>
      <c r="BF65" s="13">
        <f t="shared" si="37"/>
        <v>59.825041333918982</v>
      </c>
      <c r="BG65" s="20">
        <f t="shared" si="7"/>
        <v>533.42830877562312</v>
      </c>
      <c r="BH65" s="59">
        <f t="shared" si="8"/>
        <v>826.76164210895649</v>
      </c>
      <c r="BI65" s="59">
        <f ca="1">AVERAGE(OFFSET($BH$3,0,0,'Données projet'!$E$11+1,1))-AVERAGE(OFFSET($H$3,0,0,'Données projet'!$E$11+1,1))</f>
        <v>254.6443970237226</v>
      </c>
      <c r="BJ65" s="59">
        <f t="shared" si="38"/>
        <v>231.81667808018062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66.486235458833903</v>
      </c>
      <c r="BQ65" s="21">
        <f>EXP(-LN(2)/25)*BQ64+(1-EXP(-LN(2)/25))/(LN(2)/25)*Calculateur!BL65*Calculateur!BN65*VLOOKUP('Données projet'!$B$11,Paramètres!$A$1:$I$89,3,0)*0.475*44/12</f>
        <v>23.637172028768084</v>
      </c>
      <c r="BR65" s="21">
        <f>EXP(-LN(2)/2)*BR64+(1-EXP(-LN(2)/2))/(LN(2)/2)*BL65*BO65*VLOOKUP('Données projet'!$B$11,Paramètres!$A$1:$I$89,3,0)*0.475*44/12</f>
        <v>0.88302935679574701</v>
      </c>
      <c r="BS65" s="22">
        <f t="shared" si="9"/>
        <v>91.006436844397726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5.9431089743589762</v>
      </c>
      <c r="BY65" s="12">
        <f>IF('Données projet'!$A$114&gt;35,BY64+BX65-CG64,IF(A65&lt;'Données projet'!$A$114,$BV$205^A65,IF(A65='Données projet'!$A$114,'Données projet'!$B$114,BY64+BX65-CG64)))</f>
        <v>138.14342948717947</v>
      </c>
      <c r="BZ65" s="13">
        <f>BY65*VLOOKUP('Données projet'!$B$12,Paramètres!$A$1:$I$89,3,0)*VLOOKUP('Données projet'!$B$12,Paramètres!$A$1:$I$89,5,0)</f>
        <v>140.0774375</v>
      </c>
      <c r="CA65" s="13">
        <f t="shared" si="39"/>
        <v>36.314744767883546</v>
      </c>
      <c r="CB65" s="20">
        <f t="shared" si="10"/>
        <v>307.2163841165638</v>
      </c>
      <c r="CC65" s="59">
        <f t="shared" si="11"/>
        <v>600.54971744989712</v>
      </c>
      <c r="CD65" s="59">
        <f ca="1">AVERAGE(OFFSET($CC$3,0,0,'Données projet'!$E$12+1,1))-AVERAGE(OFFSET($H$3,0,0,'Données projet'!$E$12+1,1))</f>
        <v>264.08050363622294</v>
      </c>
      <c r="CE65" s="59">
        <f t="shared" si="40"/>
        <v>164.48884512322883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14.839560439560453</v>
      </c>
      <c r="CT65" s="12">
        <f>IF('Données projet'!$A$140&gt;35,CT64+CS65-DB64,IF(A65&lt;'Données projet'!$A$140,$CQ$205^A65,IF(A65='Données projet'!$A$140,'Données projet'!$B$140,CT64+CS65-DB64)))</f>
        <v>440.87582417582411</v>
      </c>
      <c r="CU65" s="17">
        <f>CT65*VLOOKUP('Données projet'!$B$13,Paramètres!$A$1:$I$89,3,0)*VLOOKUP('Données projet'!$B$13,Paramètres!$A$1:$I$89,5,0)</f>
        <v>194.86711428571428</v>
      </c>
      <c r="CV65" s="13">
        <f t="shared" si="41"/>
        <v>48.614413549630321</v>
      </c>
      <c r="CW65" s="20">
        <f t="shared" si="13"/>
        <v>424.06366097989184</v>
      </c>
      <c r="CX65" s="59">
        <f t="shared" si="14"/>
        <v>717.39699431322515</v>
      </c>
      <c r="CY65" s="59">
        <f ca="1">AVERAGE(OFFSET($CX$3,0,0,'Données projet'!$E$13+1,1))-AVERAGE(OFFSET($H$3,0,0,'Données projet'!$E$13+1,1))</f>
        <v>194.7221767407824</v>
      </c>
      <c r="CZ65" s="59">
        <f t="shared" si="42"/>
        <v>177.6550559568646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52.570511758147767</v>
      </c>
      <c r="DG65" s="21">
        <f>EXP(-LN(2)/25)*DG64+(1-EXP(-LN(2)/25))/(LN(2)/25)*Calculateur!DB65*Calculateur!DD65*VLOOKUP('Données projet'!$B$13,Paramètres!$A$1:$I$89,3,0)*0.475*44/12</f>
        <v>18.689856952979419</v>
      </c>
      <c r="DH65" s="21">
        <f>EXP(-LN(2)/2)*DH64+(1-EXP(-LN(2)/2))/(LN(2)/2)*DB65*DE65*VLOOKUP('Données projet'!$B$13,Paramètres!$A$1:$I$89,3,0)*0.475*44/12</f>
        <v>0.69820925886175345</v>
      </c>
      <c r="DI65" s="22">
        <f t="shared" si="15"/>
        <v>71.958577969988937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14.270329670329668</v>
      </c>
      <c r="DO65" s="12">
        <f>IF('Données projet'!$A$166&gt;35,DO64+DN65-DW64,IF(A65&lt;'Données projet'!$A$166,$DL$205^A65,IF(A65='Données projet'!$A$166,'Données projet'!$B$166,DO64+DN65-DW64)))</f>
        <v>360.90659340659334</v>
      </c>
      <c r="DP65" s="17">
        <f>DO65*VLOOKUP('Données projet'!$B$14,Paramètres!$A$1:$I$89,3,0)*VLOOKUP('Données projet'!$B$14,Paramètres!$A$1:$I$89,5,0)</f>
        <v>168.90428571428566</v>
      </c>
      <c r="DQ65" s="13">
        <f t="shared" si="43"/>
        <v>42.844527757373569</v>
      </c>
      <c r="DR65" s="20">
        <f t="shared" si="16"/>
        <v>368.79585012980647</v>
      </c>
      <c r="DS65" s="59">
        <f t="shared" si="17"/>
        <v>662.12918346313973</v>
      </c>
      <c r="DT65" s="59">
        <f ca="1">AVERAGE(OFFSET($DS$3,0,0,'Données projet'!$E$14+1,1))-AVERAGE(OFFSET($H$3,0,0,'Données projet'!$E$14+1,1))</f>
        <v>207.25176714718668</v>
      </c>
      <c r="DU65" s="59">
        <f t="shared" si="44"/>
        <v>191.53228014642559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32.900825719690772</v>
      </c>
      <c r="EB65" s="21">
        <f>EXP(-LN(2)/25)*EB64+(1-EXP(-LN(2)/25))/(LN(2)/25)*Calculateur!DW65*Calculateur!DY65*VLOOKUP('Données projet'!$B$14,Paramètres!$A$1:$I$89,3,0)*0.475*44/12</f>
        <v>26.959192808591865</v>
      </c>
      <c r="EC65" s="21">
        <f>EXP(-LN(2)/2)*EC64+(1-EXP(-LN(2)/2))/(LN(2)/2)*DW65*DZ65*VLOOKUP('Données projet'!$B$14,Paramètres!$A$1:$I$89,3,0)*0.475*44/12</f>
        <v>0.75018737347079889</v>
      </c>
      <c r="ED65" s="22">
        <f t="shared" si="18"/>
        <v>60.610205901753439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-2.8421709430404007E-13</v>
      </c>
      <c r="EK65" s="17">
        <f>EJ65*VLOOKUP('Données projet'!$B$15,Paramètres!$A$1:$I$89,3,0)*VLOOKUP('Données projet'!$B$15,Paramètres!$A$1:$I$89,5,0)</f>
        <v>-1.69961822393816E-13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200.15574321350221</v>
      </c>
      <c r="EP65" s="59">
        <f t="shared" si="46"/>
        <v>200.70728852570426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124.68436848690705</v>
      </c>
      <c r="EW65" s="21">
        <f>EXP(-LN(2)/25)*EW64+(1-EXP(-LN(2)/25))/(LN(2)/25)*Calculateur!ER65*Calculateur!ET65*VLOOKUP('Données projet'!$B$15,Paramètres!$A$1:$I$89,3,0)*0.475*44/12</f>
        <v>34.188804379430216</v>
      </c>
      <c r="EX65" s="21">
        <f>EXP(-LN(2)/2)*EX64+(1-EXP(-LN(2)/2))/(LN(2)/2)*ER65*EU65*VLOOKUP('Données projet'!$B$15,Paramètres!$A$1:$I$89,3,0)*0.475*44/12</f>
        <v>15.981424244989089</v>
      </c>
      <c r="EY65" s="22">
        <f t="shared" si="21"/>
        <v>174.85459711132634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8.374198717948719</v>
      </c>
      <c r="FE65" s="12">
        <f>IF('Données projet'!$A$218&gt;35,FE64+FD65-FM64,IF(A65&lt;'Données projet'!$A$218,$FB$205^A65,IF(A65='Données projet'!$A$218,'Données projet'!$B$218,FE64+FD65-FM64)))</f>
        <v>211.91426282051293</v>
      </c>
      <c r="FF65" s="17">
        <f>FE65*VLOOKUP('Données projet'!$B$16,Paramètres!$A$1:$I$89,3,0)*VLOOKUP('Données projet'!$B$16,Paramètres!$A$1:$I$89,5,0)</f>
        <v>228.10451250000011</v>
      </c>
      <c r="FG65" s="13">
        <f t="shared" si="47"/>
        <v>55.872635631468157</v>
      </c>
      <c r="FH65" s="20">
        <f t="shared" si="22"/>
        <v>494.59353299564049</v>
      </c>
      <c r="FI65" s="59">
        <f t="shared" si="23"/>
        <v>787.9268663289738</v>
      </c>
      <c r="FJ65" s="59">
        <f ca="1">AVERAGE(OFFSET($FI$3,0,0,'Données projet'!$E$16+1,1))-AVERAGE(OFFSET($H$3,0,0,'Données projet'!$E$16+1,1))</f>
        <v>347.17049316703486</v>
      </c>
      <c r="FK65" s="59">
        <f t="shared" si="48"/>
        <v>255.45365487683489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7">
        <f t="shared" si="1"/>
        <v>360.64502887754617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266.02599413192075</v>
      </c>
      <c r="T66" s="59">
        <f t="shared" si="34"/>
        <v>332.94146254783254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220.28846153846152</v>
      </c>
      <c r="AG66" s="12">
        <f>VLOOKUP(A66,'Données projet'!$A$61:$I$81,9,0)</f>
        <v>8.374198717948719</v>
      </c>
      <c r="AH66" s="12">
        <f t="array" ref="AH66">INDEX(AG:AG,MIN(IF(ISNUMBER(AG66:AG262),ROW(AG66:AG262),"")))</f>
        <v>8.374198717948719</v>
      </c>
      <c r="AI66" s="13">
        <f>IF('Données projet'!$A$62&gt;35,AI65+AH66-AQ65,IF(A66&lt;'Données projet'!$A$62,$AF$205^A66,IF(A66='Données projet'!$A$62,'Données projet'!$B$62,AI65+AH66-AQ65)))</f>
        <v>220.28846153846166</v>
      </c>
      <c r="AJ66" s="13">
        <f>AI66*VLOOKUP('Données projet'!$B$10,Paramètres!$A$1:$I$89,3,0)*VLOOKUP('Données projet'!$B$10,Paramètres!$A$1:$I$89,5,0)</f>
        <v>199.31700000000009</v>
      </c>
      <c r="AK66" s="13">
        <f t="shared" si="35"/>
        <v>49.594035126387503</v>
      </c>
      <c r="AL66" s="20">
        <f t="shared" si="4"/>
        <v>433.52005284512506</v>
      </c>
      <c r="AM66" s="59">
        <f t="shared" si="5"/>
        <v>726.85338617845832</v>
      </c>
      <c r="AN66" s="59">
        <f ca="1">AVERAGE(OFFSET($AM$3,0,0,'Données projet'!$E$10+1,1))-AVERAGE(OFFSET($H$3,0,0,'Données projet'!$E$10+1,1))</f>
        <v>282.13645166362238</v>
      </c>
      <c r="AO66" s="59">
        <f t="shared" si="36"/>
        <v>210.5345332979457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41.724358974358978</v>
      </c>
      <c r="AR66" s="16">
        <f>IF(ISNA(VLOOKUP(A66,'Données projet'!$A$61:$I$81,5,0)),0%,VLOOKUP(A66,'Données projet'!$A$61:$I$81,5,0)*VLOOKUP('Données projet'!$B$10,Paramètres!$A$1:$I$89,7,0))</f>
        <v>0.30099999999999999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12.561915597523354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12.561915597523354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455.71538461538466</v>
      </c>
      <c r="BB66" s="12">
        <f>VLOOKUP(A66,'Données projet'!$A$87:$I$107,9,0)</f>
        <v>14.839560439560453</v>
      </c>
      <c r="BC66" s="12">
        <f t="array" ref="BC66">INDEX(BB:BB,MIN(IF(ISNUMBER(BB66:BB262),ROW(BB66:BB262),"")))</f>
        <v>14.839560439560453</v>
      </c>
      <c r="BD66" s="12">
        <f>IF('Données projet'!$A$88&gt;35,BD65+BC66-BL65,IF(A66&lt;'Données projet'!$A$88,$BA$205^A66,IF(A66='Données projet'!$A$88,'Données projet'!$B$88,BD65+BC66-BL65)))</f>
        <v>455.71538461538455</v>
      </c>
      <c r="BE66" s="13">
        <f>BD66*VLOOKUP('Données projet'!$B$11,Paramètres!$A$1:$I$89,3,0)*VLOOKUP('Données projet'!$B$11,Paramètres!$A$1:$I$89,5,0)</f>
        <v>254.74489999999997</v>
      </c>
      <c r="BF66" s="13">
        <f t="shared" si="37"/>
        <v>61.600875281297732</v>
      </c>
      <c r="BG66" s="20">
        <f t="shared" si="7"/>
        <v>550.96889194826019</v>
      </c>
      <c r="BH66" s="59">
        <f t="shared" si="8"/>
        <v>844.30222528159356</v>
      </c>
      <c r="BI66" s="59">
        <f ca="1">AVERAGE(OFFSET($BH$3,0,0,'Données projet'!$E$11+1,1))-AVERAGE(OFFSET($H$3,0,0,'Données projet'!$E$11+1,1))</f>
        <v>254.6443970237226</v>
      </c>
      <c r="BJ66" s="59">
        <f t="shared" si="38"/>
        <v>231.81667808018062</v>
      </c>
      <c r="BK66" s="15">
        <f>IF(ISNA(VLOOKUP(A66,'Données projet'!$A$87:$I$107,3,0)),0,VLOOKUP(A66,'Données projet'!$A$87:$I$107,3,0))</f>
        <v>7</v>
      </c>
      <c r="BL66" s="15">
        <f>IF(ISNA(VLOOKUP(A66,'Données projet'!$A$87:$I$107,4,0)),0,VLOOKUP(A66,'Données projet'!$A$87:$I$107,4,0))</f>
        <v>79.723076923076917</v>
      </c>
      <c r="BM66" s="16">
        <f>IF(ISNA(VLOOKUP(A66,'Données projet'!$A$87:$I$107,5,0)),0%,VLOOKUP(A66,'Données projet'!$A$87:$I$107,5,0)*VLOOKUP('Données projet'!$B$11,Paramètres!$A$1:$I$89,7,0))</f>
        <v>0.38500000000000001</v>
      </c>
      <c r="BN66" s="16">
        <f>IF(ISNA(VLOOKUP(A66,'Données projet'!$A$87:$I$107,6,0)),0%,VLOOKUP(A66,'Données projet'!$A$87:$I$107,6,0)*VLOOKUP('Données projet'!$B$11,Paramètres!$A$1:$I$89,7,0))</f>
        <v>9.240000000000001E-2</v>
      </c>
      <c r="BO66" s="16">
        <f>IF(ISNA(VLOOKUP(A66,'Données projet'!$A$87:$I$107,7,0)),0%,VLOOKUP(A66,'Données projet'!$A$87:$I$107,7,0))</f>
        <v>0.13200000000000001</v>
      </c>
      <c r="BP66" s="21">
        <f>EXP(-LN(2)/35)*BP65+(1-EXP(-LN(2)/35))/(LN(2)/35)*BL66*BM66*VLOOKUP('Données projet'!$B$11,Paramètres!$A$1:$I$89,3,0)*0.475*44/12</f>
        <v>87.943145887863921</v>
      </c>
      <c r="BQ66" s="21">
        <f>EXP(-LN(2)/25)*BQ65+(1-EXP(-LN(2)/25))/(LN(2)/25)*Calculateur!BL66*Calculateur!BN66*VLOOKUP('Données projet'!$B$11,Paramètres!$A$1:$I$89,3,0)*0.475*44/12</f>
        <v>28.431863727023469</v>
      </c>
      <c r="BR66" s="21">
        <f>EXP(-LN(2)/2)*BR65+(1-EXP(-LN(2)/2))/(LN(2)/2)*BL66*BO66*VLOOKUP('Données projet'!$B$11,Paramètres!$A$1:$I$89,3,0)*0.475*44/12</f>
        <v>7.2848730058929609</v>
      </c>
      <c r="BS66" s="22">
        <f t="shared" si="9"/>
        <v>123.65988262078035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5.9431089743589762</v>
      </c>
      <c r="BY66" s="12">
        <f>IF('Données projet'!$A$114&gt;35,BY65+BX66-CG65,IF(A66&lt;'Données projet'!$A$114,$BV$205^A66,IF(A66='Données projet'!$A$114,'Données projet'!$B$114,BY65+BX66-CG65)))</f>
        <v>144.08653846153845</v>
      </c>
      <c r="BZ66" s="13">
        <f>BY66*VLOOKUP('Données projet'!$B$12,Paramètres!$A$1:$I$89,3,0)*VLOOKUP('Données projet'!$B$12,Paramètres!$A$1:$I$89,5,0)</f>
        <v>146.10374999999999</v>
      </c>
      <c r="CA66" s="13">
        <f t="shared" si="39"/>
        <v>37.691797153104957</v>
      </c>
      <c r="CB66" s="20">
        <f t="shared" si="10"/>
        <v>320.11057795832443</v>
      </c>
      <c r="CC66" s="59">
        <f t="shared" si="11"/>
        <v>613.44391129165774</v>
      </c>
      <c r="CD66" s="59">
        <f ca="1">AVERAGE(OFFSET($CC$3,0,0,'Données projet'!$E$12+1,1))-AVERAGE(OFFSET($H$3,0,0,'Données projet'!$E$12+1,1))</f>
        <v>264.08050363622294</v>
      </c>
      <c r="CE66" s="59">
        <f t="shared" si="40"/>
        <v>164.48884512322883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455.71538461538466</v>
      </c>
      <c r="CR66" s="12">
        <f>VLOOKUP(A66,'Données projet'!$A$139:$I$159,9,0)</f>
        <v>14.839560439560453</v>
      </c>
      <c r="CS66" s="12">
        <f t="array" ref="CS66">INDEX(CR:CR,MIN(IF(ISNUMBER(CR66:CR262),ROW(CR66:CR262),"")))</f>
        <v>14.839560439560453</v>
      </c>
      <c r="CT66" s="12">
        <f>IF('Données projet'!$A$140&gt;35,CT65+CS66-DB65,IF(A66&lt;'Données projet'!$A$140,$CQ$205^A66,IF(A66='Données projet'!$A$140,'Données projet'!$B$140,CT65+CS66-DB65)))</f>
        <v>455.71538461538455</v>
      </c>
      <c r="CU66" s="17">
        <f>CT66*VLOOKUP('Données projet'!$B$13,Paramètres!$A$1:$I$89,3,0)*VLOOKUP('Données projet'!$B$13,Paramètres!$A$1:$I$89,5,0)</f>
        <v>201.42619999999999</v>
      </c>
      <c r="CV66" s="13">
        <f t="shared" si="41"/>
        <v>50.057473579150077</v>
      </c>
      <c r="CW66" s="20">
        <f t="shared" si="13"/>
        <v>438.00073148368637</v>
      </c>
      <c r="CX66" s="59">
        <f t="shared" si="14"/>
        <v>731.33406481701968</v>
      </c>
      <c r="CY66" s="59">
        <f ca="1">AVERAGE(OFFSET($CX$3,0,0,'Données projet'!$E$13+1,1))-AVERAGE(OFFSET($H$3,0,0,'Données projet'!$E$13+1,1))</f>
        <v>194.7221767407824</v>
      </c>
      <c r="CZ66" s="59">
        <f t="shared" si="42"/>
        <v>177.6550559568646</v>
      </c>
      <c r="DA66" s="15">
        <f>IF(ISNA(VLOOKUP(A66,'Données projet'!$A$139:$I$159,3,0)),0,VLOOKUP(A66,'Données projet'!$A$139:$I$159,3,0))</f>
        <v>7</v>
      </c>
      <c r="DB66" s="15">
        <f>IF(ISNA(VLOOKUP(A66,'Données projet'!$A$139:$I$159,4,0)),0,VLOOKUP(A66,'Données projet'!$A$139:$I$159,4,0))</f>
        <v>79.723076923076917</v>
      </c>
      <c r="DC66" s="16">
        <f>IF(ISNA(VLOOKUP(A66,'Données projet'!$A$139:$I$159,5,0)),0%,VLOOKUP(A66,'Données projet'!$A$139:$I$159,5,0)*VLOOKUP('Données projet'!$B$13,Paramètres!$A$1:$I$89,7,0))</f>
        <v>0.38500000000000001</v>
      </c>
      <c r="DD66" s="16">
        <f>IF(ISNA(VLOOKUP(A66,'Données projet'!$A$139:$I$159,6,0)),0%,VLOOKUP(A66,'Données projet'!$A$139:$I$159,6,0)*VLOOKUP('Données projet'!$B$13,Paramètres!$A$1:$I$89,7,0))</f>
        <v>9.240000000000001E-2</v>
      </c>
      <c r="DE66" s="16">
        <f>IF(ISNA(VLOOKUP(A66,'Données projet'!$A$139:$I$159,7,0)),0%,VLOOKUP(A66,'Données projet'!$A$139:$I$159,7,0))</f>
        <v>0.13200000000000001</v>
      </c>
      <c r="DF66" s="21">
        <f>EXP(-LN(2)/35)*DF65+(1-EXP(-LN(2)/35))/(LN(2)/35)*DB66*DC66*VLOOKUP('Données projet'!$B$13,Paramètres!$A$1:$I$89,3,0)*0.475*44/12</f>
        <v>69.536440934590104</v>
      </c>
      <c r="DG66" s="21">
        <f>EXP(-LN(2)/25)*DG65+(1-EXP(-LN(2)/25))/(LN(2)/25)*Calculateur!DB66*Calculateur!DD66*VLOOKUP('Données projet'!$B$13,Paramètres!$A$1:$I$89,3,0)*0.475*44/12</f>
        <v>22.481008528344141</v>
      </c>
      <c r="DH66" s="21">
        <f>EXP(-LN(2)/2)*DH65+(1-EXP(-LN(2)/2))/(LN(2)/2)*DB66*DE66*VLOOKUP('Données projet'!$B$13,Paramètres!$A$1:$I$89,3,0)*0.475*44/12</f>
        <v>5.7601321441944346</v>
      </c>
      <c r="DI66" s="22">
        <f t="shared" si="15"/>
        <v>97.777581607128681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375.17692307692306</v>
      </c>
      <c r="DM66" s="12">
        <f>VLOOKUP(A66,'Données projet'!$A$165:$I$185,9,0)</f>
        <v>14.270329670329668</v>
      </c>
      <c r="DN66" s="12">
        <f t="array" ref="DN66">INDEX(DM:DM,MIN(IF(ISNUMBER(DM66:DM262),ROW(DM66:DM262),"")))</f>
        <v>14.270329670329668</v>
      </c>
      <c r="DO66" s="12">
        <f>IF('Données projet'!$A$166&gt;35,DO65+DN66-DW65,IF(A66&lt;'Données projet'!$A$166,$DL$205^A66,IF(A66='Données projet'!$A$166,'Données projet'!$B$166,DO65+DN66-DW65)))</f>
        <v>375.176923076923</v>
      </c>
      <c r="DP66" s="17">
        <f>DO66*VLOOKUP('Données projet'!$B$14,Paramètres!$A$1:$I$89,3,0)*VLOOKUP('Données projet'!$B$14,Paramètres!$A$1:$I$89,5,0)</f>
        <v>175.58279999999996</v>
      </c>
      <c r="DQ66" s="13">
        <f t="shared" si="43"/>
        <v>44.338023977070598</v>
      </c>
      <c r="DR66" s="20">
        <f t="shared" si="16"/>
        <v>383.02876842673123</v>
      </c>
      <c r="DS66" s="59">
        <f t="shared" si="17"/>
        <v>676.36210176006455</v>
      </c>
      <c r="DT66" s="59">
        <f ca="1">AVERAGE(OFFSET($DS$3,0,0,'Données projet'!$E$14+1,1))-AVERAGE(OFFSET($H$3,0,0,'Données projet'!$E$14+1,1))</f>
        <v>207.25176714718668</v>
      </c>
      <c r="DU66" s="59">
        <f t="shared" si="44"/>
        <v>191.53228014642559</v>
      </c>
      <c r="DV66" s="15">
        <f>IF(ISNA(VLOOKUP(A66,'Données projet'!$A$165:$I$185,3,0)),0,VLOOKUP(A66,'Données projet'!$A$165:$I$185,3,0))</f>
        <v>4</v>
      </c>
      <c r="DW66" s="15">
        <f>IF(ISNA(VLOOKUP(A66,'Données projet'!$A$165:$I$185,4,0)),0,VLOOKUP(A66,'Données projet'!$A$165:$I$185,4,0))</f>
        <v>71.123076923076923</v>
      </c>
      <c r="DX66" s="16">
        <f>IF(ISNA(VLOOKUP(A66,'Données projet'!$A$165:$I$185,5,0)),0%,VLOOKUP(A66,'Données projet'!$A$165:$I$185,5,0)*VLOOKUP('Données projet'!$B$14,Paramètres!$A$1:$I$89,7,0))</f>
        <v>0.38500000000000001</v>
      </c>
      <c r="DY66" s="16">
        <f>IF(ISNA(VLOOKUP(A66,'Données projet'!$A$165:$I$185,6,0)),0%,VLOOKUP(A66,'Données projet'!$A$165:$I$185,6,0)*VLOOKUP('Données projet'!$B$14,Paramètres!$A$1:$I$89,7,0))</f>
        <v>9.240000000000001E-2</v>
      </c>
      <c r="DZ66" s="16">
        <f>IF(ISNA(VLOOKUP(A66,'Données projet'!$A$165:$I$185,7,0)),0%,VLOOKUP(A66,'Données projet'!$A$165:$I$185,7,0))</f>
        <v>0.13200000000000001</v>
      </c>
      <c r="EA66" s="21">
        <f>EXP(-LN(2)/35)*EA65+(1-EXP(-LN(2)/35))/(LN(2)/35)*DW66*DX66*VLOOKUP('Données projet'!$B$14,Paramètres!$A$1:$I$89,3,0)*0.475*44/12</f>
        <v>49.255525722471489</v>
      </c>
      <c r="EB66" s="21">
        <f>EXP(-LN(2)/25)*EB65+(1-EXP(-LN(2)/25))/(LN(2)/25)*Calculateur!DW66*Calculateur!DY66*VLOOKUP('Données projet'!$B$14,Paramètres!$A$1:$I$89,3,0)*0.475*44/12</f>
        <v>30.285895506996454</v>
      </c>
      <c r="EC66" s="21">
        <f>EXP(-LN(2)/2)*EC65+(1-EXP(-LN(2)/2))/(LN(2)/2)*DW66*DZ66*VLOOKUP('Données projet'!$B$14,Paramètres!$A$1:$I$89,3,0)*0.475*44/12</f>
        <v>5.5051507187979212</v>
      </c>
      <c r="ED66" s="22">
        <f t="shared" si="18"/>
        <v>85.046571948265864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-2.8421709430404007E-13</v>
      </c>
      <c r="EK66" s="17">
        <f>EJ66*VLOOKUP('Données projet'!$B$15,Paramètres!$A$1:$I$89,3,0)*VLOOKUP('Données projet'!$B$15,Paramètres!$A$1:$I$89,5,0)</f>
        <v>-1.69961822393816E-13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200.15574321350221</v>
      </c>
      <c r="EP66" s="59">
        <f t="shared" si="46"/>
        <v>200.70728852570426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122.23938407083426</v>
      </c>
      <c r="EW66" s="21">
        <f>EXP(-LN(2)/25)*EW65+(1-EXP(-LN(2)/25))/(LN(2)/25)*Calculateur!ER66*Calculateur!ET66*VLOOKUP('Données projet'!$B$15,Paramètres!$A$1:$I$89,3,0)*0.475*44/12</f>
        <v>33.253909725763613</v>
      </c>
      <c r="EX66" s="21">
        <f>EXP(-LN(2)/2)*EX65+(1-EXP(-LN(2)/2))/(LN(2)/2)*ER66*EU66*VLOOKUP('Données projet'!$B$15,Paramètres!$A$1:$I$89,3,0)*0.475*44/12</f>
        <v>11.300573456650886</v>
      </c>
      <c r="EY66" s="22">
        <f t="shared" si="21"/>
        <v>166.79386725324875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>
        <f>VLOOKUP(A66,'Données projet'!$A$217:$I$237,2,0)</f>
        <v>220.28846153846152</v>
      </c>
      <c r="FC66" s="12">
        <f>VLOOKUP(A66,'Données projet'!$A$217:$I$237,9,0)</f>
        <v>8.374198717948719</v>
      </c>
      <c r="FD66" s="12">
        <f t="array" ref="FD66">INDEX(FC:FC,MIN(IF(ISNUMBER(FC66:FC262),ROW(FC66:FC262),"")))</f>
        <v>8.374198717948719</v>
      </c>
      <c r="FE66" s="12">
        <f>IF('Données projet'!$A$218&gt;35,FE65+FD66-FM65,IF(A66&lt;'Données projet'!$A$218,$FB$205^A66,IF(A66='Données projet'!$A$218,'Données projet'!$B$218,FE65+FD66-FM65)))</f>
        <v>220.28846153846166</v>
      </c>
      <c r="FF66" s="17">
        <f>FE66*VLOOKUP('Données projet'!$B$16,Paramètres!$A$1:$I$89,3,0)*VLOOKUP('Données projet'!$B$16,Paramètres!$A$1:$I$89,5,0)</f>
        <v>237.11850000000013</v>
      </c>
      <c r="FG66" s="13">
        <f t="shared" si="47"/>
        <v>57.819126560655327</v>
      </c>
      <c r="FH66" s="20">
        <f t="shared" si="22"/>
        <v>513.68303292647499</v>
      </c>
      <c r="FI66" s="59">
        <f t="shared" si="23"/>
        <v>807.01636625980836</v>
      </c>
      <c r="FJ66" s="59">
        <f ca="1">AVERAGE(OFFSET($FI$3,0,0,'Données projet'!$E$16+1,1))-AVERAGE(OFFSET($H$3,0,0,'Données projet'!$E$16+1,1))</f>
        <v>347.17049316703486</v>
      </c>
      <c r="FK66" s="59">
        <f t="shared" si="48"/>
        <v>255.45365487683489</v>
      </c>
      <c r="FL66" s="15">
        <f>IF(ISNA(VLOOKUP(A66,'Données projet'!$A$217:$I$237,3,0)),0,VLOOKUP(A66,'Données projet'!$A$217:$I$237,3,0))</f>
        <v>5</v>
      </c>
      <c r="FM66" s="15">
        <f>IF(ISNA(VLOOKUP(A66,'Données projet'!$A$217:$I$237,4,0)),0,VLOOKUP(A66,'Données projet'!$A$217:$I$237,4,0))</f>
        <v>41.724358974358978</v>
      </c>
      <c r="FN66" s="16">
        <f>IF(ISNA(VLOOKUP(A66,'Données projet'!$A$217:$I$237,5,0)),0%,VLOOKUP(A66,'Données projet'!$A$217:$I$237,5,0)*VLOOKUP('Données projet'!$B$16,Paramètres!$A$1:$I$89,7,0))</f>
        <v>0.30099999999999999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14.944347866019163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14.944347866019163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7">
        <f t="shared" si="1"/>
        <v>361.68377417432612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266.02599413192075</v>
      </c>
      <c r="T67" s="59">
        <f t="shared" si="34"/>
        <v>332.94146254783254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8.1001602564102626</v>
      </c>
      <c r="AI67" s="13">
        <f>IF('Données projet'!$A$62&gt;35,AI66+AH67-AQ66,IF(A67&lt;'Données projet'!$A$62,$AF$205^A67,IF(A67='Données projet'!$A$62,'Données projet'!$B$62,AI66+AH67-AQ66)))</f>
        <v>186.66426282051296</v>
      </c>
      <c r="AJ67" s="13">
        <f>AI67*VLOOKUP('Données projet'!$B$10,Paramètres!$A$1:$I$89,3,0)*VLOOKUP('Données projet'!$B$10,Paramètres!$A$1:$I$89,5,0)</f>
        <v>168.89382500000013</v>
      </c>
      <c r="AK67" s="13">
        <f t="shared" si="35"/>
        <v>42.842183132845896</v>
      </c>
      <c r="AL67" s="20">
        <f t="shared" si="4"/>
        <v>368.77354749804016</v>
      </c>
      <c r="AM67" s="59">
        <f t="shared" si="5"/>
        <v>662.10688083137347</v>
      </c>
      <c r="AN67" s="59">
        <f ca="1">AVERAGE(OFFSET($AM$3,0,0,'Données projet'!$E$10+1,1))-AVERAGE(OFFSET($H$3,0,0,'Données projet'!$E$10+1,1))</f>
        <v>282.13645166362238</v>
      </c>
      <c r="AO67" s="59">
        <f t="shared" si="36"/>
        <v>210.5345332979457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12.315584094667875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12.315584094667875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13.296703296703283</v>
      </c>
      <c r="BD67" s="12">
        <f>IF('Données projet'!$A$88&gt;35,BD66+BC67-BL66,IF(A67&lt;'Données projet'!$A$88,$BA$205^A67,IF(A67='Données projet'!$A$88,'Données projet'!$B$88,BD66+BC67-BL66)))</f>
        <v>389.28901098901093</v>
      </c>
      <c r="BE67" s="13">
        <f>BD67*VLOOKUP('Données projet'!$B$11,Paramètres!$A$1:$I$89,3,0)*VLOOKUP('Données projet'!$B$11,Paramètres!$A$1:$I$89,5,0)</f>
        <v>217.61255714285713</v>
      </c>
      <c r="BF67" s="13">
        <f t="shared" si="37"/>
        <v>53.595657750447323</v>
      </c>
      <c r="BG67" s="20">
        <f t="shared" si="7"/>
        <v>472.35430760583853</v>
      </c>
      <c r="BH67" s="59">
        <f t="shared" si="8"/>
        <v>765.68764093917184</v>
      </c>
      <c r="BI67" s="59">
        <f ca="1">AVERAGE(OFFSET($BH$3,0,0,'Données projet'!$E$11+1,1))-AVERAGE(OFFSET($H$3,0,0,'Données projet'!$E$11+1,1))</f>
        <v>254.6443970237226</v>
      </c>
      <c r="BJ67" s="59">
        <f t="shared" si="38"/>
        <v>231.81667808018062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86.218634437025386</v>
      </c>
      <c r="BQ67" s="21">
        <f>EXP(-LN(2)/25)*BQ66+(1-EXP(-LN(2)/25))/(LN(2)/25)*Calculateur!BL67*Calculateur!BN67*VLOOKUP('Données projet'!$B$11,Paramètres!$A$1:$I$89,3,0)*0.475*44/12</f>
        <v>27.654392918241282</v>
      </c>
      <c r="BR67" s="21">
        <f>EXP(-LN(2)/2)*BR66+(1-EXP(-LN(2)/2))/(LN(2)/2)*BL67*BO67*VLOOKUP('Données projet'!$B$11,Paramètres!$A$1:$I$89,3,0)*0.475*44/12</f>
        <v>5.1511831025497408</v>
      </c>
      <c r="BS67" s="22">
        <f t="shared" si="9"/>
        <v>119.02421045781641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5.9431089743589762</v>
      </c>
      <c r="BY67" s="12">
        <f>IF('Données projet'!$A$114&gt;35,BY66+BX67-CG66,IF(A67&lt;'Données projet'!$A$114,$BV$205^A67,IF(A67='Données projet'!$A$114,'Données projet'!$B$114,BY66+BX67-CG66)))</f>
        <v>150.02964743589743</v>
      </c>
      <c r="BZ67" s="13">
        <f>BY67*VLOOKUP('Données projet'!$B$12,Paramètres!$A$1:$I$89,3,0)*VLOOKUP('Données projet'!$B$12,Paramètres!$A$1:$I$89,5,0)</f>
        <v>152.13006250000001</v>
      </c>
      <c r="CA67" s="13">
        <f t="shared" si="39"/>
        <v>39.06225200390233</v>
      </c>
      <c r="CB67" s="20">
        <f t="shared" si="10"/>
        <v>332.99328109429655</v>
      </c>
      <c r="CC67" s="59">
        <f t="shared" si="11"/>
        <v>626.32661442762992</v>
      </c>
      <c r="CD67" s="59">
        <f ca="1">AVERAGE(OFFSET($CC$3,0,0,'Données projet'!$E$12+1,1))-AVERAGE(OFFSET($H$3,0,0,'Données projet'!$E$12+1,1))</f>
        <v>264.08050363622294</v>
      </c>
      <c r="CE67" s="59">
        <f t="shared" si="40"/>
        <v>164.48884512322883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13.296703296703283</v>
      </c>
      <c r="CT67" s="12">
        <f>IF('Données projet'!$A$140&gt;35,CT66+CS67-DB66,IF(A67&lt;'Données projet'!$A$140,$CQ$205^A67,IF(A67='Données projet'!$A$140,'Données projet'!$B$140,CT66+CS67-DB66)))</f>
        <v>389.28901098901093</v>
      </c>
      <c r="CU67" s="17">
        <f>CT67*VLOOKUP('Données projet'!$B$13,Paramètres!$A$1:$I$89,3,0)*VLOOKUP('Données projet'!$B$13,Paramètres!$A$1:$I$89,5,0)</f>
        <v>172.06574285714285</v>
      </c>
      <c r="CV67" s="13">
        <f t="shared" si="41"/>
        <v>43.552355539576439</v>
      </c>
      <c r="CW67" s="20">
        <f t="shared" si="13"/>
        <v>375.53485470761944</v>
      </c>
      <c r="CX67" s="59">
        <f t="shared" si="14"/>
        <v>668.86818804095276</v>
      </c>
      <c r="CY67" s="59">
        <f ca="1">AVERAGE(OFFSET($CX$3,0,0,'Données projet'!$E$13+1,1))-AVERAGE(OFFSET($H$3,0,0,'Données projet'!$E$13+1,1))</f>
        <v>194.7221767407824</v>
      </c>
      <c r="CZ67" s="59">
        <f t="shared" si="42"/>
        <v>177.6550559568646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68.172873740903825</v>
      </c>
      <c r="DG67" s="21">
        <f>EXP(-LN(2)/25)*DG66+(1-EXP(-LN(2)/25))/(LN(2)/25)*Calculateur!DB67*Calculateur!DD67*VLOOKUP('Données projet'!$B$13,Paramètres!$A$1:$I$89,3,0)*0.475*44/12</f>
        <v>21.866264167911712</v>
      </c>
      <c r="DH67" s="21">
        <f>EXP(-LN(2)/2)*DH66+(1-EXP(-LN(2)/2))/(LN(2)/2)*DB67*DE67*VLOOKUP('Données projet'!$B$13,Paramètres!$A$1:$I$89,3,0)*0.475*44/12</f>
        <v>4.0730284996904933</v>
      </c>
      <c r="DI67" s="22">
        <f t="shared" si="15"/>
        <v>94.112166408506027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13.737499999999997</v>
      </c>
      <c r="DO67" s="12">
        <f>IF('Données projet'!$A$166&gt;35,DO66+DN67-DW66,IF(A67&lt;'Données projet'!$A$166,$DL$205^A67,IF(A67='Données projet'!$A$166,'Données projet'!$B$166,DO66+DN67-DW66)))</f>
        <v>317.79134615384612</v>
      </c>
      <c r="DP67" s="17">
        <f>DO67*VLOOKUP('Données projet'!$B$14,Paramètres!$A$1:$I$89,3,0)*VLOOKUP('Données projet'!$B$14,Paramètres!$A$1:$I$89,5,0)</f>
        <v>148.72635</v>
      </c>
      <c r="DQ67" s="13">
        <f t="shared" si="43"/>
        <v>38.289000598915827</v>
      </c>
      <c r="DR67" s="20">
        <f t="shared" si="16"/>
        <v>325.71840229311169</v>
      </c>
      <c r="DS67" s="59">
        <f t="shared" si="17"/>
        <v>619.05173562644495</v>
      </c>
      <c r="DT67" s="59">
        <f ca="1">AVERAGE(OFFSET($DS$3,0,0,'Données projet'!$E$14+1,1))-AVERAGE(OFFSET($H$3,0,0,'Données projet'!$E$14+1,1))</f>
        <v>207.25176714718668</v>
      </c>
      <c r="DU67" s="59">
        <f t="shared" si="44"/>
        <v>191.53228014642559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48.289654905958024</v>
      </c>
      <c r="EB67" s="21">
        <f>EXP(-LN(2)/25)*EB66+(1-EXP(-LN(2)/25))/(LN(2)/25)*Calculateur!DW67*Calculateur!DY67*VLOOKUP('Données projet'!$B$14,Paramètres!$A$1:$I$89,3,0)*0.475*44/12</f>
        <v>29.457726101691609</v>
      </c>
      <c r="EC67" s="21">
        <f>EXP(-LN(2)/2)*EC66+(1-EXP(-LN(2)/2))/(LN(2)/2)*DW67*DZ67*VLOOKUP('Données projet'!$B$14,Paramètres!$A$1:$I$89,3,0)*0.475*44/12</f>
        <v>3.8927294047160066</v>
      </c>
      <c r="ED67" s="22">
        <f t="shared" si="18"/>
        <v>81.640110412365644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-2.8421709430404007E-13</v>
      </c>
      <c r="EK67" s="17">
        <f>EJ67*VLOOKUP('Données projet'!$B$15,Paramètres!$A$1:$I$89,3,0)*VLOOKUP('Données projet'!$B$15,Paramètres!$A$1:$I$89,5,0)</f>
        <v>-1.69961822393816E-13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200.15574321350221</v>
      </c>
      <c r="EP67" s="59">
        <f t="shared" si="46"/>
        <v>200.70728852570426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119.84234430786744</v>
      </c>
      <c r="EW67" s="21">
        <f>EXP(-LN(2)/25)*EW66+(1-EXP(-LN(2)/25))/(LN(2)/25)*Calculateur!ER67*Calculateur!ET67*VLOOKUP('Données projet'!$B$15,Paramètres!$A$1:$I$89,3,0)*0.475*44/12</f>
        <v>32.344579815565496</v>
      </c>
      <c r="EX67" s="21">
        <f>EXP(-LN(2)/2)*EX66+(1-EXP(-LN(2)/2))/(LN(2)/2)*ER67*EU67*VLOOKUP('Données projet'!$B$15,Paramètres!$A$1:$I$89,3,0)*0.475*44/12</f>
        <v>7.9907121224945454</v>
      </c>
      <c r="EY67" s="22">
        <f t="shared" si="21"/>
        <v>160.17763624592749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8.1001602564102626</v>
      </c>
      <c r="FE67" s="12">
        <f>IF('Données projet'!$A$218&gt;35,FE66+FD67-FM66,IF(A67&lt;'Données projet'!$A$218,$FB$205^A67,IF(A67='Données projet'!$A$218,'Données projet'!$B$218,FE66+FD67-FM66)))</f>
        <v>186.66426282051296</v>
      </c>
      <c r="FF67" s="17">
        <f>FE67*VLOOKUP('Données projet'!$B$16,Paramètres!$A$1:$I$89,3,0)*VLOOKUP('Données projet'!$B$16,Paramètres!$A$1:$I$89,5,0)</f>
        <v>200.92541250000014</v>
      </c>
      <c r="FG67" s="13">
        <f t="shared" si="47"/>
        <v>49.947490708913911</v>
      </c>
      <c r="FH67" s="20">
        <f t="shared" si="22"/>
        <v>436.93697308885857</v>
      </c>
      <c r="FI67" s="59">
        <f t="shared" si="23"/>
        <v>730.27030642219188</v>
      </c>
      <c r="FJ67" s="59">
        <f ca="1">AVERAGE(OFFSET($FI$3,0,0,'Données projet'!$E$16+1,1))-AVERAGE(OFFSET($H$3,0,0,'Données projet'!$E$16+1,1))</f>
        <v>347.17049316703486</v>
      </c>
      <c r="FK67" s="59">
        <f t="shared" si="48"/>
        <v>255.45365487683489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14.651298319518679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14.651298319518679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7">
        <f t="shared" ref="H68:H131" si="56">(B68+E68+F68)*44/12+(C68+D68)*0.475*44/12</f>
        <v>362.72211306840711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266.02599413192075</v>
      </c>
      <c r="T68" s="59">
        <f t="shared" si="34"/>
        <v>332.94146254783254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8.1001602564102626</v>
      </c>
      <c r="AI68" s="13">
        <f>IF('Données projet'!$A$62&gt;35,AI67+AH68-AQ67,IF(A68&lt;'Données projet'!$A$62,$AF$205^A68,IF(A68='Données projet'!$A$62,'Données projet'!$B$62,AI67+AH68-AQ67)))</f>
        <v>194.76442307692321</v>
      </c>
      <c r="AJ68" s="13">
        <f>AI68*VLOOKUP('Données projet'!$B$10,Paramètres!$A$1:$I$89,3,0)*VLOOKUP('Données projet'!$B$10,Paramètres!$A$1:$I$89,5,0)</f>
        <v>176.22285000000011</v>
      </c>
      <c r="AK68" s="13">
        <f t="shared" si="35"/>
        <v>44.480805480154558</v>
      </c>
      <c r="AL68" s="20">
        <f t="shared" ref="AL68:AL131" si="58">(AJ68+AK68)*0.475*44/12</f>
        <v>384.3921999612694</v>
      </c>
      <c r="AM68" s="59">
        <f t="shared" ref="AM68:AM131" si="59">AL68+(AD68+AE68)*44/12</f>
        <v>677.72553329460266</v>
      </c>
      <c r="AN68" s="59">
        <f ca="1">AVERAGE(OFFSET($AM$3,0,0,'Données projet'!$E$10+1,1))-AVERAGE(OFFSET($H$3,0,0,'Données projet'!$E$10+1,1))</f>
        <v>282.13645166362238</v>
      </c>
      <c r="AO68" s="59">
        <f t="shared" si="36"/>
        <v>210.5345332979457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12.07408300233601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12.07408300233601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13.296703296703283</v>
      </c>
      <c r="BD68" s="12">
        <f>IF('Données projet'!$A$88&gt;35,BD67+BC68-BL67,IF(A68&lt;'Données projet'!$A$88,$BA$205^A68,IF(A68='Données projet'!$A$88,'Données projet'!$B$88,BD67+BC68-BL67)))</f>
        <v>402.58571428571423</v>
      </c>
      <c r="BE68" s="13">
        <f>BD68*VLOOKUP('Données projet'!$B$11,Paramètres!$A$1:$I$89,3,0)*VLOOKUP('Données projet'!$B$11,Paramètres!$A$1:$I$89,5,0)</f>
        <v>225.04541428571423</v>
      </c>
      <c r="BF68" s="13">
        <f t="shared" si="37"/>
        <v>55.210030257376133</v>
      </c>
      <c r="BG68" s="20">
        <f t="shared" ref="BG68:BG131" si="61">(BE68+BF68)*0.475*44/12</f>
        <v>488.11156591254894</v>
      </c>
      <c r="BH68" s="59">
        <f t="shared" ref="BH68:BH131" si="62">BG68+(AY68+AZ68)*44/12</f>
        <v>781.4448992458822</v>
      </c>
      <c r="BI68" s="59">
        <f ca="1">AVERAGE(OFFSET($BH$3,0,0,'Données projet'!$E$11+1,1))-AVERAGE(OFFSET($H$3,0,0,'Données projet'!$E$11+1,1))</f>
        <v>254.6443970237226</v>
      </c>
      <c r="BJ68" s="59">
        <f t="shared" si="38"/>
        <v>231.81667808018062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84.527939603889678</v>
      </c>
      <c r="BQ68" s="21">
        <f>EXP(-LN(2)/25)*BQ67+(1-EXP(-LN(2)/25))/(LN(2)/25)*Calculateur!BL68*Calculateur!BN68*VLOOKUP('Données projet'!$B$11,Paramètres!$A$1:$I$89,3,0)*0.475*44/12</f>
        <v>26.898182089610657</v>
      </c>
      <c r="BR68" s="21">
        <f>EXP(-LN(2)/2)*BR67+(1-EXP(-LN(2)/2))/(LN(2)/2)*BL68*BO68*VLOOKUP('Données projet'!$B$11,Paramètres!$A$1:$I$89,3,0)*0.475*44/12</f>
        <v>3.6424365029464809</v>
      </c>
      <c r="BS68" s="22">
        <f t="shared" ref="BS68:BS131" si="63">SUM(BP68:BR68)</f>
        <v>115.06855819644682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5.9431089743589762</v>
      </c>
      <c r="BY68" s="12">
        <f>IF('Données projet'!$A$114&gt;35,BY67+BX68-CG67,IF(A68&lt;'Données projet'!$A$114,$BV$205^A68,IF(A68='Données projet'!$A$114,'Données projet'!$B$114,BY67+BX68-CG67)))</f>
        <v>155.97275641025641</v>
      </c>
      <c r="BZ68" s="13">
        <f>BY68*VLOOKUP('Données projet'!$B$12,Paramètres!$A$1:$I$89,3,0)*VLOOKUP('Données projet'!$B$12,Paramètres!$A$1:$I$89,5,0)</f>
        <v>158.15637500000003</v>
      </c>
      <c r="CA68" s="13">
        <f t="shared" si="39"/>
        <v>40.426400572135641</v>
      </c>
      <c r="CB68" s="20">
        <f t="shared" ref="CB68:CB131" si="64">(BZ68+CA68)*0.475*44/12</f>
        <v>345.86500078813629</v>
      </c>
      <c r="CC68" s="59">
        <f t="shared" ref="CC68:CC131" si="65">CB68+(BT68+BU68)*44/12</f>
        <v>639.19833412146954</v>
      </c>
      <c r="CD68" s="59">
        <f ca="1">AVERAGE(OFFSET($CC$3,0,0,'Données projet'!$E$12+1,1))-AVERAGE(OFFSET($H$3,0,0,'Données projet'!$E$12+1,1))</f>
        <v>264.08050363622294</v>
      </c>
      <c r="CE68" s="59">
        <f t="shared" si="40"/>
        <v>164.48884512322883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13.296703296703283</v>
      </c>
      <c r="CT68" s="12">
        <f>IF('Données projet'!$A$140&gt;35,CT67+CS68-DB67,IF(A68&lt;'Données projet'!$A$140,$CQ$205^A68,IF(A68='Données projet'!$A$140,'Données projet'!$B$140,CT67+CS68-DB67)))</f>
        <v>402.58571428571423</v>
      </c>
      <c r="CU68" s="17">
        <f>CT68*VLOOKUP('Données projet'!$B$13,Paramètres!$A$1:$I$89,3,0)*VLOOKUP('Données projet'!$B$13,Paramètres!$A$1:$I$89,5,0)</f>
        <v>177.94288571428572</v>
      </c>
      <c r="CV68" s="13">
        <f t="shared" si="41"/>
        <v>44.864210423836944</v>
      </c>
      <c r="CW68" s="20">
        <f t="shared" ref="CW68:CW131" si="67">(CU68+CV68)*0.475*44/12</f>
        <v>388.05569244056363</v>
      </c>
      <c r="CX68" s="59">
        <f t="shared" ref="CX68:CX131" si="68">CW68+(CO68+CP68)*44/12</f>
        <v>681.38902577389695</v>
      </c>
      <c r="CY68" s="59">
        <f ca="1">AVERAGE(OFFSET($CX$3,0,0,'Données projet'!$E$13+1,1))-AVERAGE(OFFSET($H$3,0,0,'Données projet'!$E$13+1,1))</f>
        <v>194.7221767407824</v>
      </c>
      <c r="CZ68" s="59">
        <f t="shared" si="42"/>
        <v>177.6550559568646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66.836045268191867</v>
      </c>
      <c r="DG68" s="21">
        <f>EXP(-LN(2)/25)*DG67+(1-EXP(-LN(2)/25))/(LN(2)/25)*Calculateur!DB68*Calculateur!DD68*VLOOKUP('Données projet'!$B$13,Paramètres!$A$1:$I$89,3,0)*0.475*44/12</f>
        <v>21.26833002434331</v>
      </c>
      <c r="DH68" s="21">
        <f>EXP(-LN(2)/2)*DH67+(1-EXP(-LN(2)/2))/(LN(2)/2)*DB68*DE68*VLOOKUP('Données projet'!$B$13,Paramètres!$A$1:$I$89,3,0)*0.475*44/12</f>
        <v>2.8800660720972178</v>
      </c>
      <c r="DI68" s="22">
        <f t="shared" ref="DI68:DI131" si="69">SUM(DF68:DH68)</f>
        <v>90.984441364632403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13.737499999999997</v>
      </c>
      <c r="DO68" s="12">
        <f>IF('Données projet'!$A$166&gt;35,DO67+DN68-DW67,IF(A68&lt;'Données projet'!$A$166,$DL$205^A68,IF(A68='Données projet'!$A$166,'Données projet'!$B$166,DO67+DN68-DW67)))</f>
        <v>331.52884615384613</v>
      </c>
      <c r="DP68" s="17">
        <f>DO68*VLOOKUP('Données projet'!$B$14,Paramètres!$A$1:$I$89,3,0)*VLOOKUP('Données projet'!$B$14,Paramètres!$A$1:$I$89,5,0)</f>
        <v>155.15549999999999</v>
      </c>
      <c r="DQ68" s="13">
        <f t="shared" si="43"/>
        <v>39.74787733410745</v>
      </c>
      <c r="DR68" s="20">
        <f t="shared" ref="DR68:DR131" si="70">(DP68+DQ68)*0.475*44/12</f>
        <v>339.45671552357044</v>
      </c>
      <c r="DS68" s="59">
        <f t="shared" ref="DS68:DS131" si="71">DR68+(DJ68+DK68)*44/12</f>
        <v>632.7900488569037</v>
      </c>
      <c r="DT68" s="59">
        <f ca="1">AVERAGE(OFFSET($DS$3,0,0,'Données projet'!$E$14+1,1))-AVERAGE(OFFSET($H$3,0,0,'Données projet'!$E$14+1,1))</f>
        <v>207.25176714718668</v>
      </c>
      <c r="DU68" s="59">
        <f t="shared" si="44"/>
        <v>191.53228014642559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47.342724227033358</v>
      </c>
      <c r="EB68" s="21">
        <f>EXP(-LN(2)/25)*EB67+(1-EXP(-LN(2)/25))/(LN(2)/25)*Calculateur!DW68*Calculateur!DY68*VLOOKUP('Données projet'!$B$14,Paramètres!$A$1:$I$89,3,0)*0.475*44/12</f>
        <v>28.652203032326362</v>
      </c>
      <c r="EC68" s="21">
        <f>EXP(-LN(2)/2)*EC67+(1-EXP(-LN(2)/2))/(LN(2)/2)*DW68*DZ68*VLOOKUP('Données projet'!$B$14,Paramètres!$A$1:$I$89,3,0)*0.475*44/12</f>
        <v>2.752575359398961</v>
      </c>
      <c r="ED68" s="22">
        <f t="shared" ref="ED68:ED131" si="72">SUM(EA68:EC68)</f>
        <v>78.747502618758674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-2.8421709430404007E-13</v>
      </c>
      <c r="EK68" s="17">
        <f>EJ68*VLOOKUP('Données projet'!$B$15,Paramètres!$A$1:$I$89,3,0)*VLOOKUP('Données projet'!$B$15,Paramètres!$A$1:$I$89,5,0)</f>
        <v>-1.69961822393816E-13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200.15574321350221</v>
      </c>
      <c r="EP68" s="59">
        <f t="shared" si="46"/>
        <v>200.70728852570426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117.49230903260249</v>
      </c>
      <c r="EW68" s="21">
        <f>EXP(-LN(2)/25)*EW67+(1-EXP(-LN(2)/25))/(LN(2)/25)*Calculateur!ER68*Calculateur!ET68*VLOOKUP('Données projet'!$B$15,Paramètres!$A$1:$I$89,3,0)*0.475*44/12</f>
        <v>31.460115579581331</v>
      </c>
      <c r="EX68" s="21">
        <f>EXP(-LN(2)/2)*EX67+(1-EXP(-LN(2)/2))/(LN(2)/2)*ER68*EU68*VLOOKUP('Données projet'!$B$15,Paramètres!$A$1:$I$89,3,0)*0.475*44/12</f>
        <v>5.6502867283254439</v>
      </c>
      <c r="EY68" s="22">
        <f t="shared" ref="EY68:EY131" si="75">SUM(EV68:EX68)</f>
        <v>154.60271134050927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8.1001602564102626</v>
      </c>
      <c r="FE68" s="12">
        <f>IF('Données projet'!$A$218&gt;35,FE67+FD68-FM67,IF(A68&lt;'Données projet'!$A$218,$FB$205^A68,IF(A68='Données projet'!$A$218,'Données projet'!$B$218,FE67+FD68-FM67)))</f>
        <v>194.76442307692321</v>
      </c>
      <c r="FF68" s="17">
        <f>FE68*VLOOKUP('Données projet'!$B$16,Paramètres!$A$1:$I$89,3,0)*VLOOKUP('Données projet'!$B$16,Paramètres!$A$1:$I$89,5,0)</f>
        <v>209.64442500000015</v>
      </c>
      <c r="FG68" s="13">
        <f t="shared" si="47"/>
        <v>51.857875952677823</v>
      </c>
      <c r="FH68" s="20">
        <f t="shared" ref="FH68:FH131" si="76">(FF68+FG68)*0.475*44/12</f>
        <v>455.44984082591412</v>
      </c>
      <c r="FI68" s="59">
        <f t="shared" ref="FI68:FI131" si="77">FH68+(EZ68+FA68)*44/12</f>
        <v>748.78317415924744</v>
      </c>
      <c r="FJ68" s="59">
        <f ca="1">AVERAGE(OFFSET($FI$3,0,0,'Données projet'!$E$16+1,1))-AVERAGE(OFFSET($H$3,0,0,'Données projet'!$E$16+1,1))</f>
        <v>347.17049316703486</v>
      </c>
      <c r="FK68" s="59">
        <f t="shared" si="48"/>
        <v>255.45365487683489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14.363995295882495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14.363995295882495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7">
        <f t="shared" si="56"/>
        <v>363.76005253421954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266.02599413192075</v>
      </c>
      <c r="T69" s="59">
        <f t="shared" ref="T69:T132" si="88">$T$3</f>
        <v>332.94146254783254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8.1001602564102626</v>
      </c>
      <c r="AI69" s="13">
        <f>IF('Données projet'!$A$62&gt;35,AI68+AH69-AQ68,IF(A69&lt;'Données projet'!$A$62,$AF$205^A69,IF(A69='Données projet'!$A$62,'Données projet'!$B$62,AI68+AH69-AQ68)))</f>
        <v>202.86458333333348</v>
      </c>
      <c r="AJ69" s="13">
        <f>AI69*VLOOKUP('Données projet'!$B$10,Paramètres!$A$1:$I$89,3,0)*VLOOKUP('Données projet'!$B$10,Paramètres!$A$1:$I$89,5,0)</f>
        <v>183.55187500000014</v>
      </c>
      <c r="AK69" s="13">
        <f t="shared" ref="AK69:AK132" si="89">EXP(-1.0587+0.8836*LN(AJ69)+0.284)</f>
        <v>46.11151198237242</v>
      </c>
      <c r="AL69" s="20">
        <f t="shared" si="58"/>
        <v>399.99706566096552</v>
      </c>
      <c r="AM69" s="59">
        <f t="shared" si="59"/>
        <v>693.33039899429878</v>
      </c>
      <c r="AN69" s="59">
        <f ca="1">AVERAGE(OFFSET($AM$3,0,0,'Données projet'!$E$10+1,1))-AVERAGE(OFFSET($H$3,0,0,'Données projet'!$E$10+1,1))</f>
        <v>282.13645166362238</v>
      </c>
      <c r="AO69" s="59">
        <f t="shared" ref="AO69:AO132" si="90">$AO$3</f>
        <v>210.5345332979457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11.837317599123653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11.837317599123653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13.296703296703283</v>
      </c>
      <c r="BD69" s="12">
        <f>IF('Données projet'!$A$88&gt;35,BD68+BC69-BL68,IF(A69&lt;'Données projet'!$A$88,$BA$205^A69,IF(A69='Données projet'!$A$88,'Données projet'!$B$88,BD68+BC69-BL68)))</f>
        <v>415.88241758241753</v>
      </c>
      <c r="BE69" s="13">
        <f>BD69*VLOOKUP('Données projet'!$B$11,Paramètres!$A$1:$I$89,3,0)*VLOOKUP('Données projet'!$B$11,Paramètres!$A$1:$I$89,5,0)</f>
        <v>232.47827142857142</v>
      </c>
      <c r="BF69" s="13">
        <f t="shared" ref="BF69:BF132" si="91">EXP(-1.0587+0.8836*LN(BE69)+0.284)</f>
        <v>56.818207052289068</v>
      </c>
      <c r="BG69" s="20">
        <f t="shared" si="61"/>
        <v>503.85803335416534</v>
      </c>
      <c r="BH69" s="59">
        <f t="shared" si="62"/>
        <v>797.19136668749866</v>
      </c>
      <c r="BI69" s="59">
        <f ca="1">AVERAGE(OFFSET($BH$3,0,0,'Données projet'!$E$11+1,1))-AVERAGE(OFFSET($H$3,0,0,'Données projet'!$E$11+1,1))</f>
        <v>254.6443970237226</v>
      </c>
      <c r="BJ69" s="59">
        <f t="shared" ref="BJ69:BJ132" si="92">$BJ$3</f>
        <v>231.81667808018062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82.87039826520973</v>
      </c>
      <c r="BQ69" s="21">
        <f>EXP(-LN(2)/25)*BQ68+(1-EXP(-LN(2)/25))/(LN(2)/25)*Calculateur!BL69*Calculateur!BN69*VLOOKUP('Données projet'!$B$11,Paramètres!$A$1:$I$89,3,0)*0.475*44/12</f>
        <v>26.162649885856332</v>
      </c>
      <c r="BR69" s="21">
        <f>EXP(-LN(2)/2)*BR68+(1-EXP(-LN(2)/2))/(LN(2)/2)*BL69*BO69*VLOOKUP('Données projet'!$B$11,Paramètres!$A$1:$I$89,3,0)*0.475*44/12</f>
        <v>2.5755915512748708</v>
      </c>
      <c r="BS69" s="22">
        <f t="shared" si="63"/>
        <v>111.60863970234092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5.9431089743589762</v>
      </c>
      <c r="BY69" s="12">
        <f>IF('Données projet'!$A$114&gt;35,BY68+BX69-CG68,IF(A69&lt;'Données projet'!$A$114,$BV$205^A69,IF(A69='Données projet'!$A$114,'Données projet'!$B$114,BY68+BX69-CG68)))</f>
        <v>161.91586538461539</v>
      </c>
      <c r="BZ69" s="13">
        <f>BY69*VLOOKUP('Données projet'!$B$12,Paramètres!$A$1:$I$89,3,0)*VLOOKUP('Données projet'!$B$12,Paramètres!$A$1:$I$89,5,0)</f>
        <v>164.18268750000001</v>
      </c>
      <c r="CA69" s="13">
        <f t="shared" ref="CA69:CA132" si="93">EXP(-1.0587+0.8836*LN(BZ69)+0.284)</f>
        <v>41.784510657121224</v>
      </c>
      <c r="CB69" s="20">
        <f t="shared" si="64"/>
        <v>358.72620345698607</v>
      </c>
      <c r="CC69" s="59">
        <f t="shared" si="65"/>
        <v>652.05953679031938</v>
      </c>
      <c r="CD69" s="59">
        <f ca="1">AVERAGE(OFFSET($CC$3,0,0,'Données projet'!$E$12+1,1))-AVERAGE(OFFSET($H$3,0,0,'Données projet'!$E$12+1,1))</f>
        <v>264.08050363622294</v>
      </c>
      <c r="CE69" s="59">
        <f t="shared" ref="CE69:CE132" si="94">$CE$3</f>
        <v>164.48884512322883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13.296703296703283</v>
      </c>
      <c r="CT69" s="12">
        <f>IF('Données projet'!$A$140&gt;35,CT68+CS69-DB68,IF(A69&lt;'Données projet'!$A$140,$CQ$205^A69,IF(A69='Données projet'!$A$140,'Données projet'!$B$140,CT68+CS69-DB68)))</f>
        <v>415.88241758241753</v>
      </c>
      <c r="CU69" s="17">
        <f>CT69*VLOOKUP('Données projet'!$B$13,Paramètres!$A$1:$I$89,3,0)*VLOOKUP('Données projet'!$B$13,Paramètres!$A$1:$I$89,5,0)</f>
        <v>183.82002857142859</v>
      </c>
      <c r="CV69" s="13">
        <f t="shared" ref="CV69:CV132" si="95">EXP(-1.0587+0.8836*LN(CU69)+0.284)</f>
        <v>46.171030611932501</v>
      </c>
      <c r="CW69" s="20">
        <f t="shared" si="67"/>
        <v>400.56776141102063</v>
      </c>
      <c r="CX69" s="59">
        <f t="shared" si="68"/>
        <v>693.90109474435394</v>
      </c>
      <c r="CY69" s="59">
        <f ca="1">AVERAGE(OFFSET($CX$3,0,0,'Données projet'!$E$13+1,1))-AVERAGE(OFFSET($H$3,0,0,'Données projet'!$E$13+1,1))</f>
        <v>194.7221767407824</v>
      </c>
      <c r="CZ69" s="59">
        <f t="shared" ref="CZ69:CZ132" si="96">$CZ$3</f>
        <v>177.6550559568646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65.525431186444933</v>
      </c>
      <c r="DG69" s="21">
        <f>EXP(-LN(2)/25)*DG68+(1-EXP(-LN(2)/25))/(LN(2)/25)*Calculateur!DB69*Calculateur!DD69*VLOOKUP('Données projet'!$B$13,Paramètres!$A$1:$I$89,3,0)*0.475*44/12</f>
        <v>20.686746421374774</v>
      </c>
      <c r="DH69" s="21">
        <f>EXP(-LN(2)/2)*DH68+(1-EXP(-LN(2)/2))/(LN(2)/2)*DB69*DE69*VLOOKUP('Données projet'!$B$13,Paramètres!$A$1:$I$89,3,0)*0.475*44/12</f>
        <v>2.0365142498452471</v>
      </c>
      <c r="DI69" s="22">
        <f t="shared" si="69"/>
        <v>88.248691857664966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13.737499999999997</v>
      </c>
      <c r="DO69" s="12">
        <f>IF('Données projet'!$A$166&gt;35,DO68+DN69-DW68,IF(A69&lt;'Données projet'!$A$166,$DL$205^A69,IF(A69='Données projet'!$A$166,'Données projet'!$B$166,DO68+DN69-DW68)))</f>
        <v>345.26634615384614</v>
      </c>
      <c r="DP69" s="17">
        <f>DO69*VLOOKUP('Données projet'!$B$14,Paramètres!$A$1:$I$89,3,0)*VLOOKUP('Données projet'!$B$14,Paramètres!$A$1:$I$89,5,0)</f>
        <v>161.58464999999998</v>
      </c>
      <c r="DQ69" s="13">
        <f t="shared" ref="DQ69:DQ132" si="97">EXP(-1.0587+0.8836*LN(DP69)+0.284)</f>
        <v>41.199732368807574</v>
      </c>
      <c r="DR69" s="20">
        <f t="shared" si="70"/>
        <v>353.18279929233978</v>
      </c>
      <c r="DS69" s="59">
        <f t="shared" si="71"/>
        <v>646.51613262567309</v>
      </c>
      <c r="DT69" s="59">
        <f ca="1">AVERAGE(OFFSET($DS$3,0,0,'Données projet'!$E$14+1,1))-AVERAGE(OFFSET($H$3,0,0,'Données projet'!$E$14+1,1))</f>
        <v>207.25176714718668</v>
      </c>
      <c r="DU69" s="59">
        <f t="shared" ref="DU69:DU132" si="98">$DU$3</f>
        <v>191.53228014642559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46.414362281151725</v>
      </c>
      <c r="EB69" s="21">
        <f>EXP(-LN(2)/25)*EB68+(1-EXP(-LN(2)/25))/(LN(2)/25)*Calculateur!DW69*Calculateur!DY69*VLOOKUP('Données projet'!$B$14,Paramètres!$A$1:$I$89,3,0)*0.475*44/12</f>
        <v>27.868707033653525</v>
      </c>
      <c r="EC69" s="21">
        <f>EXP(-LN(2)/2)*EC68+(1-EXP(-LN(2)/2))/(LN(2)/2)*DW69*DZ69*VLOOKUP('Données projet'!$B$14,Paramètres!$A$1:$I$89,3,0)*0.475*44/12</f>
        <v>1.9463647023580037</v>
      </c>
      <c r="ED69" s="22">
        <f t="shared" si="72"/>
        <v>76.229434017163243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-2.8421709430404007E-13</v>
      </c>
      <c r="EK69" s="17">
        <f>EJ69*VLOOKUP('Données projet'!$B$15,Paramètres!$A$1:$I$89,3,0)*VLOOKUP('Données projet'!$B$15,Paramètres!$A$1:$I$89,5,0)</f>
        <v>-1.69961822393816E-13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200.15574321350221</v>
      </c>
      <c r="EP69" s="59">
        <f t="shared" ref="EP69:EP132" si="100">$EP$3</f>
        <v>200.70728852570426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115.18835651570551</v>
      </c>
      <c r="EW69" s="21">
        <f>EXP(-LN(2)/25)*EW68+(1-EXP(-LN(2)/25))/(LN(2)/25)*Calculateur!ER69*Calculateur!ET69*VLOOKUP('Données projet'!$B$15,Paramètres!$A$1:$I$89,3,0)*0.475*44/12</f>
        <v>30.599837064642102</v>
      </c>
      <c r="EX69" s="21">
        <f>EXP(-LN(2)/2)*EX68+(1-EXP(-LN(2)/2))/(LN(2)/2)*ER69*EU69*VLOOKUP('Données projet'!$B$15,Paramètres!$A$1:$I$89,3,0)*0.475*44/12</f>
        <v>3.9953560612472736</v>
      </c>
      <c r="EY69" s="22">
        <f t="shared" si="75"/>
        <v>149.78354964159487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8.1001602564102626</v>
      </c>
      <c r="FE69" s="12">
        <f>IF('Données projet'!$A$218&gt;35,FE68+FD69-FM68,IF(A69&lt;'Données projet'!$A$218,$FB$205^A69,IF(A69='Données projet'!$A$218,'Données projet'!$B$218,FE68+FD69-FM68)))</f>
        <v>202.86458333333348</v>
      </c>
      <c r="FF69" s="17">
        <f>FE69*VLOOKUP('Données projet'!$B$16,Paramètres!$A$1:$I$89,3,0)*VLOOKUP('Données projet'!$B$16,Paramètres!$A$1:$I$89,5,0)</f>
        <v>218.36343750000015</v>
      </c>
      <c r="FG69" s="13">
        <f t="shared" ref="FG69:FG132" si="101">EXP(-1.0587+0.8836*LN(FF69)+0.284)</f>
        <v>53.759032521098476</v>
      </c>
      <c r="FH69" s="20">
        <f t="shared" si="76"/>
        <v>473.9466352867467</v>
      </c>
      <c r="FI69" s="59">
        <f t="shared" si="77"/>
        <v>767.27996862008001</v>
      </c>
      <c r="FJ69" s="59">
        <f ca="1">AVERAGE(OFFSET($FI$3,0,0,'Données projet'!$E$16+1,1))-AVERAGE(OFFSET($H$3,0,0,'Données projet'!$E$16+1,1))</f>
        <v>347.17049316703486</v>
      </c>
      <c r="FK69" s="59">
        <f t="shared" ref="FK69:FK132" si="102">$FK$3</f>
        <v>255.45365487683489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14.082326109302276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14.082326109302276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7">
        <f t="shared" si="56"/>
        <v>364.79759932271895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266.02599413192075</v>
      </c>
      <c r="T70" s="59">
        <f t="shared" si="88"/>
        <v>332.94146254783254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8.1001602564102626</v>
      </c>
      <c r="AI70" s="13">
        <f>IF('Données projet'!$A$62&gt;35,AI69+AH70-AQ69,IF(A70&lt;'Données projet'!$A$62,$AF$205^A70,IF(A70='Données projet'!$A$62,'Données projet'!$B$62,AI69+AH70-AQ69)))</f>
        <v>210.96474358974376</v>
      </c>
      <c r="AJ70" s="13">
        <f>AI70*VLOOKUP('Données projet'!$B$10,Paramètres!$A$1:$I$89,3,0)*VLOOKUP('Données projet'!$B$10,Paramètres!$A$1:$I$89,5,0)</f>
        <v>190.88090000000014</v>
      </c>
      <c r="AK70" s="13">
        <f t="shared" si="89"/>
        <v>47.734654873168694</v>
      </c>
      <c r="AL70" s="20">
        <f t="shared" si="58"/>
        <v>415.58875807076902</v>
      </c>
      <c r="AM70" s="59">
        <f t="shared" si="59"/>
        <v>708.92209140410228</v>
      </c>
      <c r="AN70" s="59">
        <f ca="1">AVERAGE(OFFSET($AM$3,0,0,'Données projet'!$E$10+1,1))-AVERAGE(OFFSET($H$3,0,0,'Données projet'!$E$10+1,1))</f>
        <v>282.13645166362238</v>
      </c>
      <c r="AO70" s="59">
        <f t="shared" si="90"/>
        <v>210.5345332979457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11.605195021055652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11.605195021055652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13.296703296703283</v>
      </c>
      <c r="BD70" s="12">
        <f>IF('Données projet'!$A$88&gt;35,BD69+BC70-BL69,IF(A70&lt;'Données projet'!$A$88,$BA$205^A70,IF(A70='Données projet'!$A$88,'Données projet'!$B$88,BD69+BC70-BL69)))</f>
        <v>429.17912087912083</v>
      </c>
      <c r="BE70" s="13">
        <f>BD70*VLOOKUP('Données projet'!$B$11,Paramètres!$A$1:$I$89,3,0)*VLOOKUP('Données projet'!$B$11,Paramètres!$A$1:$I$89,5,0)</f>
        <v>239.91112857142855</v>
      </c>
      <c r="BF70" s="13">
        <f t="shared" si="91"/>
        <v>58.420408949287598</v>
      </c>
      <c r="BG70" s="20">
        <f t="shared" si="61"/>
        <v>519.59409451524732</v>
      </c>
      <c r="BH70" s="59">
        <f t="shared" si="62"/>
        <v>812.92742784858069</v>
      </c>
      <c r="BI70" s="59">
        <f ca="1">AVERAGE(OFFSET($BH$3,0,0,'Données projet'!$E$11+1,1))-AVERAGE(OFFSET($H$3,0,0,'Données projet'!$E$11+1,1))</f>
        <v>254.6443970237226</v>
      </c>
      <c r="BJ70" s="59">
        <f t="shared" si="92"/>
        <v>231.81667808018062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81.245360301180909</v>
      </c>
      <c r="BQ70" s="21">
        <f>EXP(-LN(2)/25)*BQ69+(1-EXP(-LN(2)/25))/(LN(2)/25)*Calculateur!BL70*Calculateur!BN70*VLOOKUP('Données projet'!$B$11,Paramètres!$A$1:$I$89,3,0)*0.475*44/12</f>
        <v>25.447230848893629</v>
      </c>
      <c r="BR70" s="21">
        <f>EXP(-LN(2)/2)*BR69+(1-EXP(-LN(2)/2))/(LN(2)/2)*BL70*BO70*VLOOKUP('Données projet'!$B$11,Paramètres!$A$1:$I$89,3,0)*0.475*44/12</f>
        <v>1.8212182514732407</v>
      </c>
      <c r="BS70" s="22">
        <f t="shared" si="63"/>
        <v>108.51380940154777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167.85897435897436</v>
      </c>
      <c r="BW70" s="12">
        <f>VLOOKUP(A70,'Données projet'!$A$113:$I$133,9,0)</f>
        <v>5.9431089743589762</v>
      </c>
      <c r="BX70" s="12">
        <f t="array" ref="BX70">INDEX(BW:BW,MIN(IF(ISNUMBER(BW70:BW266),ROW(BW70:BW266),"")))</f>
        <v>5.9431089743589762</v>
      </c>
      <c r="BY70" s="12">
        <f>IF('Données projet'!$A$114&gt;35,BY69+BX70-CG69,IF(A70&lt;'Données projet'!$A$114,$BV$205^A70,IF(A70='Données projet'!$A$114,'Données projet'!$B$114,BY69+BX70-CG69)))</f>
        <v>167.85897435897436</v>
      </c>
      <c r="BZ70" s="13">
        <f>BY70*VLOOKUP('Données projet'!$B$12,Paramètres!$A$1:$I$89,3,0)*VLOOKUP('Données projet'!$B$12,Paramètres!$A$1:$I$89,5,0)</f>
        <v>170.209</v>
      </c>
      <c r="CA70" s="13">
        <f t="shared" si="93"/>
        <v>43.136829285053246</v>
      </c>
      <c r="CB70" s="20">
        <f t="shared" si="64"/>
        <v>371.57731933813437</v>
      </c>
      <c r="CC70" s="59">
        <f t="shared" si="65"/>
        <v>664.91065267146769</v>
      </c>
      <c r="CD70" s="59">
        <f ca="1">AVERAGE(OFFSET($CC$3,0,0,'Données projet'!$E$12+1,1))-AVERAGE(OFFSET($H$3,0,0,'Données projet'!$E$12+1,1))</f>
        <v>264.08050363622294</v>
      </c>
      <c r="CE70" s="59">
        <f t="shared" si="94"/>
        <v>164.48884512322883</v>
      </c>
      <c r="CF70" s="15">
        <f>IF(ISNA(VLOOKUP(A70,'Données projet'!$A$113:$I$133,3,0)),0,VLOOKUP(A70,'Données projet'!$A$113:$I$133,3,0))</f>
        <v>4</v>
      </c>
      <c r="CG70" s="15">
        <f>IF(ISNA(VLOOKUP(A70,'Données projet'!$A$113:$I$133,4,0)),0,VLOOKUP(A70,'Données projet'!$A$113:$I$133,4,0))</f>
        <v>31.993589743589741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13.296703296703283</v>
      </c>
      <c r="CT70" s="12">
        <f>IF('Données projet'!$A$140&gt;35,CT69+CS70-DB69,IF(A70&lt;'Données projet'!$A$140,$CQ$205^A70,IF(A70='Données projet'!$A$140,'Données projet'!$B$140,CT69+CS70-DB69)))</f>
        <v>429.17912087912083</v>
      </c>
      <c r="CU70" s="17">
        <f>CT70*VLOOKUP('Données projet'!$B$13,Paramètres!$A$1:$I$89,3,0)*VLOOKUP('Données projet'!$B$13,Paramètres!$A$1:$I$89,5,0)</f>
        <v>189.69717142857141</v>
      </c>
      <c r="CV70" s="13">
        <f t="shared" si="95"/>
        <v>47.472995539561055</v>
      </c>
      <c r="CW70" s="20">
        <f t="shared" si="67"/>
        <v>413.07137413616397</v>
      </c>
      <c r="CX70" s="59">
        <f t="shared" si="68"/>
        <v>706.40470746949723</v>
      </c>
      <c r="CY70" s="59">
        <f ca="1">AVERAGE(OFFSET($CX$3,0,0,'Données projet'!$E$13+1,1))-AVERAGE(OFFSET($H$3,0,0,'Données projet'!$E$13+1,1))</f>
        <v>194.7221767407824</v>
      </c>
      <c r="CZ70" s="59">
        <f t="shared" si="96"/>
        <v>177.6550559568646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64.240517447445399</v>
      </c>
      <c r="DG70" s="21">
        <f>EXP(-LN(2)/25)*DG69+(1-EXP(-LN(2)/25))/(LN(2)/25)*Calculateur!DB70*Calculateur!DD70*VLOOKUP('Données projet'!$B$13,Paramètres!$A$1:$I$89,3,0)*0.475*44/12</f>
        <v>20.121066252613566</v>
      </c>
      <c r="DH70" s="21">
        <f>EXP(-LN(2)/2)*DH69+(1-EXP(-LN(2)/2))/(LN(2)/2)*DB70*DE70*VLOOKUP('Données projet'!$B$13,Paramètres!$A$1:$I$89,3,0)*0.475*44/12</f>
        <v>1.4400330360486091</v>
      </c>
      <c r="DI70" s="22">
        <f t="shared" si="69"/>
        <v>85.801616736107562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13.737499999999997</v>
      </c>
      <c r="DO70" s="12">
        <f>IF('Données projet'!$A$166&gt;35,DO69+DN70-DW69,IF(A70&lt;'Données projet'!$A$166,$DL$205^A70,IF(A70='Données projet'!$A$166,'Données projet'!$B$166,DO69+DN70-DW69)))</f>
        <v>359.00384615384615</v>
      </c>
      <c r="DP70" s="17">
        <f>DO70*VLOOKUP('Données projet'!$B$14,Paramètres!$A$1:$I$89,3,0)*VLOOKUP('Données projet'!$B$14,Paramètres!$A$1:$I$89,5,0)</f>
        <v>168.0138</v>
      </c>
      <c r="DQ70" s="13">
        <f t="shared" si="97"/>
        <v>42.644877049412187</v>
      </c>
      <c r="DR70" s="20">
        <f t="shared" si="70"/>
        <v>366.89719586105952</v>
      </c>
      <c r="DS70" s="59">
        <f t="shared" si="71"/>
        <v>660.23052919439283</v>
      </c>
      <c r="DT70" s="59">
        <f ca="1">AVERAGE(OFFSET($DS$3,0,0,'Données projet'!$E$14+1,1))-AVERAGE(OFFSET($H$3,0,0,'Données projet'!$E$14+1,1))</f>
        <v>207.25176714718668</v>
      </c>
      <c r="DU70" s="59">
        <f t="shared" si="98"/>
        <v>191.53228014642559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45.50420494678395</v>
      </c>
      <c r="EB70" s="21">
        <f>EXP(-LN(2)/25)*EB69+(1-EXP(-LN(2)/25))/(LN(2)/25)*Calculateur!DW70*Calculateur!DY70*VLOOKUP('Données projet'!$B$14,Paramètres!$A$1:$I$89,3,0)*0.475*44/12</f>
        <v>27.10663577426666</v>
      </c>
      <c r="EC70" s="21">
        <f>EXP(-LN(2)/2)*EC69+(1-EXP(-LN(2)/2))/(LN(2)/2)*DW70*DZ70*VLOOKUP('Données projet'!$B$14,Paramètres!$A$1:$I$89,3,0)*0.475*44/12</f>
        <v>1.3762876796994807</v>
      </c>
      <c r="ED70" s="22">
        <f t="shared" si="72"/>
        <v>73.987128400750095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-2.8421709430404007E-13</v>
      </c>
      <c r="EK70" s="17">
        <f>EJ70*VLOOKUP('Données projet'!$B$15,Paramètres!$A$1:$I$89,3,0)*VLOOKUP('Données projet'!$B$15,Paramètres!$A$1:$I$89,5,0)</f>
        <v>-1.69961822393816E-13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200.15574321350221</v>
      </c>
      <c r="EP70" s="59">
        <f t="shared" si="100"/>
        <v>200.70728852570426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112.9295831023926</v>
      </c>
      <c r="EW70" s="21">
        <f>EXP(-LN(2)/25)*EW69+(1-EXP(-LN(2)/25))/(LN(2)/25)*Calculateur!ER70*Calculateur!ET70*VLOOKUP('Données projet'!$B$15,Paramètres!$A$1:$I$89,3,0)*0.475*44/12</f>
        <v>29.763082910933971</v>
      </c>
      <c r="EX70" s="21">
        <f>EXP(-LN(2)/2)*EX69+(1-EXP(-LN(2)/2))/(LN(2)/2)*ER70*EU70*VLOOKUP('Données projet'!$B$15,Paramètres!$A$1:$I$89,3,0)*0.475*44/12</f>
        <v>2.8251433641627224</v>
      </c>
      <c r="EY70" s="22">
        <f t="shared" si="75"/>
        <v>145.5178093774893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8.1001602564102626</v>
      </c>
      <c r="FE70" s="12">
        <f>IF('Données projet'!$A$218&gt;35,FE69+FD70-FM69,IF(A70&lt;'Données projet'!$A$218,$FB$205^A70,IF(A70='Données projet'!$A$218,'Données projet'!$B$218,FE69+FD70-FM69)))</f>
        <v>210.96474358974376</v>
      </c>
      <c r="FF70" s="17">
        <f>FE70*VLOOKUP('Données projet'!$B$16,Paramètres!$A$1:$I$89,3,0)*VLOOKUP('Données projet'!$B$16,Paramètres!$A$1:$I$89,5,0)</f>
        <v>227.08245000000019</v>
      </c>
      <c r="FG70" s="13">
        <f t="shared" si="101"/>
        <v>55.651371065236084</v>
      </c>
      <c r="FH70" s="20">
        <f t="shared" si="76"/>
        <v>492.42807168861987</v>
      </c>
      <c r="FI70" s="59">
        <f t="shared" si="77"/>
        <v>785.76140502195312</v>
      </c>
      <c r="FJ70" s="59">
        <f ca="1">AVERAGE(OFFSET($FI$3,0,0,'Données projet'!$E$16+1,1))-AVERAGE(OFFSET($H$3,0,0,'Données projet'!$E$16+1,1))</f>
        <v>347.17049316703486</v>
      </c>
      <c r="FK70" s="59">
        <f t="shared" si="102"/>
        <v>255.45365487683489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13.806180283669654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13.806180283669654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7">
        <f t="shared" si="56"/>
        <v>365.8347599717726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266.02599413192075</v>
      </c>
      <c r="T71" s="59">
        <f t="shared" si="88"/>
        <v>332.94146254783254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8.1001602564102626</v>
      </c>
      <c r="AI71" s="13">
        <f>IF('Données projet'!$A$62&gt;35,AI70+AH71-AQ70,IF(A71&lt;'Données projet'!$A$62,$AF$205^A71,IF(A71='Données projet'!$A$62,'Données projet'!$B$62,AI70+AH71-AQ70)))</f>
        <v>219.06490384615404</v>
      </c>
      <c r="AJ71" s="13">
        <f>AI71*VLOOKUP('Données projet'!$B$10,Paramètres!$A$1:$I$89,3,0)*VLOOKUP('Données projet'!$B$10,Paramètres!$A$1:$I$89,5,0)</f>
        <v>198.20992500000017</v>
      </c>
      <c r="AK71" s="13">
        <f t="shared" si="89"/>
        <v>49.350557805795496</v>
      </c>
      <c r="AL71" s="20">
        <f t="shared" si="58"/>
        <v>431.16784088676076</v>
      </c>
      <c r="AM71" s="59">
        <f t="shared" si="59"/>
        <v>724.50117422009407</v>
      </c>
      <c r="AN71" s="59">
        <f ca="1">AVERAGE(OFFSET($AM$3,0,0,'Données projet'!$E$10+1,1))-AVERAGE(OFFSET($H$3,0,0,'Données projet'!$E$10+1,1))</f>
        <v>282.13645166362238</v>
      </c>
      <c r="AO71" s="59">
        <f t="shared" si="90"/>
        <v>210.5345332979457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11.377624225162773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11.377624225162773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13.296703296703283</v>
      </c>
      <c r="BD71" s="12">
        <f>IF('Données projet'!$A$88&gt;35,BD70+BC71-BL70,IF(A71&lt;'Données projet'!$A$88,$BA$205^A71,IF(A71='Données projet'!$A$88,'Données projet'!$B$88,BD70+BC71-BL70)))</f>
        <v>442.47582417582413</v>
      </c>
      <c r="BE71" s="13">
        <f>BD71*VLOOKUP('Données projet'!$B$11,Paramètres!$A$1:$I$89,3,0)*VLOOKUP('Données projet'!$B$11,Paramètres!$A$1:$I$89,5,0)</f>
        <v>247.34398571428571</v>
      </c>
      <c r="BF71" s="13">
        <f t="shared" si="91"/>
        <v>60.016842302819605</v>
      </c>
      <c r="BG71" s="20">
        <f t="shared" si="61"/>
        <v>535.32010879645838</v>
      </c>
      <c r="BH71" s="59">
        <f t="shared" si="62"/>
        <v>828.65344212979176</v>
      </c>
      <c r="BI71" s="59">
        <f ca="1">AVERAGE(OFFSET($BH$3,0,0,'Données projet'!$E$11+1,1))-AVERAGE(OFFSET($H$3,0,0,'Données projet'!$E$11+1,1))</f>
        <v>254.6443970237226</v>
      </c>
      <c r="BJ71" s="59">
        <f t="shared" si="92"/>
        <v>231.81667808018062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79.652188340451403</v>
      </c>
      <c r="BQ71" s="21">
        <f>EXP(-LN(2)/25)*BQ70+(1-EXP(-LN(2)/25))/(LN(2)/25)*Calculateur!BL71*Calculateur!BN71*VLOOKUP('Données projet'!$B$11,Paramètres!$A$1:$I$89,3,0)*0.475*44/12</f>
        <v>24.751374983118922</v>
      </c>
      <c r="BR71" s="21">
        <f>EXP(-LN(2)/2)*BR70+(1-EXP(-LN(2)/2))/(LN(2)/2)*BL71*BO71*VLOOKUP('Données projet'!$B$11,Paramètres!$A$1:$I$89,3,0)*0.475*44/12</f>
        <v>1.2877957756374356</v>
      </c>
      <c r="BS71" s="22">
        <f t="shared" si="63"/>
        <v>105.69135909920776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5.6899038461538431</v>
      </c>
      <c r="BY71" s="12">
        <f>IF('Données projet'!$A$114&gt;35,BY70+BX71-CG70,IF(A71&lt;'Données projet'!$A$114,$BV$205^A71,IF(A71='Données projet'!$A$114,'Données projet'!$B$114,BY70+BX71-CG70)))</f>
        <v>141.55528846153845</v>
      </c>
      <c r="BZ71" s="13">
        <f>BY71*VLOOKUP('Données projet'!$B$12,Paramètres!$A$1:$I$89,3,0)*VLOOKUP('Données projet'!$B$12,Paramètres!$A$1:$I$89,5,0)</f>
        <v>143.53706249999999</v>
      </c>
      <c r="CA71" s="13">
        <f t="shared" si="93"/>
        <v>37.106116440776098</v>
      </c>
      <c r="CB71" s="20">
        <f t="shared" si="64"/>
        <v>314.62020332185165</v>
      </c>
      <c r="CC71" s="59">
        <f t="shared" si="65"/>
        <v>607.95353665518496</v>
      </c>
      <c r="CD71" s="59">
        <f ca="1">AVERAGE(OFFSET($CC$3,0,0,'Données projet'!$E$12+1,1))-AVERAGE(OFFSET($H$3,0,0,'Données projet'!$E$12+1,1))</f>
        <v>264.08050363622294</v>
      </c>
      <c r="CE71" s="59">
        <f t="shared" si="94"/>
        <v>164.48884512322883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13.296703296703283</v>
      </c>
      <c r="CT71" s="12">
        <f>IF('Données projet'!$A$140&gt;35,CT70+CS71-DB70,IF(A71&lt;'Données projet'!$A$140,$CQ$205^A71,IF(A71='Données projet'!$A$140,'Données projet'!$B$140,CT70+CS71-DB70)))</f>
        <v>442.47582417582413</v>
      </c>
      <c r="CU71" s="17">
        <f>CT71*VLOOKUP('Données projet'!$B$13,Paramètres!$A$1:$I$89,3,0)*VLOOKUP('Données projet'!$B$13,Paramètres!$A$1:$I$89,5,0)</f>
        <v>195.57431428571428</v>
      </c>
      <c r="CV71" s="13">
        <f t="shared" si="95"/>
        <v>48.770272892364588</v>
      </c>
      <c r="CW71" s="20">
        <f t="shared" si="67"/>
        <v>425.56682266848742</v>
      </c>
      <c r="CX71" s="59">
        <f t="shared" si="68"/>
        <v>718.90015600182073</v>
      </c>
      <c r="CY71" s="59">
        <f ca="1">AVERAGE(OFFSET($CX$3,0,0,'Données projet'!$E$13+1,1))-AVERAGE(OFFSET($H$3,0,0,'Données projet'!$E$13+1,1))</f>
        <v>194.7221767407824</v>
      </c>
      <c r="CZ71" s="59">
        <f t="shared" si="96"/>
        <v>177.6550559568646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62.980800083147649</v>
      </c>
      <c r="DG71" s="21">
        <f>EXP(-LN(2)/25)*DG70+(1-EXP(-LN(2)/25))/(LN(2)/25)*Calculateur!DB71*Calculateur!DD71*VLOOKUP('Données projet'!$B$13,Paramètres!$A$1:$I$89,3,0)*0.475*44/12</f>
        <v>19.570854637814961</v>
      </c>
      <c r="DH71" s="21">
        <f>EXP(-LN(2)/2)*DH70+(1-EXP(-LN(2)/2))/(LN(2)/2)*DB71*DE71*VLOOKUP('Données projet'!$B$13,Paramètres!$A$1:$I$89,3,0)*0.475*44/12</f>
        <v>1.0182571249226235</v>
      </c>
      <c r="DI71" s="22">
        <f t="shared" si="69"/>
        <v>83.56991184588523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13.737499999999997</v>
      </c>
      <c r="DO71" s="12">
        <f>IF('Données projet'!$A$166&gt;35,DO70+DN71-DW70,IF(A71&lt;'Données projet'!$A$166,$DL$205^A71,IF(A71='Données projet'!$A$166,'Données projet'!$B$166,DO70+DN71-DW70)))</f>
        <v>372.74134615384617</v>
      </c>
      <c r="DP71" s="17">
        <f>DO71*VLOOKUP('Données projet'!$B$14,Paramètres!$A$1:$I$89,3,0)*VLOOKUP('Données projet'!$B$14,Paramètres!$A$1:$I$89,5,0)</f>
        <v>174.44295000000002</v>
      </c>
      <c r="DQ71" s="13">
        <f t="shared" si="97"/>
        <v>44.083597545116064</v>
      </c>
      <c r="DR71" s="20">
        <f t="shared" si="70"/>
        <v>380.60040364107721</v>
      </c>
      <c r="DS71" s="59">
        <f t="shared" si="71"/>
        <v>673.93373697441052</v>
      </c>
      <c r="DT71" s="59">
        <f ca="1">AVERAGE(OFFSET($DS$3,0,0,'Données projet'!$E$14+1,1))-AVERAGE(OFFSET($H$3,0,0,'Données projet'!$E$14+1,1))</f>
        <v>207.25176714718668</v>
      </c>
      <c r="DU71" s="59">
        <f t="shared" si="98"/>
        <v>191.53228014642559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44.611895242601975</v>
      </c>
      <c r="EB71" s="21">
        <f>EXP(-LN(2)/25)*EB70+(1-EXP(-LN(2)/25))/(LN(2)/25)*Calculateur!DW71*Calculateur!DY71*VLOOKUP('Données projet'!$B$14,Paramètres!$A$1:$I$89,3,0)*0.475*44/12</f>
        <v>26.365403393543318</v>
      </c>
      <c r="EC71" s="21">
        <f>EXP(-LN(2)/2)*EC70+(1-EXP(-LN(2)/2))/(LN(2)/2)*DW71*DZ71*VLOOKUP('Données projet'!$B$14,Paramètres!$A$1:$I$89,3,0)*0.475*44/12</f>
        <v>0.97318235117900198</v>
      </c>
      <c r="ED71" s="22">
        <f t="shared" si="72"/>
        <v>71.950480987324298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-2.8421709430404007E-13</v>
      </c>
      <c r="EK71" s="17">
        <f>EJ71*VLOOKUP('Données projet'!$B$15,Paramètres!$A$1:$I$89,3,0)*VLOOKUP('Données projet'!$B$15,Paramètres!$A$1:$I$89,5,0)</f>
        <v>-1.69961822393816E-13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200.15574321350221</v>
      </c>
      <c r="EP71" s="59">
        <f t="shared" si="100"/>
        <v>200.70728852570426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110.71510285799901</v>
      </c>
      <c r="EW71" s="21">
        <f>EXP(-LN(2)/25)*EW70+(1-EXP(-LN(2)/25))/(LN(2)/25)*Calculateur!ER71*Calculateur!ET71*VLOOKUP('Données projet'!$B$15,Paramètres!$A$1:$I$89,3,0)*0.475*44/12</f>
        <v>28.949209843561974</v>
      </c>
      <c r="EX71" s="21">
        <f>EXP(-LN(2)/2)*EX70+(1-EXP(-LN(2)/2))/(LN(2)/2)*ER71*EU71*VLOOKUP('Données projet'!$B$15,Paramètres!$A$1:$I$89,3,0)*0.475*44/12</f>
        <v>1.997678030623637</v>
      </c>
      <c r="EY71" s="22">
        <f t="shared" si="75"/>
        <v>141.66199073218462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8.1001602564102626</v>
      </c>
      <c r="FE71" s="12">
        <f>IF('Données projet'!$A$218&gt;35,FE70+FD71-FM70,IF(A71&lt;'Données projet'!$A$218,$FB$205^A71,IF(A71='Données projet'!$A$218,'Données projet'!$B$218,FE70+FD71-FM70)))</f>
        <v>219.06490384615404</v>
      </c>
      <c r="FF71" s="17">
        <f>FE71*VLOOKUP('Données projet'!$B$16,Paramètres!$A$1:$I$89,3,0)*VLOOKUP('Données projet'!$B$16,Paramètres!$A$1:$I$89,5,0)</f>
        <v>235.80146250000018</v>
      </c>
      <c r="FG71" s="13">
        <f t="shared" si="101"/>
        <v>57.535268915717133</v>
      </c>
      <c r="FH71" s="20">
        <f t="shared" si="76"/>
        <v>510.89480721570766</v>
      </c>
      <c r="FI71" s="59">
        <f t="shared" si="77"/>
        <v>804.22814054904097</v>
      </c>
      <c r="FJ71" s="59">
        <f ca="1">AVERAGE(OFFSET($FI$3,0,0,'Données projet'!$E$16+1,1))-AVERAGE(OFFSET($H$3,0,0,'Données projet'!$E$16+1,1))</f>
        <v>347.17049316703486</v>
      </c>
      <c r="FK71" s="59">
        <f t="shared" si="102"/>
        <v>255.45365487683489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13.535449509245367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13.535449509245367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7">
        <f t="shared" si="56"/>
        <v>366.87154081591865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266.02599413192075</v>
      </c>
      <c r="T72" s="59">
        <f t="shared" si="88"/>
        <v>332.94146254783254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8.1001602564102626</v>
      </c>
      <c r="AI72" s="13">
        <f>IF('Données projet'!$A$62&gt;35,AI71+AH72-AQ71,IF(A72&lt;'Données projet'!$A$62,$AF$205^A72,IF(A72='Données projet'!$A$62,'Données projet'!$B$62,AI71+AH72-AQ71)))</f>
        <v>227.16506410256432</v>
      </c>
      <c r="AJ72" s="13">
        <f>AI72*VLOOKUP('Données projet'!$B$10,Paramètres!$A$1:$I$89,3,0)*VLOOKUP('Données projet'!$B$10,Paramètres!$A$1:$I$89,5,0)</f>
        <v>205.53895000000017</v>
      </c>
      <c r="AK72" s="13">
        <f t="shared" si="89"/>
        <v>50.959519142478193</v>
      </c>
      <c r="AL72" s="20">
        <f t="shared" si="58"/>
        <v>446.73483375648311</v>
      </c>
      <c r="AM72" s="59">
        <f t="shared" si="59"/>
        <v>740.06816708981637</v>
      </c>
      <c r="AN72" s="59">
        <f ca="1">AVERAGE(OFFSET($AM$3,0,0,'Données projet'!$E$10+1,1))-AVERAGE(OFFSET($H$3,0,0,'Données projet'!$E$10+1,1))</f>
        <v>282.13645166362238</v>
      </c>
      <c r="AO72" s="59">
        <f t="shared" si="90"/>
        <v>210.5345332979457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11.154515953772874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11.154515953772874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13.296703296703283</v>
      </c>
      <c r="BD72" s="12">
        <f>IF('Données projet'!$A$88&gt;35,BD71+BC72-BL71,IF(A72&lt;'Données projet'!$A$88,$BA$205^A72,IF(A72='Données projet'!$A$88,'Données projet'!$B$88,BD71+BC72-BL71)))</f>
        <v>455.77252747252743</v>
      </c>
      <c r="BE72" s="13">
        <f>BD72*VLOOKUP('Données projet'!$B$11,Paramètres!$A$1:$I$89,3,0)*VLOOKUP('Données projet'!$B$11,Paramètres!$A$1:$I$89,5,0)</f>
        <v>254.77684285714284</v>
      </c>
      <c r="BF72" s="13">
        <f t="shared" si="91"/>
        <v>61.607700360287495</v>
      </c>
      <c r="BG72" s="20">
        <f t="shared" si="61"/>
        <v>551.03641277035774</v>
      </c>
      <c r="BH72" s="59">
        <f t="shared" si="62"/>
        <v>844.36974610369111</v>
      </c>
      <c r="BI72" s="59">
        <f ca="1">AVERAGE(OFFSET($BH$3,0,0,'Données projet'!$E$11+1,1))-AVERAGE(OFFSET($H$3,0,0,'Données projet'!$E$11+1,1))</f>
        <v>254.6443970237226</v>
      </c>
      <c r="BJ72" s="59">
        <f t="shared" si="92"/>
        <v>231.81667808018062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78.090257510132858</v>
      </c>
      <c r="BQ72" s="21">
        <f>EXP(-LN(2)/25)*BQ71+(1-EXP(-LN(2)/25))/(LN(2)/25)*Calculateur!BL72*Calculateur!BN72*VLOOKUP('Données projet'!$B$11,Paramètres!$A$1:$I$89,3,0)*0.475*44/12</f>
        <v>24.074547332587294</v>
      </c>
      <c r="BR72" s="21">
        <f>EXP(-LN(2)/2)*BR71+(1-EXP(-LN(2)/2))/(LN(2)/2)*BL72*BO72*VLOOKUP('Données projet'!$B$11,Paramètres!$A$1:$I$89,3,0)*0.475*44/12</f>
        <v>0.91060912573662056</v>
      </c>
      <c r="BS72" s="22">
        <f t="shared" si="63"/>
        <v>103.07541396845677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5.6899038461538431</v>
      </c>
      <c r="BY72" s="12">
        <f>IF('Données projet'!$A$114&gt;35,BY71+BX72-CG71,IF(A72&lt;'Données projet'!$A$114,$BV$205^A72,IF(A72='Données projet'!$A$114,'Données projet'!$B$114,BY71+BX72-CG71)))</f>
        <v>147.24519230769229</v>
      </c>
      <c r="BZ72" s="13">
        <f>BY72*VLOOKUP('Données projet'!$B$12,Paramètres!$A$1:$I$89,3,0)*VLOOKUP('Données projet'!$B$12,Paramètres!$A$1:$I$89,5,0)</f>
        <v>149.306625</v>
      </c>
      <c r="CA72" s="13">
        <f t="shared" si="93"/>
        <v>38.420971199416954</v>
      </c>
      <c r="CB72" s="20">
        <f t="shared" si="64"/>
        <v>326.95889671398453</v>
      </c>
      <c r="CC72" s="59">
        <f t="shared" si="65"/>
        <v>620.29223004731784</v>
      </c>
      <c r="CD72" s="59">
        <f ca="1">AVERAGE(OFFSET($CC$3,0,0,'Données projet'!$E$12+1,1))-AVERAGE(OFFSET($H$3,0,0,'Données projet'!$E$12+1,1))</f>
        <v>264.08050363622294</v>
      </c>
      <c r="CE72" s="59">
        <f t="shared" si="94"/>
        <v>164.48884512322883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13.296703296703283</v>
      </c>
      <c r="CT72" s="12">
        <f>IF('Données projet'!$A$140&gt;35,CT71+CS72-DB71,IF(A72&lt;'Données projet'!$A$140,$CQ$205^A72,IF(A72='Données projet'!$A$140,'Données projet'!$B$140,CT71+CS72-DB71)))</f>
        <v>455.77252747252743</v>
      </c>
      <c r="CU72" s="17">
        <f>CT72*VLOOKUP('Données projet'!$B$13,Paramètres!$A$1:$I$89,3,0)*VLOOKUP('Données projet'!$B$13,Paramètres!$A$1:$I$89,5,0)</f>
        <v>201.45145714285715</v>
      </c>
      <c r="CV72" s="13">
        <f t="shared" si="95"/>
        <v>50.063019705071831</v>
      </c>
      <c r="CW72" s="20">
        <f t="shared" si="67"/>
        <v>438.05438051014295</v>
      </c>
      <c r="CX72" s="59">
        <f t="shared" si="68"/>
        <v>731.38771384347626</v>
      </c>
      <c r="CY72" s="59">
        <f ca="1">AVERAGE(OFFSET($CX$3,0,0,'Données projet'!$E$13+1,1))-AVERAGE(OFFSET($H$3,0,0,'Données projet'!$E$13+1,1))</f>
        <v>194.7221767407824</v>
      </c>
      <c r="CZ72" s="59">
        <f t="shared" si="96"/>
        <v>177.6550559568646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61.745785008012056</v>
      </c>
      <c r="DG72" s="21">
        <f>EXP(-LN(2)/25)*DG71+(1-EXP(-LN(2)/25))/(LN(2)/25)*Calculateur!DB72*Calculateur!DD72*VLOOKUP('Données projet'!$B$13,Paramètres!$A$1:$I$89,3,0)*0.475*44/12</f>
        <v>19.035688588557395</v>
      </c>
      <c r="DH72" s="21">
        <f>EXP(-LN(2)/2)*DH71+(1-EXP(-LN(2)/2))/(LN(2)/2)*DB72*DE72*VLOOKUP('Données projet'!$B$13,Paramètres!$A$1:$I$89,3,0)*0.475*44/12</f>
        <v>0.72001651802430455</v>
      </c>
      <c r="DI72" s="22">
        <f t="shared" si="69"/>
        <v>81.501490114593764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13.737499999999997</v>
      </c>
      <c r="DO72" s="12">
        <f>IF('Données projet'!$A$166&gt;35,DO71+DN72-DW71,IF(A72&lt;'Données projet'!$A$166,$DL$205^A72,IF(A72='Données projet'!$A$166,'Données projet'!$B$166,DO71+DN72-DW71)))</f>
        <v>386.47884615384618</v>
      </c>
      <c r="DP72" s="17">
        <f>DO72*VLOOKUP('Données projet'!$B$14,Paramètres!$A$1:$I$89,3,0)*VLOOKUP('Données projet'!$B$14,Paramètres!$A$1:$I$89,5,0)</f>
        <v>180.87209999999999</v>
      </c>
      <c r="DQ72" s="13">
        <f t="shared" si="97"/>
        <v>45.516157736157588</v>
      </c>
      <c r="DR72" s="20">
        <f t="shared" si="70"/>
        <v>394.29288222380774</v>
      </c>
      <c r="DS72" s="59">
        <f t="shared" si="71"/>
        <v>687.62621555714099</v>
      </c>
      <c r="DT72" s="59">
        <f ca="1">AVERAGE(OFFSET($DS$3,0,0,'Données projet'!$E$14+1,1))-AVERAGE(OFFSET($H$3,0,0,'Données projet'!$E$14+1,1))</f>
        <v>207.25176714718668</v>
      </c>
      <c r="DU72" s="59">
        <f t="shared" si="98"/>
        <v>191.53228014642559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43.737083187463824</v>
      </c>
      <c r="EB72" s="21">
        <f>EXP(-LN(2)/25)*EB71+(1-EXP(-LN(2)/25))/(LN(2)/25)*Calculateur!DW72*Calculateur!DY72*VLOOKUP('Données projet'!$B$14,Paramètres!$A$1:$I$89,3,0)*0.475*44/12</f>
        <v>25.644440051250569</v>
      </c>
      <c r="EC72" s="21">
        <f>EXP(-LN(2)/2)*EC71+(1-EXP(-LN(2)/2))/(LN(2)/2)*DW72*DZ72*VLOOKUP('Données projet'!$B$14,Paramètres!$A$1:$I$89,3,0)*0.475*44/12</f>
        <v>0.68814383984974048</v>
      </c>
      <c r="ED72" s="22">
        <f t="shared" si="72"/>
        <v>70.069667078564137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-2.8421709430404007E-13</v>
      </c>
      <c r="EK72" s="17">
        <f>EJ72*VLOOKUP('Données projet'!$B$15,Paramètres!$A$1:$I$89,3,0)*VLOOKUP('Données projet'!$B$15,Paramètres!$A$1:$I$89,5,0)</f>
        <v>-1.69961822393816E-13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200.15574321350221</v>
      </c>
      <c r="EP72" s="59">
        <f t="shared" si="100"/>
        <v>200.70728852570426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108.54404722049841</v>
      </c>
      <c r="EW72" s="21">
        <f>EXP(-LN(2)/25)*EW71+(1-EXP(-LN(2)/25))/(LN(2)/25)*Calculateur!ER72*Calculateur!ET72*VLOOKUP('Données projet'!$B$15,Paramètres!$A$1:$I$89,3,0)*0.475*44/12</f>
        <v>28.157592178016991</v>
      </c>
      <c r="EX72" s="21">
        <f>EXP(-LN(2)/2)*EX71+(1-EXP(-LN(2)/2))/(LN(2)/2)*ER72*EU72*VLOOKUP('Données projet'!$B$15,Paramètres!$A$1:$I$89,3,0)*0.475*44/12</f>
        <v>1.4125716820813614</v>
      </c>
      <c r="EY72" s="22">
        <f t="shared" si="75"/>
        <v>138.11421108059676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8.1001602564102626</v>
      </c>
      <c r="FE72" s="12">
        <f>IF('Données projet'!$A$218&gt;35,FE71+FD72-FM71,IF(A72&lt;'Données projet'!$A$218,$FB$205^A72,IF(A72='Données projet'!$A$218,'Données projet'!$B$218,FE71+FD72-FM71)))</f>
        <v>227.16506410256432</v>
      </c>
      <c r="FF72" s="17">
        <f>FE72*VLOOKUP('Données projet'!$B$16,Paramètres!$A$1:$I$89,3,0)*VLOOKUP('Données projet'!$B$16,Paramètres!$A$1:$I$89,5,0)</f>
        <v>244.52047500000023</v>
      </c>
      <c r="FG72" s="13">
        <f t="shared" si="101"/>
        <v>59.41107391766505</v>
      </c>
      <c r="FH72" s="20">
        <f t="shared" si="76"/>
        <v>529.34744769826705</v>
      </c>
      <c r="FI72" s="59">
        <f t="shared" si="77"/>
        <v>822.68078103160042</v>
      </c>
      <c r="FJ72" s="59">
        <f ca="1">AVERAGE(OFFSET($FI$3,0,0,'Données projet'!$E$16+1,1))-AVERAGE(OFFSET($H$3,0,0,'Données projet'!$E$16+1,1))</f>
        <v>347.17049316703486</v>
      </c>
      <c r="FK72" s="59">
        <f t="shared" si="102"/>
        <v>255.45365487683489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13.270027600178073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13.270027600178073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7">
        <f t="shared" si="56"/>
        <v>367.9079479955426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266.02599413192075</v>
      </c>
      <c r="T73" s="59">
        <f t="shared" si="88"/>
        <v>332.94146254783254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8.1001602564102626</v>
      </c>
      <c r="AI73" s="13">
        <f>IF('Données projet'!$A$62&gt;35,AI72+AH73-AQ72,IF(A73&lt;'Données projet'!$A$62,$AF$205^A73,IF(A73='Données projet'!$A$62,'Données projet'!$B$62,AI72+AH73-AQ72)))</f>
        <v>235.26522435897459</v>
      </c>
      <c r="AJ73" s="13">
        <f>AI73*VLOOKUP('Données projet'!$B$10,Paramètres!$A$1:$I$89,3,0)*VLOOKUP('Données projet'!$B$10,Paramètres!$A$1:$I$89,5,0)</f>
        <v>212.8679750000002</v>
      </c>
      <c r="AK73" s="13">
        <f t="shared" si="89"/>
        <v>52.561814761455608</v>
      </c>
      <c r="AL73" s="20">
        <f t="shared" si="58"/>
        <v>462.29021716786883</v>
      </c>
      <c r="AM73" s="59">
        <f t="shared" si="59"/>
        <v>755.62355050120209</v>
      </c>
      <c r="AN73" s="59">
        <f ca="1">AVERAGE(OFFSET($AM$3,0,0,'Données projet'!$E$10+1,1))-AVERAGE(OFFSET($H$3,0,0,'Données projet'!$E$10+1,1))</f>
        <v>282.13645166362238</v>
      </c>
      <c r="AO73" s="59">
        <f t="shared" si="90"/>
        <v>210.5345332979457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10.935782699502322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10.935782699502322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469.06923076923073</v>
      </c>
      <c r="BB73" s="12">
        <f>VLOOKUP(A73,'Données projet'!$A$87:$I$107,9,0)</f>
        <v>13.296703296703283</v>
      </c>
      <c r="BC73" s="12">
        <f t="array" ref="BC73">INDEX(BB:BB,MIN(IF(ISNUMBER(BB73:BB269),ROW(BB73:BB269),"")))</f>
        <v>13.296703296703283</v>
      </c>
      <c r="BD73" s="12">
        <f>IF('Données projet'!$A$88&gt;35,BD72+BC73-BL72,IF(A73&lt;'Données projet'!$A$88,$BA$205^A73,IF(A73='Données projet'!$A$88,'Données projet'!$B$88,BD72+BC73-BL72)))</f>
        <v>469.06923076923073</v>
      </c>
      <c r="BE73" s="13">
        <f>BD73*VLOOKUP('Données projet'!$B$11,Paramètres!$A$1:$I$89,3,0)*VLOOKUP('Données projet'!$B$11,Paramètres!$A$1:$I$89,5,0)</f>
        <v>262.2097</v>
      </c>
      <c r="BF73" s="13">
        <f t="shared" si="91"/>
        <v>63.193164452376628</v>
      </c>
      <c r="BG73" s="20">
        <f t="shared" si="61"/>
        <v>566.74332225455589</v>
      </c>
      <c r="BH73" s="59">
        <f t="shared" si="62"/>
        <v>860.07665558788926</v>
      </c>
      <c r="BI73" s="59">
        <f ca="1">AVERAGE(OFFSET($BH$3,0,0,'Données projet'!$E$11+1,1))-AVERAGE(OFFSET($H$3,0,0,'Données projet'!$E$11+1,1))</f>
        <v>254.6443970237226</v>
      </c>
      <c r="BJ73" s="59">
        <f t="shared" si="92"/>
        <v>231.81667808018062</v>
      </c>
      <c r="BK73" s="15">
        <f>IF(ISNA(VLOOKUP(A73,'Données projet'!$A$87:$I$107,3,0)),0,VLOOKUP(A73,'Données projet'!$A$87:$I$107,3,0))</f>
        <v>8</v>
      </c>
      <c r="BL73" s="15">
        <f>IF(ISNA(VLOOKUP(A73,'Données projet'!$A$87:$I$107,4,0)),0,VLOOKUP(A73,'Données projet'!$A$87:$I$107,4,0))</f>
        <v>469.06923076923073</v>
      </c>
      <c r="BM73" s="16">
        <f>IF(ISNA(VLOOKUP(A73,'Données projet'!$A$87:$I$107,5,0)),0%,VLOOKUP(A73,'Données projet'!$A$87:$I$107,5,0)*VLOOKUP('Données projet'!$B$11,Paramètres!$A$1:$I$89,7,0))</f>
        <v>0.38500000000000001</v>
      </c>
      <c r="BN73" s="16">
        <f>IF(ISNA(VLOOKUP(A73,'Données projet'!$A$87:$I$107,6,0)),0%,VLOOKUP(A73,'Données projet'!$A$87:$I$107,6,0)*VLOOKUP('Données projet'!$B$11,Paramètres!$A$1:$I$89,7,0))</f>
        <v>9.240000000000001E-2</v>
      </c>
      <c r="BO73" s="16">
        <f>IF(ISNA(VLOOKUP(A73,'Données projet'!$A$87:$I$107,7,0)),0%,VLOOKUP(A73,'Données projet'!$A$87:$I$107,7,0))</f>
        <v>0.13200000000000001</v>
      </c>
      <c r="BP73" s="21">
        <f>EXP(-LN(2)/35)*BP72+(1-EXP(-LN(2)/35))/(LN(2)/35)*BL73*BM73*VLOOKUP('Données projet'!$B$11,Paramètres!$A$1:$I$89,3,0)*0.475*44/12</f>
        <v>210.47661132892722</v>
      </c>
      <c r="BQ73" s="21">
        <f>EXP(-LN(2)/25)*BQ72+(1-EXP(-LN(2)/25))/(LN(2)/25)*Calculateur!BL73*Calculateur!BN73*VLOOKUP('Données projet'!$B$11,Paramètres!$A$1:$I$89,3,0)*0.475*44/12</f>
        <v>55.429916681601206</v>
      </c>
      <c r="BR73" s="21">
        <f>EXP(-LN(2)/2)*BR72+(1-EXP(-LN(2)/2))/(LN(2)/2)*BL73*BO73*VLOOKUP('Données projet'!$B$11,Paramètres!$A$1:$I$89,3,0)*0.475*44/12</f>
        <v>39.832360308362468</v>
      </c>
      <c r="BS73" s="22">
        <f t="shared" si="63"/>
        <v>305.73888831889087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5.6899038461538431</v>
      </c>
      <c r="BY73" s="12">
        <f>IF('Données projet'!$A$114&gt;35,BY72+BX73-CG72,IF(A73&lt;'Données projet'!$A$114,$BV$205^A73,IF(A73='Données projet'!$A$114,'Données projet'!$B$114,BY72+BX73-CG72)))</f>
        <v>152.93509615384613</v>
      </c>
      <c r="BZ73" s="13">
        <f>BY73*VLOOKUP('Données projet'!$B$12,Paramètres!$A$1:$I$89,3,0)*VLOOKUP('Données projet'!$B$12,Paramètres!$A$1:$I$89,5,0)</f>
        <v>155.0761875</v>
      </c>
      <c r="CA73" s="13">
        <f t="shared" si="93"/>
        <v>39.729923507145784</v>
      </c>
      <c r="CB73" s="20">
        <f t="shared" si="64"/>
        <v>339.28731000411216</v>
      </c>
      <c r="CC73" s="59">
        <f t="shared" si="65"/>
        <v>632.62064333744547</v>
      </c>
      <c r="CD73" s="59">
        <f ca="1">AVERAGE(OFFSET($CC$3,0,0,'Données projet'!$E$12+1,1))-AVERAGE(OFFSET($H$3,0,0,'Données projet'!$E$12+1,1))</f>
        <v>264.08050363622294</v>
      </c>
      <c r="CE73" s="59">
        <f t="shared" si="94"/>
        <v>164.48884512322883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469.06923076923073</v>
      </c>
      <c r="CR73" s="12">
        <f>VLOOKUP(A73,'Données projet'!$A$139:$I$159,9,0)</f>
        <v>13.296703296703283</v>
      </c>
      <c r="CS73" s="12">
        <f t="array" ref="CS73">INDEX(CR:CR,MIN(IF(ISNUMBER(CR73:CR269),ROW(CR73:CR269),"")))</f>
        <v>13.296703296703283</v>
      </c>
      <c r="CT73" s="12">
        <f>IF('Données projet'!$A$140&gt;35,CT72+CS73-DB72,IF(A73&lt;'Données projet'!$A$140,$CQ$205^A73,IF(A73='Données projet'!$A$140,'Données projet'!$B$140,CT72+CS73-DB72)))</f>
        <v>469.06923076923073</v>
      </c>
      <c r="CU73" s="17">
        <f>CT73*VLOOKUP('Données projet'!$B$13,Paramètres!$A$1:$I$89,3,0)*VLOOKUP('Données projet'!$B$13,Paramètres!$A$1:$I$89,5,0)</f>
        <v>207.32860000000002</v>
      </c>
      <c r="CV73" s="13">
        <f t="shared" si="95"/>
        <v>51.351383328770872</v>
      </c>
      <c r="CW73" s="20">
        <f t="shared" si="67"/>
        <v>450.53430429760925</v>
      </c>
      <c r="CX73" s="59">
        <f t="shared" si="68"/>
        <v>743.86763763094257</v>
      </c>
      <c r="CY73" s="59">
        <f ca="1">AVERAGE(OFFSET($CX$3,0,0,'Données projet'!$E$13+1,1))-AVERAGE(OFFSET($H$3,0,0,'Données projet'!$E$13+1,1))</f>
        <v>194.7221767407824</v>
      </c>
      <c r="CZ73" s="59">
        <f t="shared" si="96"/>
        <v>177.6550559568646</v>
      </c>
      <c r="DA73" s="15">
        <f>IF(ISNA(VLOOKUP(A73,'Données projet'!$A$139:$I$159,3,0)),0,VLOOKUP(A73,'Données projet'!$A$139:$I$159,3,0))</f>
        <v>8</v>
      </c>
      <c r="DB73" s="15">
        <f>IF(ISNA(VLOOKUP(A73,'Données projet'!$A$139:$I$159,4,0)),0,VLOOKUP(A73,'Données projet'!$A$139:$I$159,4,0))</f>
        <v>469.06923076923073</v>
      </c>
      <c r="DC73" s="16">
        <f>IF(ISNA(VLOOKUP(A73,'Données projet'!$A$139:$I$159,5,0)),0%,VLOOKUP(A73,'Données projet'!$A$139:$I$159,5,0)*VLOOKUP('Données projet'!$B$13,Paramètres!$A$1:$I$89,7,0))</f>
        <v>0.38500000000000001</v>
      </c>
      <c r="DD73" s="16">
        <f>IF(ISNA(VLOOKUP(A73,'Données projet'!$A$139:$I$159,6,0)),0%,VLOOKUP(A73,'Données projet'!$A$139:$I$159,6,0)*VLOOKUP('Données projet'!$B$13,Paramètres!$A$1:$I$89,7,0))</f>
        <v>9.240000000000001E-2</v>
      </c>
      <c r="DE73" s="16">
        <f>IF(ISNA(VLOOKUP(A73,'Données projet'!$A$139:$I$159,7,0)),0%,VLOOKUP(A73,'Données projet'!$A$139:$I$159,7,0))</f>
        <v>0.13200000000000001</v>
      </c>
      <c r="DF73" s="21">
        <f>EXP(-LN(2)/35)*DF72+(1-EXP(-LN(2)/35))/(LN(2)/35)*DB73*DC73*VLOOKUP('Données projet'!$B$13,Paramètres!$A$1:$I$89,3,0)*0.475*44/12</f>
        <v>166.42336709729133</v>
      </c>
      <c r="DG73" s="21">
        <f>EXP(-LN(2)/25)*DG72+(1-EXP(-LN(2)/25))/(LN(2)/25)*Calculateur!DB73*Calculateur!DD73*VLOOKUP('Données projet'!$B$13,Paramètres!$A$1:$I$89,3,0)*0.475*44/12</f>
        <v>43.828306213359099</v>
      </c>
      <c r="DH73" s="21">
        <f>EXP(-LN(2)/2)*DH72+(1-EXP(-LN(2)/2))/(LN(2)/2)*DB73*DE73*VLOOKUP('Données projet'!$B$13,Paramètres!$A$1:$I$89,3,0)*0.475*44/12</f>
        <v>31.495354662426138</v>
      </c>
      <c r="DI73" s="22">
        <f t="shared" si="69"/>
        <v>241.74702797307657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13.737499999999997</v>
      </c>
      <c r="DO73" s="12">
        <f>IF('Données projet'!$A$166&gt;35,DO72+DN73-DW72,IF(A73&lt;'Données projet'!$A$166,$DL$205^A73,IF(A73='Données projet'!$A$166,'Données projet'!$B$166,DO72+DN73-DW72)))</f>
        <v>400.21634615384619</v>
      </c>
      <c r="DP73" s="17">
        <f>DO73*VLOOKUP('Données projet'!$B$14,Paramètres!$A$1:$I$89,3,0)*VLOOKUP('Données projet'!$B$14,Paramètres!$A$1:$I$89,5,0)</f>
        <v>187.30125000000001</v>
      </c>
      <c r="DQ73" s="13">
        <f t="shared" si="97"/>
        <v>46.942801679870392</v>
      </c>
      <c r="DR73" s="20">
        <f t="shared" si="70"/>
        <v>407.97505667577428</v>
      </c>
      <c r="DS73" s="59">
        <f t="shared" si="71"/>
        <v>701.3083900091076</v>
      </c>
      <c r="DT73" s="59">
        <f ca="1">AVERAGE(OFFSET($DS$3,0,0,'Données projet'!$E$14+1,1))-AVERAGE(OFFSET($H$3,0,0,'Données projet'!$E$14+1,1))</f>
        <v>207.25176714718668</v>
      </c>
      <c r="DU73" s="59">
        <f t="shared" si="98"/>
        <v>191.53228014642559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42.879425663144268</v>
      </c>
      <c r="EB73" s="21">
        <f>EXP(-LN(2)/25)*EB72+(1-EXP(-LN(2)/25))/(LN(2)/25)*Calculateur!DW73*Calculateur!DY73*VLOOKUP('Données projet'!$B$14,Paramètres!$A$1:$I$89,3,0)*0.475*44/12</f>
        <v>24.943191489466631</v>
      </c>
      <c r="EC73" s="21">
        <f>EXP(-LN(2)/2)*EC72+(1-EXP(-LN(2)/2))/(LN(2)/2)*DW73*DZ73*VLOOKUP('Données projet'!$B$14,Paramètres!$A$1:$I$89,3,0)*0.475*44/12</f>
        <v>0.4865911755895011</v>
      </c>
      <c r="ED73" s="22">
        <f t="shared" si="72"/>
        <v>68.309208328200398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-2.8421709430404007E-13</v>
      </c>
      <c r="EK73" s="17">
        <f>EJ73*VLOOKUP('Données projet'!$B$15,Paramètres!$A$1:$I$89,3,0)*VLOOKUP('Données projet'!$B$15,Paramètres!$A$1:$I$89,5,0)</f>
        <v>-1.69961822393816E-13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200.15574321350221</v>
      </c>
      <c r="EP73" s="59">
        <f t="shared" si="100"/>
        <v>200.70728852570426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106.41556465983601</v>
      </c>
      <c r="EW73" s="21">
        <f>EXP(-LN(2)/25)*EW72+(1-EXP(-LN(2)/25))/(LN(2)/25)*Calculateur!ER73*Calculateur!ET73*VLOOKUP('Données projet'!$B$15,Paramètres!$A$1:$I$89,3,0)*0.475*44/12</f>
        <v>27.387621339165698</v>
      </c>
      <c r="EX73" s="21">
        <f>EXP(-LN(2)/2)*EX72+(1-EXP(-LN(2)/2))/(LN(2)/2)*ER73*EU73*VLOOKUP('Données projet'!$B$15,Paramètres!$A$1:$I$89,3,0)*0.475*44/12</f>
        <v>0.99883901531181862</v>
      </c>
      <c r="EY73" s="22">
        <f t="shared" si="75"/>
        <v>134.80202501431353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8.1001602564102626</v>
      </c>
      <c r="FE73" s="12">
        <f>IF('Données projet'!$A$218&gt;35,FE72+FD73-FM72,IF(A73&lt;'Données projet'!$A$218,$FB$205^A73,IF(A73='Données projet'!$A$218,'Données projet'!$B$218,FE72+FD73-FM72)))</f>
        <v>235.26522435897459</v>
      </c>
      <c r="FF73" s="17">
        <f>FE73*VLOOKUP('Données projet'!$B$16,Paramètres!$A$1:$I$89,3,0)*VLOOKUP('Données projet'!$B$16,Paramètres!$A$1:$I$89,5,0)</f>
        <v>253.23948750000022</v>
      </c>
      <c r="FG73" s="13">
        <f t="shared" si="101"/>
        <v>61.279107703283522</v>
      </c>
      <c r="FH73" s="20">
        <f t="shared" si="76"/>
        <v>547.78655331238576</v>
      </c>
      <c r="FI73" s="59">
        <f t="shared" si="77"/>
        <v>841.11988664571913</v>
      </c>
      <c r="FJ73" s="59">
        <f ca="1">AVERAGE(OFFSET($FI$3,0,0,'Données projet'!$E$16+1,1))-AVERAGE(OFFSET($H$3,0,0,'Données projet'!$E$16+1,1))</f>
        <v>347.17049316703486</v>
      </c>
      <c r="FK73" s="59">
        <f t="shared" si="102"/>
        <v>255.45365487683489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13.009810452856209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13.009810452856209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7">
        <f t="shared" si="56"/>
        <v>368.94398746551559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266.02599413192075</v>
      </c>
      <c r="T74" s="59">
        <f t="shared" si="88"/>
        <v>332.94146254783254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243.36538461538464</v>
      </c>
      <c r="AG74" s="12">
        <f>VLOOKUP(A74,'Données projet'!$A$61:$I$81,9,0)</f>
        <v>8.1001602564102626</v>
      </c>
      <c r="AH74" s="12">
        <f t="array" ref="AH74">INDEX(AG:AG,MIN(IF(ISNUMBER(AG74:AG270),ROW(AG74:AG270),"")))</f>
        <v>8.1001602564102626</v>
      </c>
      <c r="AI74" s="13">
        <f>IF('Données projet'!$A$62&gt;35,AI73+AH74-AQ73,IF(A74&lt;'Données projet'!$A$62,$AF$205^A74,IF(A74='Données projet'!$A$62,'Données projet'!$B$62,AI73+AH74-AQ73)))</f>
        <v>243.36538461538487</v>
      </c>
      <c r="AJ74" s="13">
        <f>AI74*VLOOKUP('Données projet'!$B$10,Paramètres!$A$1:$I$89,3,0)*VLOOKUP('Données projet'!$B$10,Paramètres!$A$1:$I$89,5,0)</f>
        <v>220.19700000000023</v>
      </c>
      <c r="AK74" s="13">
        <f t="shared" si="89"/>
        <v>54.157700466574305</v>
      </c>
      <c r="AL74" s="20">
        <f t="shared" si="58"/>
        <v>477.83443664595069</v>
      </c>
      <c r="AM74" s="59">
        <f t="shared" si="59"/>
        <v>771.167769979284</v>
      </c>
      <c r="AN74" s="59">
        <f ca="1">AVERAGE(OFFSET($AM$3,0,0,'Données projet'!$E$10+1,1))-AVERAGE(OFFSET($H$3,0,0,'Données projet'!$E$10+1,1))</f>
        <v>282.13645166362238</v>
      </c>
      <c r="AO74" s="59">
        <f t="shared" si="90"/>
        <v>210.5345332979457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39.935897435897431</v>
      </c>
      <c r="AR74" s="16">
        <f>IF(ISNA(VLOOKUP(A74,'Données projet'!$A$61:$I$81,5,0)),0%,VLOOKUP(A74,'Données projet'!$A$61:$I$81,5,0)*VLOOKUP('Données projet'!$B$10,Paramètres!$A$1:$I$89,7,0))</f>
        <v>0.30099999999999999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22.744803745841033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22.744803745841033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254.6443970237226</v>
      </c>
      <c r="BJ74" s="59">
        <f t="shared" si="92"/>
        <v>231.81667808018062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206.34929335882359</v>
      </c>
      <c r="BQ74" s="21">
        <f>EXP(-LN(2)/25)*BQ73+(1-EXP(-LN(2)/25))/(LN(2)/25)*Calculateur!BL74*Calculateur!BN74*VLOOKUP('Données projet'!$B$11,Paramètres!$A$1:$I$89,3,0)*0.475*44/12</f>
        <v>53.91418269501019</v>
      </c>
      <c r="BR74" s="21">
        <f>EXP(-LN(2)/2)*BR73+(1-EXP(-LN(2)/2))/(LN(2)/2)*BL74*BO74*VLOOKUP('Données projet'!$B$11,Paramètres!$A$1:$I$89,3,0)*0.475*44/12</f>
        <v>28.165732084708981</v>
      </c>
      <c r="BS74" s="22">
        <f t="shared" si="63"/>
        <v>288.42920813854272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5.6899038461538431</v>
      </c>
      <c r="BY74" s="12">
        <f>IF('Données projet'!$A$114&gt;35,BY73+BX74-CG73,IF(A74&lt;'Données projet'!$A$114,$BV$205^A74,IF(A74='Données projet'!$A$114,'Données projet'!$B$114,BY73+BX74-CG73)))</f>
        <v>158.62499999999997</v>
      </c>
      <c r="BZ74" s="13">
        <f>BY74*VLOOKUP('Données projet'!$B$12,Paramètres!$A$1:$I$89,3,0)*VLOOKUP('Données projet'!$B$12,Paramètres!$A$1:$I$89,5,0)</f>
        <v>160.84574999999998</v>
      </c>
      <c r="CA74" s="13">
        <f t="shared" si="93"/>
        <v>41.033218108988017</v>
      </c>
      <c r="CB74" s="20">
        <f t="shared" si="64"/>
        <v>351.60586945648743</v>
      </c>
      <c r="CC74" s="59">
        <f t="shared" si="65"/>
        <v>644.93920278982068</v>
      </c>
      <c r="CD74" s="59">
        <f ca="1">AVERAGE(OFFSET($CC$3,0,0,'Données projet'!$E$12+1,1))-AVERAGE(OFFSET($H$3,0,0,'Données projet'!$E$12+1,1))</f>
        <v>264.08050363622294</v>
      </c>
      <c r="CE74" s="59">
        <f t="shared" si="94"/>
        <v>164.48884512322883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194.7221767407824</v>
      </c>
      <c r="CZ74" s="59">
        <f t="shared" si="96"/>
        <v>177.6550559568646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163.15990637674426</v>
      </c>
      <c r="DG74" s="21">
        <f>EXP(-LN(2)/25)*DG73+(1-EXP(-LN(2)/25))/(LN(2)/25)*Calculateur!DB74*Calculateur!DD74*VLOOKUP('Données projet'!$B$13,Paramètres!$A$1:$I$89,3,0)*0.475*44/12</f>
        <v>42.629818875124343</v>
      </c>
      <c r="DH74" s="21">
        <f>EXP(-LN(2)/2)*DH73+(1-EXP(-LN(2)/2))/(LN(2)/2)*DB74*DE74*VLOOKUP('Données projet'!$B$13,Paramètres!$A$1:$I$89,3,0)*0.475*44/12</f>
        <v>22.27057885767687</v>
      </c>
      <c r="DI74" s="22">
        <f t="shared" si="69"/>
        <v>228.06030410954548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>
        <f>VLOOKUP(A74,'Données projet'!$A$165:$I$185,2,0)</f>
        <v>413.95384615384614</v>
      </c>
      <c r="DM74" s="12">
        <f>VLOOKUP(A74,'Données projet'!$A$165:$I$185,9,0)</f>
        <v>13.737499999999997</v>
      </c>
      <c r="DN74" s="12">
        <f t="array" ref="DN74">INDEX(DM:DM,MIN(IF(ISNUMBER(DM74:DM270),ROW(DM74:DM270),"")))</f>
        <v>13.737499999999997</v>
      </c>
      <c r="DO74" s="12">
        <f>IF('Données projet'!$A$166&gt;35,DO73+DN74-DW73,IF(A74&lt;'Données projet'!$A$166,$DL$205^A74,IF(A74='Données projet'!$A$166,'Données projet'!$B$166,DO73+DN74-DW73)))</f>
        <v>413.9538461538462</v>
      </c>
      <c r="DP74" s="17">
        <f>DO74*VLOOKUP('Données projet'!$B$14,Paramètres!$A$1:$I$89,3,0)*VLOOKUP('Données projet'!$B$14,Paramètres!$A$1:$I$89,5,0)</f>
        <v>193.73040000000003</v>
      </c>
      <c r="DQ74" s="13">
        <f t="shared" si="97"/>
        <v>48.363755728631737</v>
      </c>
      <c r="DR74" s="20">
        <f t="shared" si="70"/>
        <v>421.647321227367</v>
      </c>
      <c r="DS74" s="59">
        <f t="shared" si="71"/>
        <v>714.98065456070026</v>
      </c>
      <c r="DT74" s="59">
        <f ca="1">AVERAGE(OFFSET($DS$3,0,0,'Données projet'!$E$14+1,1))-AVERAGE(OFFSET($H$3,0,0,'Données projet'!$E$14+1,1))</f>
        <v>207.25176714718668</v>
      </c>
      <c r="DU74" s="59">
        <f t="shared" si="98"/>
        <v>191.53228014642559</v>
      </c>
      <c r="DV74" s="15">
        <f>IF(ISNA(VLOOKUP(A74,'Données projet'!$A$165:$I$185,3,0)),0,VLOOKUP(A74,'Données projet'!$A$165:$I$185,3,0))</f>
        <v>5</v>
      </c>
      <c r="DW74" s="15">
        <f>IF(ISNA(VLOOKUP(A74,'Données projet'!$A$165:$I$185,4,0)),0,VLOOKUP(A74,'Données projet'!$A$165:$I$185,4,0))</f>
        <v>80.399999999999991</v>
      </c>
      <c r="DX74" s="16">
        <f>IF(ISNA(VLOOKUP(A74,'Données projet'!$A$165:$I$185,5,0)),0%,VLOOKUP(A74,'Données projet'!$A$165:$I$185,5,0)*VLOOKUP('Données projet'!$B$14,Paramètres!$A$1:$I$89,7,0))</f>
        <v>0.38500000000000001</v>
      </c>
      <c r="DY74" s="16">
        <f>IF(ISNA(VLOOKUP(A74,'Données projet'!$A$165:$I$185,6,0)),0%,VLOOKUP(A74,'Données projet'!$A$165:$I$185,6,0)*VLOOKUP('Données projet'!$B$14,Paramètres!$A$1:$I$89,7,0))</f>
        <v>9.240000000000001E-2</v>
      </c>
      <c r="DZ74" s="16">
        <f>IF(ISNA(VLOOKUP(A74,'Données projet'!$A$165:$I$185,7,0)),0%,VLOOKUP(A74,'Données projet'!$A$165:$I$185,7,0))</f>
        <v>0.13200000000000001</v>
      </c>
      <c r="EA74" s="21">
        <f>EXP(-LN(2)/35)*EA73+(1-EXP(-LN(2)/35))/(LN(2)/35)*DW74*DX74*VLOOKUP('Données projet'!$B$14,Paramètres!$A$1:$I$89,3,0)*0.475*44/12</f>
        <v>61.255825119677326</v>
      </c>
      <c r="EB74" s="21">
        <f>EXP(-LN(2)/25)*EB73+(1-EXP(-LN(2)/25))/(LN(2)/25)*Calculateur!DW74*Calculateur!DY74*VLOOKUP('Données projet'!$B$14,Paramètres!$A$1:$I$89,3,0)*0.475*44/12</f>
        <v>28.85509618606541</v>
      </c>
      <c r="EC74" s="21">
        <f>EXP(-LN(2)/2)*EC73+(1-EXP(-LN(2)/2))/(LN(2)/2)*DW74*DZ74*VLOOKUP('Données projet'!$B$14,Paramètres!$A$1:$I$89,3,0)*0.475*44/12</f>
        <v>5.9676324258492643</v>
      </c>
      <c r="ED74" s="22">
        <f t="shared" si="72"/>
        <v>96.078553731591995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-2.8421709430404007E-13</v>
      </c>
      <c r="EK74" s="17">
        <f>EJ74*VLOOKUP('Données projet'!$B$15,Paramètres!$A$1:$I$89,3,0)*VLOOKUP('Données projet'!$B$15,Paramètres!$A$1:$I$89,5,0)</f>
        <v>-1.69961822393816E-13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200.15574321350221</v>
      </c>
      <c r="EP74" s="59">
        <f t="shared" si="100"/>
        <v>200.70728852570426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104.32882034394203</v>
      </c>
      <c r="EW74" s="21">
        <f>EXP(-LN(2)/25)*EW73+(1-EXP(-LN(2)/25))/(LN(2)/25)*Calculateur!ER74*Calculateur!ET74*VLOOKUP('Données projet'!$B$15,Paramètres!$A$1:$I$89,3,0)*0.475*44/12</f>
        <v>26.638705393393799</v>
      </c>
      <c r="EX74" s="21">
        <f>EXP(-LN(2)/2)*EX73+(1-EXP(-LN(2)/2))/(LN(2)/2)*ER74*EU74*VLOOKUP('Données projet'!$B$15,Paramètres!$A$1:$I$89,3,0)*0.475*44/12</f>
        <v>0.70628584104068082</v>
      </c>
      <c r="EY74" s="22">
        <f t="shared" si="75"/>
        <v>131.6738115783765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>
        <f>VLOOKUP(A74,'Données projet'!$A$217:$I$237,2,0)</f>
        <v>243.36538461538464</v>
      </c>
      <c r="FC74" s="12">
        <f>VLOOKUP(A74,'Données projet'!$A$217:$I$237,9,0)</f>
        <v>8.1001602564102626</v>
      </c>
      <c r="FD74" s="12">
        <f t="array" ref="FD74">INDEX(FC:FC,MIN(IF(ISNUMBER(FC74:FC270),ROW(FC74:FC270),"")))</f>
        <v>8.1001602564102626</v>
      </c>
      <c r="FE74" s="12">
        <f>IF('Données projet'!$A$218&gt;35,FE73+FD74-FM73,IF(A74&lt;'Données projet'!$A$218,$FB$205^A74,IF(A74='Données projet'!$A$218,'Données projet'!$B$218,FE73+FD74-FM73)))</f>
        <v>243.36538461538487</v>
      </c>
      <c r="FF74" s="17">
        <f>FE74*VLOOKUP('Données projet'!$B$16,Paramètres!$A$1:$I$89,3,0)*VLOOKUP('Données projet'!$B$16,Paramètres!$A$1:$I$89,5,0)</f>
        <v>261.95850000000024</v>
      </c>
      <c r="FG74" s="13">
        <f t="shared" si="101"/>
        <v>63.139668501077999</v>
      </c>
      <c r="FH74" s="20">
        <f t="shared" si="76"/>
        <v>566.21264347271119</v>
      </c>
      <c r="FI74" s="59">
        <f t="shared" si="77"/>
        <v>859.54597680604456</v>
      </c>
      <c r="FJ74" s="59">
        <f ca="1">AVERAGE(OFFSET($FI$3,0,0,'Données projet'!$E$16+1,1))-AVERAGE(OFFSET($H$3,0,0,'Données projet'!$E$16+1,1))</f>
        <v>347.17049316703486</v>
      </c>
      <c r="FK74" s="59">
        <f t="shared" si="102"/>
        <v>255.45365487683489</v>
      </c>
      <c r="FL74" s="15">
        <f>IF(ISNA(VLOOKUP(A74,'Données projet'!$A$217:$I$237,3,0)),0,VLOOKUP(A74,'Données projet'!$A$217:$I$237,3,0))</f>
        <v>6</v>
      </c>
      <c r="FM74" s="15">
        <f>IF(ISNA(VLOOKUP(A74,'Données projet'!$A$217:$I$237,4,0)),0,VLOOKUP(A74,'Données projet'!$A$217:$I$237,4,0))</f>
        <v>39.935897435897431</v>
      </c>
      <c r="FN74" s="16">
        <f>IF(ISNA(VLOOKUP(A74,'Données projet'!$A$217:$I$237,5,0)),0%,VLOOKUP(A74,'Données projet'!$A$217:$I$237,5,0)*VLOOKUP('Données projet'!$B$16,Paramètres!$A$1:$I$89,7,0))</f>
        <v>0.30099999999999999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27.058473421776398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27.058473421776398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7">
        <f t="shared" si="56"/>
        <v>369.97966500333087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266.02599413192075</v>
      </c>
      <c r="T75" s="59">
        <f t="shared" si="88"/>
        <v>332.94146254783254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7.8425925925925934</v>
      </c>
      <c r="AI75" s="13">
        <f>IF('Données projet'!$A$62&gt;35,AI74+AH75-AQ74,IF(A75&lt;'Données projet'!$A$62,$AF$205^A75,IF(A75='Données projet'!$A$62,'Données projet'!$B$62,AI74+AH75-AQ74)))</f>
        <v>211.27207977208002</v>
      </c>
      <c r="AJ75" s="13">
        <f>AI75*VLOOKUP('Données projet'!$B$10,Paramètres!$A$1:$I$89,3,0)*VLOOKUP('Données projet'!$B$10,Paramètres!$A$1:$I$89,5,0)</f>
        <v>191.15897777777801</v>
      </c>
      <c r="AK75" s="13">
        <f t="shared" si="89"/>
        <v>47.796095622022989</v>
      </c>
      <c r="AL75" s="20">
        <f t="shared" si="58"/>
        <v>416.18008617132006</v>
      </c>
      <c r="AM75" s="59">
        <f t="shared" si="59"/>
        <v>709.51341950465337</v>
      </c>
      <c r="AN75" s="59">
        <f ca="1">AVERAGE(OFFSET($AM$3,0,0,'Données projet'!$E$10+1,1))-AVERAGE(OFFSET($H$3,0,0,'Données projet'!$E$10+1,1))</f>
        <v>282.13645166362238</v>
      </c>
      <c r="AO75" s="59">
        <f t="shared" si="90"/>
        <v>210.5345332979457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22.298792017345534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22.298792017345534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254.6443970237226</v>
      </c>
      <c r="BJ75" s="59">
        <f t="shared" si="92"/>
        <v>231.81667808018062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202.30290957669831</v>
      </c>
      <c r="BQ75" s="21">
        <f>EXP(-LN(2)/25)*BQ74+(1-EXP(-LN(2)/25))/(LN(2)/25)*Calculateur!BL75*Calculateur!BN75*VLOOKUP('Données projet'!$B$11,Paramètres!$A$1:$I$89,3,0)*0.475*44/12</f>
        <v>52.439896533991494</v>
      </c>
      <c r="BR75" s="21">
        <f>EXP(-LN(2)/2)*BR74+(1-EXP(-LN(2)/2))/(LN(2)/2)*BL75*BO75*VLOOKUP('Données projet'!$B$11,Paramètres!$A$1:$I$89,3,0)*0.475*44/12</f>
        <v>19.916180154181237</v>
      </c>
      <c r="BS75" s="22">
        <f t="shared" si="63"/>
        <v>274.65898626487103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5.6899038461538431</v>
      </c>
      <c r="BY75" s="12">
        <f>IF('Données projet'!$A$114&gt;35,BY74+BX75-CG74,IF(A75&lt;'Données projet'!$A$114,$BV$205^A75,IF(A75='Données projet'!$A$114,'Données projet'!$B$114,BY74+BX75-CG74)))</f>
        <v>164.31490384615381</v>
      </c>
      <c r="BZ75" s="13">
        <f>BY75*VLOOKUP('Données projet'!$B$12,Paramètres!$A$1:$I$89,3,0)*VLOOKUP('Données projet'!$B$12,Paramètres!$A$1:$I$89,5,0)</f>
        <v>166.61531249999999</v>
      </c>
      <c r="CA75" s="13">
        <f t="shared" si="93"/>
        <v>42.331081196606618</v>
      </c>
      <c r="CB75" s="20">
        <f t="shared" si="64"/>
        <v>363.9149690215898</v>
      </c>
      <c r="CC75" s="59">
        <f t="shared" si="65"/>
        <v>657.24830235492311</v>
      </c>
      <c r="CD75" s="59">
        <f ca="1">AVERAGE(OFFSET($CC$3,0,0,'Données projet'!$E$12+1,1))-AVERAGE(OFFSET($H$3,0,0,'Données projet'!$E$12+1,1))</f>
        <v>264.08050363622294</v>
      </c>
      <c r="CE75" s="59">
        <f t="shared" si="94"/>
        <v>164.48884512322883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194.7221767407824</v>
      </c>
      <c r="CZ75" s="59">
        <f t="shared" si="96"/>
        <v>177.6550559568646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159.96044013041265</v>
      </c>
      <c r="DG75" s="21">
        <f>EXP(-LN(2)/25)*DG74+(1-EXP(-LN(2)/25))/(LN(2)/25)*Calculateur!DB75*Calculateur!DD75*VLOOKUP('Données projet'!$B$13,Paramètres!$A$1:$I$89,3,0)*0.475*44/12</f>
        <v>41.464104236179324</v>
      </c>
      <c r="DH75" s="21">
        <f>EXP(-LN(2)/2)*DH74+(1-EXP(-LN(2)/2))/(LN(2)/2)*DB75*DE75*VLOOKUP('Données projet'!$B$13,Paramètres!$A$1:$I$89,3,0)*0.475*44/12</f>
        <v>15.747677331213071</v>
      </c>
      <c r="DI75" s="22">
        <f t="shared" si="69"/>
        <v>217.17222169780507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12.913461538461533</v>
      </c>
      <c r="DO75" s="12">
        <f>IF('Données projet'!$A$166&gt;35,DO74+DN75-DW74,IF(A75&lt;'Données projet'!$A$166,$DL$205^A75,IF(A75='Données projet'!$A$166,'Données projet'!$B$166,DO74+DN75-DW74)))</f>
        <v>346.46730769230777</v>
      </c>
      <c r="DP75" s="17">
        <f>DO75*VLOOKUP('Données projet'!$B$14,Paramètres!$A$1:$I$89,3,0)*VLOOKUP('Données projet'!$B$14,Paramètres!$A$1:$I$89,5,0)</f>
        <v>162.14670000000004</v>
      </c>
      <c r="DQ75" s="13">
        <f t="shared" si="97"/>
        <v>41.326333369414826</v>
      </c>
      <c r="DR75" s="20">
        <f t="shared" si="70"/>
        <v>354.38219978506419</v>
      </c>
      <c r="DS75" s="59">
        <f t="shared" si="71"/>
        <v>647.7155331183975</v>
      </c>
      <c r="DT75" s="59">
        <f ca="1">AVERAGE(OFFSET($DS$3,0,0,'Données projet'!$E$14+1,1))-AVERAGE(OFFSET($H$3,0,0,'Données projet'!$E$14+1,1))</f>
        <v>207.25176714718668</v>
      </c>
      <c r="DU75" s="59">
        <f t="shared" si="98"/>
        <v>191.53228014642559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60.05463575144455</v>
      </c>
      <c r="EB75" s="21">
        <f>EXP(-LN(2)/25)*EB74+(1-EXP(-LN(2)/25))/(LN(2)/25)*Calculateur!DW75*Calculateur!DY75*VLOOKUP('Données projet'!$B$14,Paramètres!$A$1:$I$89,3,0)*0.475*44/12</f>
        <v>28.066052063433894</v>
      </c>
      <c r="EC75" s="21">
        <f>EXP(-LN(2)/2)*EC74+(1-EXP(-LN(2)/2))/(LN(2)/2)*DW75*DZ75*VLOOKUP('Données projet'!$B$14,Paramètres!$A$1:$I$89,3,0)*0.475*44/12</f>
        <v>4.2197533559467422</v>
      </c>
      <c r="ED75" s="22">
        <f t="shared" si="72"/>
        <v>92.340441170825173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-2.8421709430404007E-13</v>
      </c>
      <c r="EK75" s="17">
        <f>EJ75*VLOOKUP('Données projet'!$B$15,Paramètres!$A$1:$I$89,3,0)*VLOOKUP('Données projet'!$B$15,Paramètres!$A$1:$I$89,5,0)</f>
        <v>-1.69961822393816E-13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200.15574321350221</v>
      </c>
      <c r="EP75" s="59">
        <f t="shared" si="100"/>
        <v>200.70728852570426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102.28299581129437</v>
      </c>
      <c r="EW75" s="21">
        <f>EXP(-LN(2)/25)*EW74+(1-EXP(-LN(2)/25))/(LN(2)/25)*Calculateur!ER75*Calculateur!ET75*VLOOKUP('Données projet'!$B$15,Paramètres!$A$1:$I$89,3,0)*0.475*44/12</f>
        <v>25.910268593542813</v>
      </c>
      <c r="EX75" s="21">
        <f>EXP(-LN(2)/2)*EX74+(1-EXP(-LN(2)/2))/(LN(2)/2)*ER75*EU75*VLOOKUP('Données projet'!$B$15,Paramètres!$A$1:$I$89,3,0)*0.475*44/12</f>
        <v>0.49941950765590942</v>
      </c>
      <c r="EY75" s="22">
        <f t="shared" si="75"/>
        <v>128.6926839124931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7.8425925925925934</v>
      </c>
      <c r="FE75" s="12">
        <f>IF('Données projet'!$A$218&gt;35,FE74+FD75-FM74,IF(A75&lt;'Données projet'!$A$218,$FB$205^A75,IF(A75='Données projet'!$A$218,'Données projet'!$B$218,FE74+FD75-FM74)))</f>
        <v>211.27207977208002</v>
      </c>
      <c r="FF75" s="17">
        <f>FE75*VLOOKUP('Données projet'!$B$16,Paramètres!$A$1:$I$89,3,0)*VLOOKUP('Données projet'!$B$16,Paramètres!$A$1:$I$89,5,0)</f>
        <v>227.41326666666691</v>
      </c>
      <c r="FG75" s="13">
        <f t="shared" si="101"/>
        <v>55.723001664055822</v>
      </c>
      <c r="FH75" s="20">
        <f t="shared" si="76"/>
        <v>493.12900067600873</v>
      </c>
      <c r="FI75" s="59">
        <f t="shared" si="77"/>
        <v>786.46233400934204</v>
      </c>
      <c r="FJ75" s="59">
        <f ca="1">AVERAGE(OFFSET($FI$3,0,0,'Données projet'!$E$16+1,1))-AVERAGE(OFFSET($H$3,0,0,'Données projet'!$E$16+1,1))</f>
        <v>347.17049316703486</v>
      </c>
      <c r="FK75" s="59">
        <f t="shared" si="102"/>
        <v>255.45365487683489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26.527873262014513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26.527873262014513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7">
        <f t="shared" si="56"/>
        <v>371.01498621677661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266.02599413192075</v>
      </c>
      <c r="T76" s="59">
        <f t="shared" si="88"/>
        <v>332.94146254783254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7.8425925925925934</v>
      </c>
      <c r="AI76" s="13">
        <f>IF('Données projet'!$A$62&gt;35,AI75+AH76-AQ75,IF(A76&lt;'Données projet'!$A$62,$AF$205^A76,IF(A76='Données projet'!$A$62,'Données projet'!$B$62,AI75+AH76-AQ75)))</f>
        <v>219.1146723646726</v>
      </c>
      <c r="AJ76" s="13">
        <f>AI76*VLOOKUP('Données projet'!$B$10,Paramètres!$A$1:$I$89,3,0)*VLOOKUP('Données projet'!$B$10,Paramètres!$A$1:$I$89,5,0)</f>
        <v>198.25495555555577</v>
      </c>
      <c r="AK76" s="13">
        <f t="shared" si="89"/>
        <v>49.360464390082804</v>
      </c>
      <c r="AL76" s="20">
        <f t="shared" si="58"/>
        <v>431.26352307198721</v>
      </c>
      <c r="AM76" s="59">
        <f t="shared" si="59"/>
        <v>724.59685640532052</v>
      </c>
      <c r="AN76" s="59">
        <f ca="1">AVERAGE(OFFSET($AM$3,0,0,'Données projet'!$E$10+1,1))-AVERAGE(OFFSET($H$3,0,0,'Données projet'!$E$10+1,1))</f>
        <v>282.13645166362238</v>
      </c>
      <c r="AO76" s="59">
        <f t="shared" si="90"/>
        <v>210.5345332979457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21.861526306805541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21.861526306805541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254.6443970237226</v>
      </c>
      <c r="BJ76" s="59">
        <f t="shared" si="92"/>
        <v>231.81667808018062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198.33587291249009</v>
      </c>
      <c r="BQ76" s="21">
        <f>EXP(-LN(2)/25)*BQ75+(1-EXP(-LN(2)/25))/(LN(2)/25)*Calculateur!BL76*Calculateur!BN76*VLOOKUP('Données projet'!$B$11,Paramètres!$A$1:$I$89,3,0)*0.475*44/12</f>
        <v>51.005924805575191</v>
      </c>
      <c r="BR76" s="21">
        <f>EXP(-LN(2)/2)*BR75+(1-EXP(-LN(2)/2))/(LN(2)/2)*BL76*BO76*VLOOKUP('Données projet'!$B$11,Paramètres!$A$1:$I$89,3,0)*0.475*44/12</f>
        <v>14.082866042354494</v>
      </c>
      <c r="BS76" s="22">
        <f t="shared" si="63"/>
        <v>263.42466376041978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5.6899038461538431</v>
      </c>
      <c r="BY76" s="12">
        <f>IF('Données projet'!$A$114&gt;35,BY75+BX76-CG75,IF(A76&lt;'Données projet'!$A$114,$BV$205^A76,IF(A76='Données projet'!$A$114,'Données projet'!$B$114,BY75+BX76-CG75)))</f>
        <v>170.00480769230765</v>
      </c>
      <c r="BZ76" s="13">
        <f>BY76*VLOOKUP('Données projet'!$B$12,Paramètres!$A$1:$I$89,3,0)*VLOOKUP('Données projet'!$B$12,Paramètres!$A$1:$I$89,5,0)</f>
        <v>172.38487499999997</v>
      </c>
      <c r="CA76" s="13">
        <f t="shared" si="93"/>
        <v>43.623722408092668</v>
      </c>
      <c r="CB76" s="20">
        <f t="shared" si="64"/>
        <v>376.21497381909467</v>
      </c>
      <c r="CC76" s="59">
        <f t="shared" si="65"/>
        <v>669.54830715242792</v>
      </c>
      <c r="CD76" s="59">
        <f ca="1">AVERAGE(OFFSET($CC$3,0,0,'Données projet'!$E$12+1,1))-AVERAGE(OFFSET($H$3,0,0,'Données projet'!$E$12+1,1))</f>
        <v>264.08050363622294</v>
      </c>
      <c r="CE76" s="59">
        <f t="shared" si="94"/>
        <v>164.48884512322883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194.7221767407824</v>
      </c>
      <c r="CZ76" s="59">
        <f t="shared" si="96"/>
        <v>177.6550559568646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156.82371346568988</v>
      </c>
      <c r="DG76" s="21">
        <f>EXP(-LN(2)/25)*DG75+(1-EXP(-LN(2)/25))/(LN(2)/25)*Calculateur!DB76*Calculateur!DD76*VLOOKUP('Données projet'!$B$13,Paramètres!$A$1:$I$89,3,0)*0.475*44/12</f>
        <v>40.330266125338525</v>
      </c>
      <c r="DH76" s="21">
        <f>EXP(-LN(2)/2)*DH75+(1-EXP(-LN(2)/2))/(LN(2)/2)*DB76*DE76*VLOOKUP('Données projet'!$B$13,Paramètres!$A$1:$I$89,3,0)*0.475*44/12</f>
        <v>11.135289428838437</v>
      </c>
      <c r="DI76" s="22">
        <f t="shared" si="69"/>
        <v>208.28926901986685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12.913461538461533</v>
      </c>
      <c r="DO76" s="12">
        <f>IF('Données projet'!$A$166&gt;35,DO75+DN76-DW75,IF(A76&lt;'Données projet'!$A$166,$DL$205^A76,IF(A76='Données projet'!$A$166,'Données projet'!$B$166,DO75+DN76-DW75)))</f>
        <v>359.38076923076932</v>
      </c>
      <c r="DP76" s="17">
        <f>DO76*VLOOKUP('Données projet'!$B$14,Paramètres!$A$1:$I$89,3,0)*VLOOKUP('Données projet'!$B$14,Paramètres!$A$1:$I$89,5,0)</f>
        <v>168.19020000000003</v>
      </c>
      <c r="DQ76" s="13">
        <f t="shared" si="97"/>
        <v>42.684436447240749</v>
      </c>
      <c r="DR76" s="20">
        <f t="shared" si="70"/>
        <v>367.27332514561107</v>
      </c>
      <c r="DS76" s="59">
        <f t="shared" si="71"/>
        <v>660.60665847894438</v>
      </c>
      <c r="DT76" s="59">
        <f ca="1">AVERAGE(OFFSET($DS$3,0,0,'Données projet'!$E$14+1,1))-AVERAGE(OFFSET($H$3,0,0,'Données projet'!$E$14+1,1))</f>
        <v>207.25176714718668</v>
      </c>
      <c r="DU76" s="59">
        <f t="shared" si="98"/>
        <v>191.53228014642559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58.877000974069645</v>
      </c>
      <c r="EB76" s="21">
        <f>EXP(-LN(2)/25)*EB75+(1-EXP(-LN(2)/25))/(LN(2)/25)*Calculateur!DW76*Calculateur!DY76*VLOOKUP('Données projet'!$B$14,Paramètres!$A$1:$I$89,3,0)*0.475*44/12</f>
        <v>27.298584393829763</v>
      </c>
      <c r="EC76" s="21">
        <f>EXP(-LN(2)/2)*EC75+(1-EXP(-LN(2)/2))/(LN(2)/2)*DW76*DZ76*VLOOKUP('Données projet'!$B$14,Paramètres!$A$1:$I$89,3,0)*0.475*44/12</f>
        <v>2.9838162129246326</v>
      </c>
      <c r="ED76" s="22">
        <f t="shared" si="72"/>
        <v>89.159401580824039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-2.8421709430404007E-13</v>
      </c>
      <c r="EK76" s="17">
        <f>EJ76*VLOOKUP('Données projet'!$B$15,Paramètres!$A$1:$I$89,3,0)*VLOOKUP('Données projet'!$B$15,Paramètres!$A$1:$I$89,5,0)</f>
        <v>-1.69961822393816E-13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200.15574321350221</v>
      </c>
      <c r="EP76" s="59">
        <f t="shared" si="100"/>
        <v>200.70728852570426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100.27728864990218</v>
      </c>
      <c r="EW76" s="21">
        <f>EXP(-LN(2)/25)*EW75+(1-EXP(-LN(2)/25))/(LN(2)/25)*Calculateur!ER76*Calculateur!ET76*VLOOKUP('Données projet'!$B$15,Paramètres!$A$1:$I$89,3,0)*0.475*44/12</f>
        <v>25.20175093629058</v>
      </c>
      <c r="EX76" s="21">
        <f>EXP(-LN(2)/2)*EX75+(1-EXP(-LN(2)/2))/(LN(2)/2)*ER76*EU76*VLOOKUP('Données projet'!$B$15,Paramètres!$A$1:$I$89,3,0)*0.475*44/12</f>
        <v>0.35314292052034046</v>
      </c>
      <c r="EY76" s="22">
        <f t="shared" si="75"/>
        <v>125.8321825067131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7.8425925925925934</v>
      </c>
      <c r="FE76" s="12">
        <f>IF('Données projet'!$A$218&gt;35,FE75+FD76-FM75,IF(A76&lt;'Données projet'!$A$218,$FB$205^A76,IF(A76='Données projet'!$A$218,'Données projet'!$B$218,FE75+FD76-FM75)))</f>
        <v>219.1146723646726</v>
      </c>
      <c r="FF76" s="17">
        <f>FE76*VLOOKUP('Données projet'!$B$16,Paramètres!$A$1:$I$89,3,0)*VLOOKUP('Données projet'!$B$16,Paramètres!$A$1:$I$89,5,0)</f>
        <v>235.85503333333361</v>
      </c>
      <c r="FG76" s="13">
        <f t="shared" si="101"/>
        <v>57.546818491169745</v>
      </c>
      <c r="FH76" s="20">
        <f t="shared" si="76"/>
        <v>511.00822526101001</v>
      </c>
      <c r="FI76" s="59">
        <f t="shared" si="77"/>
        <v>804.34155859434327</v>
      </c>
      <c r="FJ76" s="59">
        <f ca="1">AVERAGE(OFFSET($FI$3,0,0,'Données projet'!$E$16+1,1))-AVERAGE(OFFSET($H$3,0,0,'Données projet'!$E$16+1,1))</f>
        <v>347.17049316703486</v>
      </c>
      <c r="FK76" s="59">
        <f t="shared" si="102"/>
        <v>255.45365487683489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26.007677847751417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26.007677847751417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7">
        <f t="shared" si="56"/>
        <v>372.04995655117563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266.02599413192075</v>
      </c>
      <c r="T77" s="59">
        <f t="shared" si="88"/>
        <v>332.94146254783254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7.8425925925925934</v>
      </c>
      <c r="AI77" s="13">
        <f>IF('Données projet'!$A$62&gt;35,AI76+AH77-AQ76,IF(A77&lt;'Données projet'!$A$62,$AF$205^A77,IF(A77='Données projet'!$A$62,'Données projet'!$B$62,AI76+AH77-AQ76)))</f>
        <v>226.95726495726518</v>
      </c>
      <c r="AJ77" s="13">
        <f>AI77*VLOOKUP('Données projet'!$B$10,Paramètres!$A$1:$I$89,3,0)*VLOOKUP('Données projet'!$B$10,Paramètres!$A$1:$I$89,5,0)</f>
        <v>205.35093333333353</v>
      </c>
      <c r="AK77" s="13">
        <f t="shared" si="89"/>
        <v>50.91832775961656</v>
      </c>
      <c r="AL77" s="20">
        <f t="shared" si="58"/>
        <v>446.33562973688805</v>
      </c>
      <c r="AM77" s="59">
        <f t="shared" si="59"/>
        <v>739.66896307022137</v>
      </c>
      <c r="AN77" s="59">
        <f ca="1">AVERAGE(OFFSET($AM$3,0,0,'Données projet'!$E$10+1,1))-AVERAGE(OFFSET($H$3,0,0,'Données projet'!$E$10+1,1))</f>
        <v>282.13645166362238</v>
      </c>
      <c r="AO77" s="59">
        <f t="shared" si="90"/>
        <v>210.5345332979457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21.432835110143486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21.432835110143486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254.6443970237226</v>
      </c>
      <c r="BJ77" s="59">
        <f t="shared" si="92"/>
        <v>231.81667808018062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194.44662741761354</v>
      </c>
      <c r="BQ77" s="21">
        <f>EXP(-LN(2)/25)*BQ76+(1-EXP(-LN(2)/25))/(LN(2)/25)*Calculateur!BL77*Calculateur!BN77*VLOOKUP('Données projet'!$B$11,Paramètres!$A$1:$I$89,3,0)*0.475*44/12</f>
        <v>49.611165109481725</v>
      </c>
      <c r="BR77" s="21">
        <f>EXP(-LN(2)/2)*BR76+(1-EXP(-LN(2)/2))/(LN(2)/2)*BL77*BO77*VLOOKUP('Données projet'!$B$11,Paramètres!$A$1:$I$89,3,0)*0.475*44/12</f>
        <v>9.9580900770906204</v>
      </c>
      <c r="BS77" s="22">
        <f t="shared" si="63"/>
        <v>254.01588260418589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5.6899038461538431</v>
      </c>
      <c r="BY77" s="12">
        <f>IF('Données projet'!$A$114&gt;35,BY76+BX77-CG76,IF(A77&lt;'Données projet'!$A$114,$BV$205^A77,IF(A77='Données projet'!$A$114,'Données projet'!$B$114,BY76+BX77-CG76)))</f>
        <v>175.69471153846149</v>
      </c>
      <c r="BZ77" s="13">
        <f>BY77*VLOOKUP('Données projet'!$B$12,Paramètres!$A$1:$I$89,3,0)*VLOOKUP('Données projet'!$B$12,Paramètres!$A$1:$I$89,5,0)</f>
        <v>178.15443749999994</v>
      </c>
      <c r="CA77" s="13">
        <f t="shared" si="93"/>
        <v>44.911336552510832</v>
      </c>
      <c r="CB77" s="20">
        <f t="shared" si="64"/>
        <v>388.50622314145625</v>
      </c>
      <c r="CC77" s="59">
        <f t="shared" si="65"/>
        <v>681.83955647478956</v>
      </c>
      <c r="CD77" s="59">
        <f ca="1">AVERAGE(OFFSET($CC$3,0,0,'Données projet'!$E$12+1,1))-AVERAGE(OFFSET($H$3,0,0,'Données projet'!$E$12+1,1))</f>
        <v>264.08050363622294</v>
      </c>
      <c r="CE77" s="59">
        <f t="shared" si="94"/>
        <v>164.48884512322883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194.7221767407824</v>
      </c>
      <c r="CZ77" s="59">
        <f t="shared" si="96"/>
        <v>177.6550559568646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153.74849609764797</v>
      </c>
      <c r="DG77" s="21">
        <f>EXP(-LN(2)/25)*DG76+(1-EXP(-LN(2)/25))/(LN(2)/25)*Calculateur!DB77*Calculateur!DD77*VLOOKUP('Données projet'!$B$13,Paramètres!$A$1:$I$89,3,0)*0.475*44/12</f>
        <v>39.227432877264626</v>
      </c>
      <c r="DH77" s="21">
        <f>EXP(-LN(2)/2)*DH76+(1-EXP(-LN(2)/2))/(LN(2)/2)*DB77*DE77*VLOOKUP('Données projet'!$B$13,Paramètres!$A$1:$I$89,3,0)*0.475*44/12</f>
        <v>7.8738386656065371</v>
      </c>
      <c r="DI77" s="22">
        <f t="shared" si="69"/>
        <v>200.84976764051913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12.913461538461533</v>
      </c>
      <c r="DO77" s="12">
        <f>IF('Données projet'!$A$166&gt;35,DO76+DN77-DW76,IF(A77&lt;'Données projet'!$A$166,$DL$205^A77,IF(A77='Données projet'!$A$166,'Données projet'!$B$166,DO76+DN77-DW76)))</f>
        <v>372.29423076923086</v>
      </c>
      <c r="DP77" s="17">
        <f>DO77*VLOOKUP('Données projet'!$B$14,Paramètres!$A$1:$I$89,3,0)*VLOOKUP('Données projet'!$B$14,Paramètres!$A$1:$I$89,5,0)</f>
        <v>174.23370000000006</v>
      </c>
      <c r="DQ77" s="13">
        <f t="shared" si="97"/>
        <v>44.036869769028705</v>
      </c>
      <c r="DR77" s="20">
        <f t="shared" si="70"/>
        <v>380.15457568105836</v>
      </c>
      <c r="DS77" s="59">
        <f t="shared" si="71"/>
        <v>673.48790901439168</v>
      </c>
      <c r="DT77" s="59">
        <f ca="1">AVERAGE(OFFSET($DS$3,0,0,'Données projet'!$E$14+1,1))-AVERAGE(OFFSET($H$3,0,0,'Données projet'!$E$14+1,1))</f>
        <v>207.25176714718668</v>
      </c>
      <c r="DU77" s="59">
        <f t="shared" si="98"/>
        <v>191.53228014642559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57.722458896392773</v>
      </c>
      <c r="EB77" s="21">
        <f>EXP(-LN(2)/25)*EB76+(1-EXP(-LN(2)/25))/(LN(2)/25)*Calculateur!DW77*Calculateur!DY77*VLOOKUP('Données projet'!$B$14,Paramètres!$A$1:$I$89,3,0)*0.475*44/12</f>
        <v>26.552103168010326</v>
      </c>
      <c r="EC77" s="21">
        <f>EXP(-LN(2)/2)*EC76+(1-EXP(-LN(2)/2))/(LN(2)/2)*DW77*DZ77*VLOOKUP('Données projet'!$B$14,Paramètres!$A$1:$I$89,3,0)*0.475*44/12</f>
        <v>2.1098766779733711</v>
      </c>
      <c r="ED77" s="22">
        <f t="shared" si="72"/>
        <v>86.384438742376474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-2.8421709430404007E-13</v>
      </c>
      <c r="EK77" s="17">
        <f>EJ77*VLOOKUP('Données projet'!$B$15,Paramètres!$A$1:$I$89,3,0)*VLOOKUP('Données projet'!$B$15,Paramètres!$A$1:$I$89,5,0)</f>
        <v>-1.69961822393816E-13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200.15574321350221</v>
      </c>
      <c r="EP77" s="59">
        <f t="shared" si="100"/>
        <v>200.70728852570426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98.310912182584318</v>
      </c>
      <c r="EW77" s="21">
        <f>EXP(-LN(2)/25)*EW76+(1-EXP(-LN(2)/25))/(LN(2)/25)*Calculateur!ER77*Calculateur!ET77*VLOOKUP('Données projet'!$B$15,Paramètres!$A$1:$I$89,3,0)*0.475*44/12</f>
        <v>24.512607731635232</v>
      </c>
      <c r="EX77" s="21">
        <f>EXP(-LN(2)/2)*EX76+(1-EXP(-LN(2)/2))/(LN(2)/2)*ER77*EU77*VLOOKUP('Données projet'!$B$15,Paramètres!$A$1:$I$89,3,0)*0.475*44/12</f>
        <v>0.24970975382795474</v>
      </c>
      <c r="EY77" s="22">
        <f t="shared" si="75"/>
        <v>123.0732296680475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7.8425925925925934</v>
      </c>
      <c r="FE77" s="12">
        <f>IF('Données projet'!$A$218&gt;35,FE76+FD77-FM76,IF(A77&lt;'Données projet'!$A$218,$FB$205^A77,IF(A77='Données projet'!$A$218,'Données projet'!$B$218,FE76+FD77-FM76)))</f>
        <v>226.95726495726518</v>
      </c>
      <c r="FF77" s="17">
        <f>FE77*VLOOKUP('Données projet'!$B$16,Paramètres!$A$1:$I$89,3,0)*VLOOKUP('Données projet'!$B$16,Paramètres!$A$1:$I$89,5,0)</f>
        <v>244.29680000000022</v>
      </c>
      <c r="FG77" s="13">
        <f t="shared" si="101"/>
        <v>59.363051009813063</v>
      </c>
      <c r="FH77" s="20">
        <f t="shared" si="76"/>
        <v>528.87424050875813</v>
      </c>
      <c r="FI77" s="59">
        <f t="shared" si="77"/>
        <v>822.20757384209151</v>
      </c>
      <c r="FJ77" s="59">
        <f ca="1">AVERAGE(OFFSET($FI$3,0,0,'Données projet'!$E$16+1,1))-AVERAGE(OFFSET($H$3,0,0,'Données projet'!$E$16+1,1))</f>
        <v>347.17049316703486</v>
      </c>
      <c r="FK77" s="59">
        <f t="shared" si="102"/>
        <v>255.45365487683489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25.497683148274145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25.497683148274145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7">
        <f t="shared" si="56"/>
        <v>373.08458129622272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266.02599413192075</v>
      </c>
      <c r="T78" s="59">
        <f t="shared" si="88"/>
        <v>332.94146254783254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7.8425925925925934</v>
      </c>
      <c r="AI78" s="13">
        <f>IF('Données projet'!$A$62&gt;35,AI77+AH78-AQ77,IF(A78&lt;'Données projet'!$A$62,$AF$205^A78,IF(A78='Données projet'!$A$62,'Données projet'!$B$62,AI77+AH78-AQ77)))</f>
        <v>234.79985754985776</v>
      </c>
      <c r="AJ78" s="13">
        <f>AI78*VLOOKUP('Données projet'!$B$10,Paramètres!$A$1:$I$89,3,0)*VLOOKUP('Données projet'!$B$10,Paramètres!$A$1:$I$89,5,0)</f>
        <v>212.44691111111132</v>
      </c>
      <c r="AK78" s="13">
        <f t="shared" si="89"/>
        <v>52.469936290697497</v>
      </c>
      <c r="AL78" s="20">
        <f t="shared" si="58"/>
        <v>461.39684255815035</v>
      </c>
      <c r="AM78" s="59">
        <f t="shared" si="59"/>
        <v>754.73017589148367</v>
      </c>
      <c r="AN78" s="59">
        <f ca="1">AVERAGE(OFFSET($AM$3,0,0,'Données projet'!$E$10+1,1))-AVERAGE(OFFSET($H$3,0,0,'Données projet'!$E$10+1,1))</f>
        <v>282.13645166362238</v>
      </c>
      <c r="AO78" s="59">
        <f t="shared" si="90"/>
        <v>210.5345332979457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21.012550286372164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21.012550286372164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254.6443970237226</v>
      </c>
      <c r="BJ78" s="59">
        <f t="shared" si="92"/>
        <v>231.81667808018062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190.633647654686</v>
      </c>
      <c r="BQ78" s="21">
        <f>EXP(-LN(2)/25)*BQ77+(1-EXP(-LN(2)/25))/(LN(2)/25)*Calculateur!BL78*Calculateur!BN78*VLOOKUP('Données projet'!$B$11,Paramètres!$A$1:$I$89,3,0)*0.475*44/12</f>
        <v>48.254545190625159</v>
      </c>
      <c r="BR78" s="21">
        <f>EXP(-LN(2)/2)*BR77+(1-EXP(-LN(2)/2))/(LN(2)/2)*BL78*BO78*VLOOKUP('Données projet'!$B$11,Paramètres!$A$1:$I$89,3,0)*0.475*44/12</f>
        <v>7.041433021177248</v>
      </c>
      <c r="BS78" s="22">
        <f t="shared" si="63"/>
        <v>245.92962586648841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181.38461538461536</v>
      </c>
      <c r="BW78" s="12">
        <f>VLOOKUP(A78,'Données projet'!$A$113:$I$133,9,0)</f>
        <v>5.6899038461538431</v>
      </c>
      <c r="BX78" s="12">
        <f t="array" ref="BX78">INDEX(BW:BW,MIN(IF(ISNUMBER(BW78:BW274),ROW(BW78:BW274),"")))</f>
        <v>5.6899038461538431</v>
      </c>
      <c r="BY78" s="12">
        <f>IF('Données projet'!$A$114&gt;35,BY77+BX78-CG77,IF(A78&lt;'Données projet'!$A$114,$BV$205^A78,IF(A78='Données projet'!$A$114,'Données projet'!$B$114,BY77+BX78-CG77)))</f>
        <v>181.38461538461533</v>
      </c>
      <c r="BZ78" s="13">
        <f>BY78*VLOOKUP('Données projet'!$B$12,Paramètres!$A$1:$I$89,3,0)*VLOOKUP('Données projet'!$B$12,Paramètres!$A$1:$I$89,5,0)</f>
        <v>183.92399999999995</v>
      </c>
      <c r="CA78" s="13">
        <f t="shared" si="93"/>
        <v>46.194105104770117</v>
      </c>
      <c r="CB78" s="20">
        <f t="shared" si="64"/>
        <v>400.78903305747446</v>
      </c>
      <c r="CC78" s="59">
        <f t="shared" si="65"/>
        <v>694.12236639080777</v>
      </c>
      <c r="CD78" s="59">
        <f ca="1">AVERAGE(OFFSET($CC$3,0,0,'Données projet'!$E$12+1,1))-AVERAGE(OFFSET($H$3,0,0,'Données projet'!$E$12+1,1))</f>
        <v>264.08050363622294</v>
      </c>
      <c r="CE78" s="59">
        <f t="shared" si="94"/>
        <v>164.48884512322883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30.916666666666664</v>
      </c>
      <c r="CH78" s="16">
        <f>IF(ISNA(VLOOKUP(A78,'Données projet'!$A$113:$I$133,5,0)),0%,VLOOKUP(A78,'Données projet'!$A$113:$I$133,5,0)*VLOOKUP('Données projet'!$B$12,Paramètres!$A$1:$I$89,7,0))</f>
        <v>0.30099999999999999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10.431439042613633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10.431439042613633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194.7221767407824</v>
      </c>
      <c r="CZ78" s="59">
        <f t="shared" si="96"/>
        <v>177.6550559568646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150.73358186649597</v>
      </c>
      <c r="DG78" s="21">
        <f>EXP(-LN(2)/25)*DG77+(1-EXP(-LN(2)/25))/(LN(2)/25)*Calculateur!DB78*Calculateur!DD78*VLOOKUP('Données projet'!$B$13,Paramètres!$A$1:$I$89,3,0)*0.475*44/12</f>
        <v>38.154756662354785</v>
      </c>
      <c r="DH78" s="21">
        <f>EXP(-LN(2)/2)*DH77+(1-EXP(-LN(2)/2))/(LN(2)/2)*DB78*DE78*VLOOKUP('Données projet'!$B$13,Paramètres!$A$1:$I$89,3,0)*0.475*44/12</f>
        <v>5.5676447144192194</v>
      </c>
      <c r="DI78" s="22">
        <f t="shared" si="69"/>
        <v>194.45598324326997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12.913461538461533</v>
      </c>
      <c r="DO78" s="12">
        <f>IF('Données projet'!$A$166&gt;35,DO77+DN78-DW77,IF(A78&lt;'Données projet'!$A$166,$DL$205^A78,IF(A78='Données projet'!$A$166,'Données projet'!$B$166,DO77+DN78-DW77)))</f>
        <v>385.20769230769241</v>
      </c>
      <c r="DP78" s="17">
        <f>DO78*VLOOKUP('Données projet'!$B$14,Paramètres!$A$1:$I$89,3,0)*VLOOKUP('Données projet'!$B$14,Paramètres!$A$1:$I$89,5,0)</f>
        <v>180.27720000000005</v>
      </c>
      <c r="DQ78" s="13">
        <f t="shared" si="97"/>
        <v>45.383852535093837</v>
      </c>
      <c r="DR78" s="20">
        <f t="shared" si="70"/>
        <v>393.02633316528846</v>
      </c>
      <c r="DS78" s="59">
        <f t="shared" si="71"/>
        <v>686.35966649862178</v>
      </c>
      <c r="DT78" s="59">
        <f ca="1">AVERAGE(OFFSET($DS$3,0,0,'Données projet'!$E$14+1,1))-AVERAGE(OFFSET($H$3,0,0,'Données projet'!$E$14+1,1))</f>
        <v>207.25176714718668</v>
      </c>
      <c r="DU78" s="59">
        <f t="shared" si="98"/>
        <v>191.53228014642559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56.590556684658011</v>
      </c>
      <c r="EB78" s="21">
        <f>EXP(-LN(2)/25)*EB77+(1-EXP(-LN(2)/25))/(LN(2)/25)*Calculateur!DW78*Calculateur!DY78*VLOOKUP('Données projet'!$B$14,Paramètres!$A$1:$I$89,3,0)*0.475*44/12</f>
        <v>25.826034510566664</v>
      </c>
      <c r="EC78" s="21">
        <f>EXP(-LN(2)/2)*EC77+(1-EXP(-LN(2)/2))/(LN(2)/2)*DW78*DZ78*VLOOKUP('Données projet'!$B$14,Paramètres!$A$1:$I$89,3,0)*0.475*44/12</f>
        <v>1.4919081064623163</v>
      </c>
      <c r="ED78" s="22">
        <f t="shared" si="72"/>
        <v>83.908499301686987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-2.8421709430404007E-13</v>
      </c>
      <c r="EK78" s="17">
        <f>EJ78*VLOOKUP('Données projet'!$B$15,Paramètres!$A$1:$I$89,3,0)*VLOOKUP('Données projet'!$B$15,Paramètres!$A$1:$I$89,5,0)</f>
        <v>-1.69961822393816E-13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200.15574321350221</v>
      </c>
      <c r="EP78" s="59">
        <f t="shared" si="100"/>
        <v>200.70728852570426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96.383095158419337</v>
      </c>
      <c r="EW78" s="21">
        <f>EXP(-LN(2)/25)*EW77+(1-EXP(-LN(2)/25))/(LN(2)/25)*Calculateur!ER78*Calculateur!ET78*VLOOKUP('Données projet'!$B$15,Paramètres!$A$1:$I$89,3,0)*0.475*44/12</f>
        <v>23.842309184151649</v>
      </c>
      <c r="EX78" s="21">
        <f>EXP(-LN(2)/2)*EX77+(1-EXP(-LN(2)/2))/(LN(2)/2)*ER78*EU78*VLOOKUP('Données projet'!$B$15,Paramètres!$A$1:$I$89,3,0)*0.475*44/12</f>
        <v>0.17657146026017026</v>
      </c>
      <c r="EY78" s="22">
        <f t="shared" si="75"/>
        <v>120.40197580283115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7.8425925925925934</v>
      </c>
      <c r="FE78" s="12">
        <f>IF('Données projet'!$A$218&gt;35,FE77+FD78-FM77,IF(A78&lt;'Données projet'!$A$218,$FB$205^A78,IF(A78='Données projet'!$A$218,'Données projet'!$B$218,FE77+FD78-FM77)))</f>
        <v>234.79985754985776</v>
      </c>
      <c r="FF78" s="17">
        <f>FE78*VLOOKUP('Données projet'!$B$16,Paramètres!$A$1:$I$89,3,0)*VLOOKUP('Données projet'!$B$16,Paramètres!$A$1:$I$89,5,0)</f>
        <v>252.73856666666691</v>
      </c>
      <c r="FG78" s="13">
        <f t="shared" si="101"/>
        <v>61.171991335046357</v>
      </c>
      <c r="FH78" s="20">
        <f t="shared" si="76"/>
        <v>546.72755518631732</v>
      </c>
      <c r="FI78" s="59">
        <f t="shared" si="77"/>
        <v>840.06088851965069</v>
      </c>
      <c r="FJ78" s="59">
        <f ca="1">AVERAGE(OFFSET($FI$3,0,0,'Données projet'!$E$16+1,1))-AVERAGE(OFFSET($H$3,0,0,'Données projet'!$E$16+1,1))</f>
        <v>347.17049316703486</v>
      </c>
      <c r="FK78" s="59">
        <f t="shared" si="102"/>
        <v>255.45365487683489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24.997689133787571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24.997689133787571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7">
        <f t="shared" si="56"/>
        <v>374.11886559244721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266.02599413192075</v>
      </c>
      <c r="T79" s="59">
        <f t="shared" si="88"/>
        <v>332.94146254783254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7.8425925925925934</v>
      </c>
      <c r="AI79" s="13">
        <f>IF('Données projet'!$A$62&gt;35,AI78+AH79-AQ78,IF(A79&lt;'Données projet'!$A$62,$AF$205^A79,IF(A79='Données projet'!$A$62,'Données projet'!$B$62,AI78+AH79-AQ78)))</f>
        <v>242.64245014245034</v>
      </c>
      <c r="AJ79" s="13">
        <f>AI79*VLOOKUP('Données projet'!$B$10,Paramètres!$A$1:$I$89,3,0)*VLOOKUP('Données projet'!$B$10,Paramètres!$A$1:$I$89,5,0)</f>
        <v>219.54288888888908</v>
      </c>
      <c r="AK79" s="13">
        <f t="shared" si="89"/>
        <v>54.015522855627488</v>
      </c>
      <c r="AL79" s="20">
        <f t="shared" si="58"/>
        <v>476.44756712169959</v>
      </c>
      <c r="AM79" s="59">
        <f t="shared" si="59"/>
        <v>769.78090045503291</v>
      </c>
      <c r="AN79" s="59">
        <f ca="1">AVERAGE(OFFSET($AM$3,0,0,'Données projet'!$E$10+1,1))-AVERAGE(OFFSET($H$3,0,0,'Données projet'!$E$10+1,1))</f>
        <v>282.13645166362238</v>
      </c>
      <c r="AO79" s="59">
        <f t="shared" si="90"/>
        <v>210.5345332979457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20.600506991646569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20.600506991646569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254.6443970237226</v>
      </c>
      <c r="BJ79" s="59">
        <f t="shared" si="92"/>
        <v>231.81667808018062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186.89543809922148</v>
      </c>
      <c r="BQ79" s="21">
        <f>EXP(-LN(2)/25)*BQ78+(1-EXP(-LN(2)/25))/(LN(2)/25)*Calculateur!BL79*Calculateur!BN79*VLOOKUP('Données projet'!$B$11,Paramètres!$A$1:$I$89,3,0)*0.475*44/12</f>
        <v>46.935022114791266</v>
      </c>
      <c r="BR79" s="21">
        <f>EXP(-LN(2)/2)*BR78+(1-EXP(-LN(2)/2))/(LN(2)/2)*BL79*BO79*VLOOKUP('Données projet'!$B$11,Paramètres!$A$1:$I$89,3,0)*0.475*44/12</f>
        <v>4.9790450385453111</v>
      </c>
      <c r="BS79" s="22">
        <f t="shared" si="63"/>
        <v>238.80950525255807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5.5042735042735051</v>
      </c>
      <c r="BY79" s="12">
        <f>IF('Données projet'!$A$114&gt;35,BY78+BX79-CG78,IF(A79&lt;'Données projet'!$A$114,$BV$205^A79,IF(A79='Données projet'!$A$114,'Données projet'!$B$114,BY78+BX79-CG78)))</f>
        <v>155.97222222222217</v>
      </c>
      <c r="BZ79" s="13">
        <f>BY79*VLOOKUP('Données projet'!$B$12,Paramètres!$A$1:$I$89,3,0)*VLOOKUP('Données projet'!$B$12,Paramètres!$A$1:$I$89,5,0)</f>
        <v>158.15583333333331</v>
      </c>
      <c r="CA79" s="13">
        <f t="shared" si="93"/>
        <v>40.426278232755124</v>
      </c>
      <c r="CB79" s="20">
        <f t="shared" si="64"/>
        <v>345.86384431093734</v>
      </c>
      <c r="CC79" s="59">
        <f t="shared" si="65"/>
        <v>639.1971776442706</v>
      </c>
      <c r="CD79" s="59">
        <f ca="1">AVERAGE(OFFSET($CC$3,0,0,'Données projet'!$E$12+1,1))-AVERAGE(OFFSET($H$3,0,0,'Données projet'!$E$12+1,1))</f>
        <v>264.08050363622294</v>
      </c>
      <c r="CE79" s="59">
        <f t="shared" si="94"/>
        <v>164.48884512322883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10.226884885537546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10.226884885537546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194.7221767407824</v>
      </c>
      <c r="CZ79" s="59">
        <f t="shared" si="96"/>
        <v>177.6550559568646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147.77778826450074</v>
      </c>
      <c r="DG79" s="21">
        <f>EXP(-LN(2)/25)*DG78+(1-EXP(-LN(2)/25))/(LN(2)/25)*Calculateur!DB79*Calculateur!DD79*VLOOKUP('Données projet'!$B$13,Paramètres!$A$1:$I$89,3,0)*0.475*44/12</f>
        <v>37.111412834951246</v>
      </c>
      <c r="DH79" s="21">
        <f>EXP(-LN(2)/2)*DH78+(1-EXP(-LN(2)/2))/(LN(2)/2)*DB79*DE79*VLOOKUP('Données projet'!$B$13,Paramètres!$A$1:$I$89,3,0)*0.475*44/12</f>
        <v>3.936919332803269</v>
      </c>
      <c r="DI79" s="22">
        <f t="shared" si="69"/>
        <v>188.82612043225524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12.913461538461533</v>
      </c>
      <c r="DO79" s="12">
        <f>IF('Données projet'!$A$166&gt;35,DO78+DN79-DW78,IF(A79&lt;'Données projet'!$A$166,$DL$205^A79,IF(A79='Données projet'!$A$166,'Données projet'!$B$166,DO78+DN79-DW78)))</f>
        <v>398.12115384615396</v>
      </c>
      <c r="DP79" s="17">
        <f>DO79*VLOOKUP('Données projet'!$B$14,Paramètres!$A$1:$I$89,3,0)*VLOOKUP('Données projet'!$B$14,Paramètres!$A$1:$I$89,5,0)</f>
        <v>186.32070000000004</v>
      </c>
      <c r="DQ79" s="13">
        <f t="shared" si="97"/>
        <v>46.725588415193215</v>
      </c>
      <c r="DR79" s="20">
        <f t="shared" si="70"/>
        <v>405.88895232312825</v>
      </c>
      <c r="DS79" s="59">
        <f t="shared" si="71"/>
        <v>699.22228565646151</v>
      </c>
      <c r="DT79" s="59">
        <f ca="1">AVERAGE(OFFSET($DS$3,0,0,'Données projet'!$E$14+1,1))-AVERAGE(OFFSET($H$3,0,0,'Données projet'!$E$14+1,1))</f>
        <v>207.25176714718668</v>
      </c>
      <c r="DU79" s="59">
        <f t="shared" si="98"/>
        <v>191.53228014642559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55.480850384903192</v>
      </c>
      <c r="EB79" s="21">
        <f>EXP(-LN(2)/25)*EB78+(1-EXP(-LN(2)/25))/(LN(2)/25)*Calculateur!DW79*Calculateur!DY79*VLOOKUP('Données projet'!$B$14,Paramètres!$A$1:$I$89,3,0)*0.475*44/12</f>
        <v>25.119820238743092</v>
      </c>
      <c r="EC79" s="21">
        <f>EXP(-LN(2)/2)*EC78+(1-EXP(-LN(2)/2))/(LN(2)/2)*DW79*DZ79*VLOOKUP('Données projet'!$B$14,Paramètres!$A$1:$I$89,3,0)*0.475*44/12</f>
        <v>1.0549383389866855</v>
      </c>
      <c r="ED79" s="22">
        <f t="shared" si="72"/>
        <v>81.655608962632968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-2.8421709430404007E-13</v>
      </c>
      <c r="EK79" s="17">
        <f>EJ79*VLOOKUP('Données projet'!$B$15,Paramètres!$A$1:$I$89,3,0)*VLOOKUP('Données projet'!$B$15,Paramètres!$A$1:$I$89,5,0)</f>
        <v>-1.69961822393816E-13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200.15574321350221</v>
      </c>
      <c r="EP79" s="59">
        <f t="shared" si="100"/>
        <v>200.70728852570426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94.493081450245953</v>
      </c>
      <c r="EW79" s="21">
        <f>EXP(-LN(2)/25)*EW78+(1-EXP(-LN(2)/25))/(LN(2)/25)*Calculateur!ER79*Calculateur!ET79*VLOOKUP('Données projet'!$B$15,Paramètres!$A$1:$I$89,3,0)*0.475*44/12</f>
        <v>23.190339985698476</v>
      </c>
      <c r="EX79" s="21">
        <f>EXP(-LN(2)/2)*EX78+(1-EXP(-LN(2)/2))/(LN(2)/2)*ER79*EU79*VLOOKUP('Données projet'!$B$15,Paramètres!$A$1:$I$89,3,0)*0.475*44/12</f>
        <v>0.1248548769139774</v>
      </c>
      <c r="EY79" s="22">
        <f t="shared" si="75"/>
        <v>117.8082763128584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7.8425925925925934</v>
      </c>
      <c r="FE79" s="12">
        <f>IF('Données projet'!$A$218&gt;35,FE78+FD79-FM78,IF(A79&lt;'Données projet'!$A$218,$FB$205^A79,IF(A79='Données projet'!$A$218,'Données projet'!$B$218,FE78+FD79-FM78)))</f>
        <v>242.64245014245034</v>
      </c>
      <c r="FF79" s="17">
        <f>FE79*VLOOKUP('Données projet'!$B$16,Paramètres!$A$1:$I$89,3,0)*VLOOKUP('Données projet'!$B$16,Paramètres!$A$1:$I$89,5,0)</f>
        <v>261.18033333333352</v>
      </c>
      <c r="FG79" s="13">
        <f t="shared" si="101"/>
        <v>62.973910960670594</v>
      </c>
      <c r="FH79" s="20">
        <f t="shared" si="76"/>
        <v>564.56864214539053</v>
      </c>
      <c r="FI79" s="59">
        <f t="shared" si="77"/>
        <v>857.9019754787239</v>
      </c>
      <c r="FJ79" s="59">
        <f ca="1">AVERAGE(OFFSET($FI$3,0,0,'Données projet'!$E$16+1,1))-AVERAGE(OFFSET($H$3,0,0,'Données projet'!$E$16+1,1))</f>
        <v>347.17049316703486</v>
      </c>
      <c r="FK79" s="59">
        <f t="shared" si="102"/>
        <v>255.45365487683489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24.507499696958842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24.507499696958842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7">
        <f t="shared" si="56"/>
        <v>375.15281443732545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266.02599413192075</v>
      </c>
      <c r="T80" s="59">
        <f t="shared" si="88"/>
        <v>332.94146254783254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7.8425925925925934</v>
      </c>
      <c r="AI80" s="13">
        <f>IF('Données projet'!$A$62&gt;35,AI79+AH80-AQ79,IF(A80&lt;'Données projet'!$A$62,$AF$205^A80,IF(A80='Données projet'!$A$62,'Données projet'!$B$62,AI79+AH80-AQ79)))</f>
        <v>250.48504273504292</v>
      </c>
      <c r="AJ80" s="13">
        <f>AI80*VLOOKUP('Données projet'!$B$10,Paramètres!$A$1:$I$89,3,0)*VLOOKUP('Données projet'!$B$10,Paramètres!$A$1:$I$89,5,0)</f>
        <v>226.63886666666684</v>
      </c>
      <c r="AK80" s="13">
        <f t="shared" si="89"/>
        <v>55.555304418491261</v>
      </c>
      <c r="AL80" s="20">
        <f t="shared" si="58"/>
        <v>491.4881813066504</v>
      </c>
      <c r="AM80" s="59">
        <f t="shared" si="59"/>
        <v>784.82151463998366</v>
      </c>
      <c r="AN80" s="59">
        <f ca="1">AVERAGE(OFFSET($AM$3,0,0,'Données projet'!$E$10+1,1))-AVERAGE(OFFSET($H$3,0,0,'Données projet'!$E$10+1,1))</f>
        <v>282.13645166362238</v>
      </c>
      <c r="AO80" s="59">
        <f t="shared" si="90"/>
        <v>210.5345332979457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20.196543614608945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20.196543614608945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254.6443970237226</v>
      </c>
      <c r="BJ80" s="59">
        <f t="shared" si="92"/>
        <v>231.81667808018062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183.23053255305692</v>
      </c>
      <c r="BQ80" s="21">
        <f>EXP(-LN(2)/25)*BQ79+(1-EXP(-LN(2)/25))/(LN(2)/25)*Calculateur!BL80*Calculateur!BN80*VLOOKUP('Données projet'!$B$11,Paramètres!$A$1:$I$89,3,0)*0.475*44/12</f>
        <v>45.651581466856754</v>
      </c>
      <c r="BR80" s="21">
        <f>EXP(-LN(2)/2)*BR79+(1-EXP(-LN(2)/2))/(LN(2)/2)*BL80*BO80*VLOOKUP('Données projet'!$B$11,Paramètres!$A$1:$I$89,3,0)*0.475*44/12</f>
        <v>3.5207165105886244</v>
      </c>
      <c r="BS80" s="22">
        <f t="shared" si="63"/>
        <v>232.40283053050229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5.5042735042735051</v>
      </c>
      <c r="BY80" s="12">
        <f>IF('Données projet'!$A$114&gt;35,BY79+BX80-CG79,IF(A80&lt;'Données projet'!$A$114,$BV$205^A80,IF(A80='Données projet'!$A$114,'Données projet'!$B$114,BY79+BX80-CG79)))</f>
        <v>161.47649572649567</v>
      </c>
      <c r="BZ80" s="13">
        <f>BY80*VLOOKUP('Données projet'!$B$12,Paramètres!$A$1:$I$89,3,0)*VLOOKUP('Données projet'!$B$12,Paramètres!$A$1:$I$89,5,0)</f>
        <v>163.73716666666661</v>
      </c>
      <c r="CA80" s="13">
        <f t="shared" si="93"/>
        <v>41.68430774657778</v>
      </c>
      <c r="CB80" s="20">
        <f t="shared" si="64"/>
        <v>357.77573460306729</v>
      </c>
      <c r="CC80" s="59">
        <f t="shared" si="65"/>
        <v>651.10906793640061</v>
      </c>
      <c r="CD80" s="59">
        <f ca="1">AVERAGE(OFFSET($CC$3,0,0,'Données projet'!$E$12+1,1))-AVERAGE(OFFSET($H$3,0,0,'Données projet'!$E$12+1,1))</f>
        <v>264.08050363622294</v>
      </c>
      <c r="CE80" s="59">
        <f t="shared" si="94"/>
        <v>164.48884512322883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10.026341910716004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10.026341910716004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194.7221767407824</v>
      </c>
      <c r="CZ80" s="59">
        <f t="shared" si="96"/>
        <v>177.6550559568646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144.87995597218458</v>
      </c>
      <c r="DG80" s="21">
        <f>EXP(-LN(2)/25)*DG79+(1-EXP(-LN(2)/25))/(LN(2)/25)*Calculateur!DB80*Calculateur!DD80*VLOOKUP('Données projet'!$B$13,Paramètres!$A$1:$I$89,3,0)*0.475*44/12</f>
        <v>36.096599299375121</v>
      </c>
      <c r="DH80" s="21">
        <f>EXP(-LN(2)/2)*DH79+(1-EXP(-LN(2)/2))/(LN(2)/2)*DB80*DE80*VLOOKUP('Données projet'!$B$13,Paramètres!$A$1:$I$89,3,0)*0.475*44/12</f>
        <v>2.7838223572096101</v>
      </c>
      <c r="DI80" s="22">
        <f t="shared" si="69"/>
        <v>183.76037762876931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12.913461538461533</v>
      </c>
      <c r="DO80" s="12">
        <f>IF('Données projet'!$A$166&gt;35,DO79+DN80-DW79,IF(A80&lt;'Données projet'!$A$166,$DL$205^A80,IF(A80='Données projet'!$A$166,'Données projet'!$B$166,DO79+DN80-DW79)))</f>
        <v>411.03461538461551</v>
      </c>
      <c r="DP80" s="17">
        <f>DO80*VLOOKUP('Données projet'!$B$14,Paramètres!$A$1:$I$89,3,0)*VLOOKUP('Données projet'!$B$14,Paramètres!$A$1:$I$89,5,0)</f>
        <v>192.36420000000004</v>
      </c>
      <c r="DQ80" s="13">
        <f t="shared" si="97"/>
        <v>48.062267116572606</v>
      </c>
      <c r="DR80" s="20">
        <f t="shared" si="70"/>
        <v>418.74276356136397</v>
      </c>
      <c r="DS80" s="59">
        <f t="shared" si="71"/>
        <v>712.07609689469723</v>
      </c>
      <c r="DT80" s="59">
        <f ca="1">AVERAGE(OFFSET($DS$3,0,0,'Données projet'!$E$14+1,1))-AVERAGE(OFFSET($H$3,0,0,'Données projet'!$E$14+1,1))</f>
        <v>207.25176714718668</v>
      </c>
      <c r="DU80" s="59">
        <f t="shared" si="98"/>
        <v>191.53228014642559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54.392904748832557</v>
      </c>
      <c r="EB80" s="21">
        <f>EXP(-LN(2)/25)*EB79+(1-EXP(-LN(2)/25))/(LN(2)/25)*Calculateur!DW80*Calculateur!DY80*VLOOKUP('Données projet'!$B$14,Paramètres!$A$1:$I$89,3,0)*0.475*44/12</f>
        <v>24.432917433320728</v>
      </c>
      <c r="EC80" s="21">
        <f>EXP(-LN(2)/2)*EC79+(1-EXP(-LN(2)/2))/(LN(2)/2)*DW80*DZ80*VLOOKUP('Données projet'!$B$14,Paramètres!$A$1:$I$89,3,0)*0.475*44/12</f>
        <v>0.74595405323115815</v>
      </c>
      <c r="ED80" s="22">
        <f t="shared" si="72"/>
        <v>79.571776235384448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-2.8421709430404007E-13</v>
      </c>
      <c r="EK80" s="17">
        <f>EJ80*VLOOKUP('Données projet'!$B$15,Paramètres!$A$1:$I$89,3,0)*VLOOKUP('Données projet'!$B$15,Paramètres!$A$1:$I$89,5,0)</f>
        <v>-1.69961822393816E-13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200.15574321350221</v>
      </c>
      <c r="EP80" s="59">
        <f t="shared" si="100"/>
        <v>200.70728852570426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92.640129758095327</v>
      </c>
      <c r="EW80" s="21">
        <f>EXP(-LN(2)/25)*EW79+(1-EXP(-LN(2)/25))/(LN(2)/25)*Calculateur!ER80*Calculateur!ET80*VLOOKUP('Données projet'!$B$15,Paramètres!$A$1:$I$89,3,0)*0.475*44/12</f>
        <v>22.556198919262574</v>
      </c>
      <c r="EX80" s="21">
        <f>EXP(-LN(2)/2)*EX79+(1-EXP(-LN(2)/2))/(LN(2)/2)*ER80*EU80*VLOOKUP('Données projet'!$B$15,Paramètres!$A$1:$I$89,3,0)*0.475*44/12</f>
        <v>8.8285730130085144E-2</v>
      </c>
      <c r="EY80" s="22">
        <f t="shared" si="75"/>
        <v>115.28461440748798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7.8425925925925934</v>
      </c>
      <c r="FE80" s="12">
        <f>IF('Données projet'!$A$218&gt;35,FE79+FD80-FM79,IF(A80&lt;'Données projet'!$A$218,$FB$205^A80,IF(A80='Données projet'!$A$218,'Données projet'!$B$218,FE79+FD80-FM79)))</f>
        <v>250.48504273504292</v>
      </c>
      <c r="FF80" s="17">
        <f>FE80*VLOOKUP('Données projet'!$B$16,Paramètres!$A$1:$I$89,3,0)*VLOOKUP('Données projet'!$B$16,Paramètres!$A$1:$I$89,5,0)</f>
        <v>269.62210000000022</v>
      </c>
      <c r="FG80" s="13">
        <f t="shared" si="101"/>
        <v>64.769062833917033</v>
      </c>
      <c r="FH80" s="20">
        <f t="shared" si="76"/>
        <v>582.39794193573914</v>
      </c>
      <c r="FI80" s="59">
        <f t="shared" si="77"/>
        <v>875.73127526907251</v>
      </c>
      <c r="FJ80" s="59">
        <f ca="1">AVERAGE(OFFSET($FI$3,0,0,'Données projet'!$E$16+1,1))-AVERAGE(OFFSET($H$3,0,0,'Données projet'!$E$16+1,1))</f>
        <v>347.17049316703486</v>
      </c>
      <c r="FK80" s="59">
        <f t="shared" si="102"/>
        <v>255.45365487683489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24.026922576000292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24.026922576000292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7">
        <f t="shared" si="56"/>
        <v>376.18643269106684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266.02599413192075</v>
      </c>
      <c r="T81" s="59">
        <f t="shared" si="88"/>
        <v>332.94146254783254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7.8425925925925934</v>
      </c>
      <c r="AI81" s="13">
        <f>IF('Données projet'!$A$62&gt;35,AI80+AH81-AQ80,IF(A81&lt;'Données projet'!$A$62,$AF$205^A81,IF(A81='Données projet'!$A$62,'Données projet'!$B$62,AI80+AH81-AQ80)))</f>
        <v>258.32763532763551</v>
      </c>
      <c r="AJ81" s="13">
        <f>AI81*VLOOKUP('Données projet'!$B$10,Paramètres!$A$1:$I$89,3,0)*VLOOKUP('Données projet'!$B$10,Paramètres!$A$1:$I$89,5,0)</f>
        <v>233.7348444444446</v>
      </c>
      <c r="AK81" s="13">
        <f t="shared" si="89"/>
        <v>57.089483585580787</v>
      </c>
      <c r="AL81" s="20">
        <f t="shared" si="58"/>
        <v>506.51903798562756</v>
      </c>
      <c r="AM81" s="59">
        <f t="shared" si="59"/>
        <v>799.85237131896088</v>
      </c>
      <c r="AN81" s="59">
        <f ca="1">AVERAGE(OFFSET($AM$3,0,0,'Données projet'!$E$10+1,1))-AVERAGE(OFFSET($H$3,0,0,'Données projet'!$E$10+1,1))</f>
        <v>282.13645166362238</v>
      </c>
      <c r="AO81" s="59">
        <f t="shared" si="90"/>
        <v>210.5345332979457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19.800501713001701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19.800501713001701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254.6443970237226</v>
      </c>
      <c r="BJ81" s="59">
        <f t="shared" si="92"/>
        <v>231.81667808018062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179.63749356928099</v>
      </c>
      <c r="BQ81" s="21">
        <f>EXP(-LN(2)/25)*BQ80+(1-EXP(-LN(2)/25))/(LN(2)/25)*Calculateur!BL81*Calculateur!BN81*VLOOKUP('Données projet'!$B$11,Paramètres!$A$1:$I$89,3,0)*0.475*44/12</f>
        <v>44.403236570933224</v>
      </c>
      <c r="BR81" s="21">
        <f>EXP(-LN(2)/2)*BR80+(1-EXP(-LN(2)/2))/(LN(2)/2)*BL81*BO81*VLOOKUP('Données projet'!$B$11,Paramètres!$A$1:$I$89,3,0)*0.475*44/12</f>
        <v>2.4895225192726556</v>
      </c>
      <c r="BS81" s="22">
        <f t="shared" si="63"/>
        <v>226.53025265948688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5.5042735042735051</v>
      </c>
      <c r="BY81" s="12">
        <f>IF('Données projet'!$A$114&gt;35,BY80+BX81-CG80,IF(A81&lt;'Données projet'!$A$114,$BV$205^A81,IF(A81='Données projet'!$A$114,'Données projet'!$B$114,BY80+BX81-CG80)))</f>
        <v>166.98076923076917</v>
      </c>
      <c r="BZ81" s="13">
        <f>BY81*VLOOKUP('Données projet'!$B$12,Paramètres!$A$1:$I$89,3,0)*VLOOKUP('Données projet'!$B$12,Paramètres!$A$1:$I$89,5,0)</f>
        <v>169.31849999999994</v>
      </c>
      <c r="CA81" s="13">
        <f t="shared" si="93"/>
        <v>42.93735459119118</v>
      </c>
      <c r="CB81" s="20">
        <f t="shared" si="64"/>
        <v>369.67894674632447</v>
      </c>
      <c r="CC81" s="59">
        <f t="shared" si="65"/>
        <v>663.01228007965778</v>
      </c>
      <c r="CD81" s="59">
        <f ca="1">AVERAGE(OFFSET($CC$3,0,0,'Données projet'!$E$12+1,1))-AVERAGE(OFFSET($H$3,0,0,'Données projet'!$E$12+1,1))</f>
        <v>264.08050363622294</v>
      </c>
      <c r="CE81" s="59">
        <f t="shared" si="94"/>
        <v>164.48884512322883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9.8297314613115763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9.8297314613115763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194.7221767407824</v>
      </c>
      <c r="CZ81" s="59">
        <f t="shared" si="96"/>
        <v>177.6550559568646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142.03894840361755</v>
      </c>
      <c r="DG81" s="21">
        <f>EXP(-LN(2)/25)*DG80+(1-EXP(-LN(2)/25))/(LN(2)/25)*Calculateur!DB81*Calculateur!DD81*VLOOKUP('Données projet'!$B$13,Paramètres!$A$1:$I$89,3,0)*0.475*44/12</f>
        <v>35.109535893296048</v>
      </c>
      <c r="DH81" s="21">
        <f>EXP(-LN(2)/2)*DH80+(1-EXP(-LN(2)/2))/(LN(2)/2)*DB81*DE81*VLOOKUP('Données projet'!$B$13,Paramètres!$A$1:$I$89,3,0)*0.475*44/12</f>
        <v>1.9684596664016349</v>
      </c>
      <c r="DI81" s="22">
        <f t="shared" si="69"/>
        <v>179.11694396331524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12.913461538461533</v>
      </c>
      <c r="DO81" s="12">
        <f>IF('Données projet'!$A$166&gt;35,DO80+DN81-DW80,IF(A81&lt;'Données projet'!$A$166,$DL$205^A81,IF(A81='Données projet'!$A$166,'Données projet'!$B$166,DO80+DN81-DW80)))</f>
        <v>423.94807692307705</v>
      </c>
      <c r="DP81" s="17">
        <f>DO81*VLOOKUP('Données projet'!$B$14,Paramètres!$A$1:$I$89,3,0)*VLOOKUP('Données projet'!$B$14,Paramètres!$A$1:$I$89,5,0)</f>
        <v>198.40770000000006</v>
      </c>
      <c r="DQ81" s="13">
        <f t="shared" si="97"/>
        <v>49.394065749424826</v>
      </c>
      <c r="DR81" s="20">
        <f t="shared" si="70"/>
        <v>431.58807534691499</v>
      </c>
      <c r="DS81" s="59">
        <f t="shared" si="71"/>
        <v>724.92140868024831</v>
      </c>
      <c r="DT81" s="59">
        <f ca="1">AVERAGE(OFFSET($DS$3,0,0,'Données projet'!$E$14+1,1))-AVERAGE(OFFSET($H$3,0,0,'Données projet'!$E$14+1,1))</f>
        <v>207.25176714718668</v>
      </c>
      <c r="DU81" s="59">
        <f t="shared" si="98"/>
        <v>191.53228014642559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53.326293063103947</v>
      </c>
      <c r="EB81" s="21">
        <f>EXP(-LN(2)/25)*EB80+(1-EXP(-LN(2)/25))/(LN(2)/25)*Calculateur!DW81*Calculateur!DY81*VLOOKUP('Données projet'!$B$14,Paramètres!$A$1:$I$89,3,0)*0.475*44/12</f>
        <v>23.764798021235286</v>
      </c>
      <c r="EC81" s="21">
        <f>EXP(-LN(2)/2)*EC80+(1-EXP(-LN(2)/2))/(LN(2)/2)*DW81*DZ81*VLOOKUP('Données projet'!$B$14,Paramètres!$A$1:$I$89,3,0)*0.475*44/12</f>
        <v>0.52746916949334277</v>
      </c>
      <c r="ED81" s="22">
        <f t="shared" si="72"/>
        <v>77.618560253832584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-2.8421709430404007E-13</v>
      </c>
      <c r="EK81" s="17">
        <f>EJ81*VLOOKUP('Données projet'!$B$15,Paramètres!$A$1:$I$89,3,0)*VLOOKUP('Données projet'!$B$15,Paramètres!$A$1:$I$89,5,0)</f>
        <v>-1.69961822393816E-13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200.15574321350221</v>
      </c>
      <c r="EP81" s="59">
        <f t="shared" si="100"/>
        <v>200.70728852570426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90.823513318438827</v>
      </c>
      <c r="EW81" s="21">
        <f>EXP(-LN(2)/25)*EW80+(1-EXP(-LN(2)/25))/(LN(2)/25)*Calculateur!ER81*Calculateur!ET81*VLOOKUP('Données projet'!$B$15,Paramètres!$A$1:$I$89,3,0)*0.475*44/12</f>
        <v>21.939398473636391</v>
      </c>
      <c r="EX81" s="21">
        <f>EXP(-LN(2)/2)*EX80+(1-EXP(-LN(2)/2))/(LN(2)/2)*ER81*EU81*VLOOKUP('Données projet'!$B$15,Paramètres!$A$1:$I$89,3,0)*0.475*44/12</f>
        <v>6.2427438456988706E-2</v>
      </c>
      <c r="EY81" s="22">
        <f t="shared" si="75"/>
        <v>112.82533923053221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7.8425925925925934</v>
      </c>
      <c r="FE81" s="12">
        <f>IF('Données projet'!$A$218&gt;35,FE80+FD81-FM80,IF(A81&lt;'Données projet'!$A$218,$FB$205^A81,IF(A81='Données projet'!$A$218,'Données projet'!$B$218,FE80+FD81-FM80)))</f>
        <v>258.32763532763551</v>
      </c>
      <c r="FF81" s="17">
        <f>FE81*VLOOKUP('Données projet'!$B$16,Paramètres!$A$1:$I$89,3,0)*VLOOKUP('Données projet'!$B$16,Paramètres!$A$1:$I$89,5,0)</f>
        <v>278.06386666666685</v>
      </c>
      <c r="FG81" s="13">
        <f t="shared" si="101"/>
        <v>66.557683163007226</v>
      </c>
      <c r="FH81" s="20">
        <f t="shared" si="76"/>
        <v>600.21586595334895</v>
      </c>
      <c r="FI81" s="59">
        <f t="shared" si="77"/>
        <v>893.54919928668232</v>
      </c>
      <c r="FJ81" s="59">
        <f ca="1">AVERAGE(OFFSET($FI$3,0,0,'Données projet'!$E$16+1,1))-AVERAGE(OFFSET($H$3,0,0,'Données projet'!$E$16+1,1))</f>
        <v>347.17049316703486</v>
      </c>
      <c r="FK81" s="59">
        <f t="shared" si="102"/>
        <v>255.45365487683489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23.555769279260637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23.555769279260637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7">
        <f t="shared" si="56"/>
        <v>377.21972508209484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266.02599413192075</v>
      </c>
      <c r="T82" s="59">
        <f t="shared" si="88"/>
        <v>332.94146254783254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7.8425925925925934</v>
      </c>
      <c r="AI82" s="13">
        <f>IF('Données projet'!$A$62&gt;35,AI81+AH82-AQ81,IF(A82&lt;'Données projet'!$A$62,$AF$205^A82,IF(A82='Données projet'!$A$62,'Données projet'!$B$62,AI81+AH82-AQ81)))</f>
        <v>266.17022792022811</v>
      </c>
      <c r="AJ82" s="13">
        <f>AI82*VLOOKUP('Données projet'!$B$10,Paramètres!$A$1:$I$89,3,0)*VLOOKUP('Données projet'!$B$10,Paramètres!$A$1:$I$89,5,0)</f>
        <v>240.83082222222239</v>
      </c>
      <c r="AK82" s="13">
        <f t="shared" si="89"/>
        <v>58.618249962252264</v>
      </c>
      <c r="AL82" s="20">
        <f t="shared" si="58"/>
        <v>521.54046738795989</v>
      </c>
      <c r="AM82" s="59">
        <f t="shared" si="59"/>
        <v>814.87380072129326</v>
      </c>
      <c r="AN82" s="59">
        <f ca="1">AVERAGE(OFFSET($AM$3,0,0,'Données projet'!$E$10+1,1))-AVERAGE(OFFSET($H$3,0,0,'Données projet'!$E$10+1,1))</f>
        <v>282.13645166362238</v>
      </c>
      <c r="AO82" s="59">
        <f t="shared" si="90"/>
        <v>210.5345332979457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19.412225951523265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19.412225951523265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254.6443970237226</v>
      </c>
      <c r="BJ82" s="59">
        <f t="shared" si="92"/>
        <v>231.81667808018062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176.11491188843951</v>
      </c>
      <c r="BQ82" s="21">
        <f>EXP(-LN(2)/25)*BQ81+(1-EXP(-LN(2)/25))/(LN(2)/25)*Calculateur!BL82*Calculateur!BN82*VLOOKUP('Données projet'!$B$11,Paramètres!$A$1:$I$89,3,0)*0.475*44/12</f>
        <v>43.189027731836326</v>
      </c>
      <c r="BR82" s="21">
        <f>EXP(-LN(2)/2)*BR81+(1-EXP(-LN(2)/2))/(LN(2)/2)*BL82*BO82*VLOOKUP('Données projet'!$B$11,Paramètres!$A$1:$I$89,3,0)*0.475*44/12</f>
        <v>1.7603582552943122</v>
      </c>
      <c r="BS82" s="22">
        <f t="shared" si="63"/>
        <v>221.06429787557013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5.5042735042735051</v>
      </c>
      <c r="BY82" s="12">
        <f>IF('Données projet'!$A$114&gt;35,BY81+BX82-CG81,IF(A82&lt;'Données projet'!$A$114,$BV$205^A82,IF(A82='Données projet'!$A$114,'Données projet'!$B$114,BY81+BX82-CG81)))</f>
        <v>172.48504273504267</v>
      </c>
      <c r="BZ82" s="13">
        <f>BY82*VLOOKUP('Données projet'!$B$12,Paramètres!$A$1:$I$89,3,0)*VLOOKUP('Données projet'!$B$12,Paramètres!$A$1:$I$89,5,0)</f>
        <v>174.89983333333328</v>
      </c>
      <c r="CA82" s="13">
        <f t="shared" si="93"/>
        <v>44.185601847169707</v>
      </c>
      <c r="CB82" s="20">
        <f t="shared" si="64"/>
        <v>381.57379960604271</v>
      </c>
      <c r="CC82" s="59">
        <f t="shared" si="65"/>
        <v>674.90713293937597</v>
      </c>
      <c r="CD82" s="59">
        <f ca="1">AVERAGE(OFFSET($CC$3,0,0,'Données projet'!$E$12+1,1))-AVERAGE(OFFSET($H$3,0,0,'Données projet'!$E$12+1,1))</f>
        <v>264.08050363622294</v>
      </c>
      <c r="CE82" s="59">
        <f t="shared" si="94"/>
        <v>164.48884512322883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9.636976422899437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9.636976422899437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194.7221767407824</v>
      </c>
      <c r="CZ82" s="59">
        <f t="shared" si="96"/>
        <v>177.6550559568646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139.25365126062661</v>
      </c>
      <c r="DG82" s="21">
        <f>EXP(-LN(2)/25)*DG81+(1-EXP(-LN(2)/25))/(LN(2)/25)*Calculateur!DB82*Calculateur!DD82*VLOOKUP('Données projet'!$B$13,Paramètres!$A$1:$I$89,3,0)*0.475*44/12</f>
        <v>34.149463787963619</v>
      </c>
      <c r="DH82" s="21">
        <f>EXP(-LN(2)/2)*DH81+(1-EXP(-LN(2)/2))/(LN(2)/2)*DB82*DE82*VLOOKUP('Données projet'!$B$13,Paramètres!$A$1:$I$89,3,0)*0.475*44/12</f>
        <v>1.3919111786048053</v>
      </c>
      <c r="DI82" s="22">
        <f t="shared" si="69"/>
        <v>174.79502622719502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>
        <f>VLOOKUP(A82,'Données projet'!$A$165:$I$185,2,0)</f>
        <v>436.86153846153843</v>
      </c>
      <c r="DM82" s="12">
        <f>VLOOKUP(A82,'Données projet'!$A$165:$I$185,9,0)</f>
        <v>12.913461538461533</v>
      </c>
      <c r="DN82" s="12">
        <f t="array" ref="DN82">INDEX(DM:DM,MIN(IF(ISNUMBER(DM82:DM278),ROW(DM82:DM278),"")))</f>
        <v>12.913461538461533</v>
      </c>
      <c r="DO82" s="12">
        <f>IF('Données projet'!$A$166&gt;35,DO81+DN82-DW81,IF(A82&lt;'Données projet'!$A$166,$DL$205^A82,IF(A82='Données projet'!$A$166,'Données projet'!$B$166,DO81+DN82-DW81)))</f>
        <v>436.8615384615386</v>
      </c>
      <c r="DP82" s="17">
        <f>DO82*VLOOKUP('Données projet'!$B$14,Paramètres!$A$1:$I$89,3,0)*VLOOKUP('Données projet'!$B$14,Paramètres!$A$1:$I$89,5,0)</f>
        <v>204.45120000000009</v>
      </c>
      <c r="DQ82" s="13">
        <f t="shared" si="97"/>
        <v>50.721150021305952</v>
      </c>
      <c r="DR82" s="20">
        <f t="shared" si="70"/>
        <v>444.42517628710794</v>
      </c>
      <c r="DS82" s="59">
        <f t="shared" si="71"/>
        <v>737.75850962044126</v>
      </c>
      <c r="DT82" s="59">
        <f ca="1">AVERAGE(OFFSET($DS$3,0,0,'Données projet'!$E$14+1,1))-AVERAGE(OFFSET($H$3,0,0,'Données projet'!$E$14+1,1))</f>
        <v>207.25176714718668</v>
      </c>
      <c r="DU82" s="59">
        <f t="shared" si="98"/>
        <v>191.53228014642559</v>
      </c>
      <c r="DV82" s="15">
        <f>IF(ISNA(VLOOKUP(A82,'Données projet'!$A$165:$I$185,3,0)),0,VLOOKUP(A82,'Données projet'!$A$165:$I$185,3,0))</f>
        <v>6</v>
      </c>
      <c r="DW82" s="15">
        <f>IF(ISNA(VLOOKUP(A82,'Données projet'!$A$165:$I$185,4,0)),0,VLOOKUP(A82,'Données projet'!$A$165:$I$185,4,0))</f>
        <v>77.338461538461544</v>
      </c>
      <c r="DX82" s="16">
        <f>IF(ISNA(VLOOKUP(A82,'Données projet'!$A$165:$I$185,5,0)),0%,VLOOKUP(A82,'Données projet'!$A$165:$I$185,5,0)*VLOOKUP('Données projet'!$B$14,Paramètres!$A$1:$I$89,7,0))</f>
        <v>0.38500000000000001</v>
      </c>
      <c r="DY82" s="16">
        <f>IF(ISNA(VLOOKUP(A82,'Données projet'!$A$165:$I$185,6,0)),0%,VLOOKUP(A82,'Données projet'!$A$165:$I$185,6,0)*VLOOKUP('Données projet'!$B$14,Paramètres!$A$1:$I$89,7,0))</f>
        <v>9.240000000000001E-2</v>
      </c>
      <c r="DZ82" s="16">
        <f>IF(ISNA(VLOOKUP(A82,'Données projet'!$A$165:$I$185,7,0)),0%,VLOOKUP(A82,'Données projet'!$A$165:$I$185,7,0))</f>
        <v>0.13200000000000001</v>
      </c>
      <c r="EA82" s="21">
        <f>EXP(-LN(2)/35)*EA81+(1-EXP(-LN(2)/35))/(LN(2)/35)*DW82*DX82*VLOOKUP('Données projet'!$B$14,Paramètres!$A$1:$I$89,3,0)*0.475*44/12</f>
        <v>70.766065724458542</v>
      </c>
      <c r="EB82" s="21">
        <f>EXP(-LN(2)/25)*EB81+(1-EXP(-LN(2)/25))/(LN(2)/25)*Calculateur!DW82*Calculateur!DY82*VLOOKUP('Données projet'!$B$14,Paramètres!$A$1:$I$89,3,0)*0.475*44/12</f>
        <v>27.533992627657781</v>
      </c>
      <c r="EC82" s="21">
        <f>EXP(-LN(2)/2)*EC81+(1-EXP(-LN(2)/2))/(LN(2)/2)*DW82*DZ82*VLOOKUP('Données projet'!$B$14,Paramètres!$A$1:$I$89,3,0)*0.475*44/12</f>
        <v>5.7823988910017112</v>
      </c>
      <c r="ED82" s="22">
        <f t="shared" si="72"/>
        <v>104.08245724311803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-2.8421709430404007E-13</v>
      </c>
      <c r="EK82" s="17">
        <f>EJ82*VLOOKUP('Données projet'!$B$15,Paramètres!$A$1:$I$89,3,0)*VLOOKUP('Données projet'!$B$15,Paramètres!$A$1:$I$89,5,0)</f>
        <v>-1.69961822393816E-13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200.15574321350221</v>
      </c>
      <c r="EP82" s="59">
        <f t="shared" si="100"/>
        <v>200.70728852570426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89.04251961913738</v>
      </c>
      <c r="EW82" s="21">
        <f>EXP(-LN(2)/25)*EW81+(1-EXP(-LN(2)/25))/(LN(2)/25)*Calculateur!ER82*Calculateur!ET82*VLOOKUP('Données projet'!$B$15,Paramètres!$A$1:$I$89,3,0)*0.475*44/12</f>
        <v>21.339464468631981</v>
      </c>
      <c r="EX82" s="21">
        <f>EXP(-LN(2)/2)*EX81+(1-EXP(-LN(2)/2))/(LN(2)/2)*ER82*EU82*VLOOKUP('Données projet'!$B$15,Paramètres!$A$1:$I$89,3,0)*0.475*44/12</f>
        <v>4.4142865065042579E-2</v>
      </c>
      <c r="EY82" s="22">
        <f t="shared" si="75"/>
        <v>110.42612695283439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7.8425925925925934</v>
      </c>
      <c r="FE82" s="12">
        <f>IF('Données projet'!$A$218&gt;35,FE81+FD82-FM81,IF(A82&lt;'Données projet'!$A$218,$FB$205^A82,IF(A82='Données projet'!$A$218,'Données projet'!$B$218,FE81+FD82-FM81)))</f>
        <v>266.17022792022811</v>
      </c>
      <c r="FF82" s="17">
        <f>FE82*VLOOKUP('Données projet'!$B$16,Paramètres!$A$1:$I$89,3,0)*VLOOKUP('Données projet'!$B$16,Paramètres!$A$1:$I$89,5,0)</f>
        <v>286.50563333333349</v>
      </c>
      <c r="FG82" s="13">
        <f t="shared" si="101"/>
        <v>68.339992999042579</v>
      </c>
      <c r="FH82" s="20">
        <f t="shared" si="76"/>
        <v>618.02279919555497</v>
      </c>
      <c r="FI82" s="59">
        <f t="shared" si="77"/>
        <v>911.35613252888834</v>
      </c>
      <c r="FJ82" s="59">
        <f ca="1">AVERAGE(OFFSET($FI$3,0,0,'Données projet'!$E$16+1,1))-AVERAGE(OFFSET($H$3,0,0,'Données projet'!$E$16+1,1))</f>
        <v>347.17049316703486</v>
      </c>
      <c r="FK82" s="59">
        <f t="shared" si="102"/>
        <v>255.45365487683489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23.093855011294913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23.093855011294913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7">
        <f t="shared" si="56"/>
        <v>378.25269621224209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266.02599413192075</v>
      </c>
      <c r="T83" s="59">
        <f t="shared" si="88"/>
        <v>332.94146254783254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274.01282051282055</v>
      </c>
      <c r="AG83" s="12">
        <f>VLOOKUP(A83,'Données projet'!$A$61:$I$81,9,0)</f>
        <v>7.8425925925925934</v>
      </c>
      <c r="AH83" s="12">
        <f t="array" ref="AH83">INDEX(AG:AG,MIN(IF(ISNUMBER(AG83:AG279),ROW(AG83:AG279),"")))</f>
        <v>7.8425925925925934</v>
      </c>
      <c r="AI83" s="13">
        <f>IF('Données projet'!$A$62&gt;35,AI82+AH83-AQ82,IF(A83&lt;'Données projet'!$A$62,$AF$205^A83,IF(A83='Données projet'!$A$62,'Données projet'!$B$62,AI82+AH83-AQ82)))</f>
        <v>274.01282051282072</v>
      </c>
      <c r="AJ83" s="13">
        <f>AI83*VLOOKUP('Données projet'!$B$10,Paramètres!$A$1:$I$89,3,0)*VLOOKUP('Données projet'!$B$10,Paramètres!$A$1:$I$89,5,0)</f>
        <v>247.92680000000016</v>
      </c>
      <c r="AK83" s="13">
        <f t="shared" si="89"/>
        <v>60.141781345371967</v>
      </c>
      <c r="AL83" s="20">
        <f t="shared" si="58"/>
        <v>536.55277917652313</v>
      </c>
      <c r="AM83" s="59">
        <f t="shared" si="59"/>
        <v>829.8861125098565</v>
      </c>
      <c r="AN83" s="59">
        <f ca="1">AVERAGE(OFFSET($AM$3,0,0,'Données projet'!$E$10+1,1))-AVERAGE(OFFSET($H$3,0,0,'Données projet'!$E$10+1,1))</f>
        <v>282.13645166362238</v>
      </c>
      <c r="AO83" s="59">
        <f t="shared" si="90"/>
        <v>210.5345332979457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45.608974358974358</v>
      </c>
      <c r="AR83" s="16">
        <f>IF(ISNA(VLOOKUP(A83,'Données projet'!$A$61:$I$81,5,0)),0%,VLOOKUP(A83,'Données projet'!$A$61:$I$81,5,0)*VLOOKUP('Données projet'!$B$10,Paramètres!$A$1:$I$89,7,0))</f>
        <v>0.30099999999999999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32.763017332710646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32.763017332710646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254.6443970237226</v>
      </c>
      <c r="BJ83" s="59">
        <f t="shared" si="92"/>
        <v>231.81667808018062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172.66140588579665</v>
      </c>
      <c r="BQ83" s="21">
        <f>EXP(-LN(2)/25)*BQ82+(1-EXP(-LN(2)/25))/(LN(2)/25)*Calculateur!BL83*Calculateur!BN83*VLOOKUP('Données projet'!$B$11,Paramètres!$A$1:$I$89,3,0)*0.475*44/12</f>
        <v>42.008021497297001</v>
      </c>
      <c r="BR83" s="21">
        <f>EXP(-LN(2)/2)*BR82+(1-EXP(-LN(2)/2))/(LN(2)/2)*BL83*BO83*VLOOKUP('Données projet'!$B$11,Paramètres!$A$1:$I$89,3,0)*0.475*44/12</f>
        <v>1.2447612596363278</v>
      </c>
      <c r="BS83" s="22">
        <f t="shared" si="63"/>
        <v>215.91418864272998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5.5042735042735051</v>
      </c>
      <c r="BY83" s="12">
        <f>IF('Données projet'!$A$114&gt;35,BY82+BX83-CG82,IF(A83&lt;'Données projet'!$A$114,$BV$205^A83,IF(A83='Données projet'!$A$114,'Données projet'!$B$114,BY82+BX83-CG82)))</f>
        <v>177.98931623931617</v>
      </c>
      <c r="BZ83" s="13">
        <f>BY83*VLOOKUP('Données projet'!$B$12,Paramètres!$A$1:$I$89,3,0)*VLOOKUP('Données projet'!$B$12,Paramètres!$A$1:$I$89,5,0)</f>
        <v>180.48116666666661</v>
      </c>
      <c r="CA83" s="13">
        <f t="shared" si="93"/>
        <v>45.429220246818225</v>
      </c>
      <c r="CB83" s="20">
        <f t="shared" si="64"/>
        <v>393.46059054098606</v>
      </c>
      <c r="CC83" s="59">
        <f t="shared" si="65"/>
        <v>686.79392387431938</v>
      </c>
      <c r="CD83" s="59">
        <f ca="1">AVERAGE(OFFSET($CC$3,0,0,'Données projet'!$E$12+1,1))-AVERAGE(OFFSET($H$3,0,0,'Données projet'!$E$12+1,1))</f>
        <v>264.08050363622294</v>
      </c>
      <c r="CE83" s="59">
        <f t="shared" si="94"/>
        <v>164.48884512322883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9.4480011932215948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9.4480011932215948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194.7221767407824</v>
      </c>
      <c r="CZ83" s="59">
        <f t="shared" si="96"/>
        <v>177.6550559568646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136.52297209574621</v>
      </c>
      <c r="DG83" s="21">
        <f>EXP(-LN(2)/25)*DG82+(1-EXP(-LN(2)/25))/(LN(2)/25)*Calculateur!DB83*Calculateur!DD83*VLOOKUP('Données projet'!$B$13,Paramètres!$A$1:$I$89,3,0)*0.475*44/12</f>
        <v>33.2156449048395</v>
      </c>
      <c r="DH83" s="21">
        <f>EXP(-LN(2)/2)*DH82+(1-EXP(-LN(2)/2))/(LN(2)/2)*DB83*DE83*VLOOKUP('Données projet'!$B$13,Paramètres!$A$1:$I$89,3,0)*0.475*44/12</f>
        <v>0.98422983320081758</v>
      </c>
      <c r="DI83" s="22">
        <f t="shared" si="69"/>
        <v>170.72284683378655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12.124038461538468</v>
      </c>
      <c r="DO83" s="12">
        <f>IF('Données projet'!$A$166&gt;35,DO82+DN83-DW82,IF(A83&lt;'Données projet'!$A$166,$DL$205^A83,IF(A83='Données projet'!$A$166,'Données projet'!$B$166,DO82+DN83-DW82)))</f>
        <v>371.64711538461552</v>
      </c>
      <c r="DP83" s="17">
        <f>DO83*VLOOKUP('Données projet'!$B$14,Paramètres!$A$1:$I$89,3,0)*VLOOKUP('Données projet'!$B$14,Paramètres!$A$1:$I$89,5,0)</f>
        <v>173.93085000000008</v>
      </c>
      <c r="DQ83" s="13">
        <f t="shared" si="97"/>
        <v>43.969228534222836</v>
      </c>
      <c r="DR83" s="20">
        <f t="shared" si="70"/>
        <v>379.50930344710491</v>
      </c>
      <c r="DS83" s="59">
        <f t="shared" si="71"/>
        <v>672.84263678043817</v>
      </c>
      <c r="DT83" s="59">
        <f ca="1">AVERAGE(OFFSET($DS$3,0,0,'Données projet'!$E$14+1,1))-AVERAGE(OFFSET($H$3,0,0,'Données projet'!$E$14+1,1))</f>
        <v>207.25176714718668</v>
      </c>
      <c r="DU83" s="59">
        <f t="shared" si="98"/>
        <v>191.53228014642559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69.378386338640013</v>
      </c>
      <c r="EB83" s="21">
        <f>EXP(-LN(2)/25)*EB82+(1-EXP(-LN(2)/25))/(LN(2)/25)*Calculateur!DW83*Calculateur!DY83*VLOOKUP('Données projet'!$B$14,Paramètres!$A$1:$I$89,3,0)*0.475*44/12</f>
        <v>26.781074151304736</v>
      </c>
      <c r="EC83" s="21">
        <f>EXP(-LN(2)/2)*EC82+(1-EXP(-LN(2)/2))/(LN(2)/2)*DW83*DZ83*VLOOKUP('Données projet'!$B$14,Paramètres!$A$1:$I$89,3,0)*0.475*44/12</f>
        <v>4.0887734673528824</v>
      </c>
      <c r="ED83" s="22">
        <f t="shared" si="72"/>
        <v>100.24823395729763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-2.8421709430404007E-13</v>
      </c>
      <c r="EK83" s="17">
        <f>EJ83*VLOOKUP('Données projet'!$B$15,Paramètres!$A$1:$I$89,3,0)*VLOOKUP('Données projet'!$B$15,Paramètres!$A$1:$I$89,5,0)</f>
        <v>-1.69961822393816E-13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200.15574321350221</v>
      </c>
      <c r="EP83" s="59">
        <f t="shared" si="100"/>
        <v>200.70728852570426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87.296450119980335</v>
      </c>
      <c r="EW83" s="21">
        <f>EXP(-LN(2)/25)*EW82+(1-EXP(-LN(2)/25))/(LN(2)/25)*Calculateur!ER83*Calculateur!ET83*VLOOKUP('Données projet'!$B$15,Paramètres!$A$1:$I$89,3,0)*0.475*44/12</f>
        <v>20.755935690543573</v>
      </c>
      <c r="EX83" s="21">
        <f>EXP(-LN(2)/2)*EX82+(1-EXP(-LN(2)/2))/(LN(2)/2)*ER83*EU83*VLOOKUP('Données projet'!$B$15,Paramètres!$A$1:$I$89,3,0)*0.475*44/12</f>
        <v>3.1213719228494356E-2</v>
      </c>
      <c r="EY83" s="22">
        <f t="shared" si="75"/>
        <v>108.08359952975239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274.01282051282055</v>
      </c>
      <c r="FC83" s="12">
        <f>VLOOKUP(A83,'Données projet'!$A$217:$I$237,9,0)</f>
        <v>7.8425925925925934</v>
      </c>
      <c r="FD83" s="12">
        <f t="array" ref="FD83">INDEX(FC:FC,MIN(IF(ISNUMBER(FC83:FC279),ROW(FC83:FC279),"")))</f>
        <v>7.8425925925925934</v>
      </c>
      <c r="FE83" s="12">
        <f>IF('Données projet'!$A$218&gt;35,FE82+FD83-FM82,IF(A83&lt;'Données projet'!$A$218,$FB$205^A83,IF(A83='Données projet'!$A$218,'Données projet'!$B$218,FE82+FD83-FM82)))</f>
        <v>274.01282051282072</v>
      </c>
      <c r="FF83" s="17">
        <f>FE83*VLOOKUP('Données projet'!$B$16,Paramètres!$A$1:$I$89,3,0)*VLOOKUP('Données projet'!$B$16,Paramètres!$A$1:$I$89,5,0)</f>
        <v>294.94740000000024</v>
      </c>
      <c r="FG83" s="13">
        <f t="shared" si="101"/>
        <v>70.116199626215405</v>
      </c>
      <c r="FH83" s="20">
        <f t="shared" si="76"/>
        <v>635.81910268232559</v>
      </c>
      <c r="FI83" s="59">
        <f t="shared" si="77"/>
        <v>929.15243601565885</v>
      </c>
      <c r="FJ83" s="59">
        <f ca="1">AVERAGE(OFFSET($FI$3,0,0,'Données projet'!$E$16+1,1))-AVERAGE(OFFSET($H$3,0,0,'Données projet'!$E$16+1,1))</f>
        <v>347.17049316703486</v>
      </c>
      <c r="FK83" s="59">
        <f t="shared" si="102"/>
        <v>255.45365487683489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45.608974358974358</v>
      </c>
      <c r="FN83" s="16">
        <f>IF(ISNA(VLOOKUP(A83,'Données projet'!$A$217:$I$237,5,0)),0%,VLOOKUP(A83,'Données projet'!$A$217:$I$237,5,0)*VLOOKUP('Données projet'!$B$16,Paramètres!$A$1:$I$89,7,0))</f>
        <v>0.30099999999999999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38.976693033741974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38.976693033741974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7">
        <f t="shared" si="56"/>
        <v>379.2853505616788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266.02599413192075</v>
      </c>
      <c r="T84" s="59">
        <f t="shared" si="88"/>
        <v>332.94146254783254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7.4950142450142421</v>
      </c>
      <c r="AI84" s="13">
        <f>IF('Données projet'!$A$62&gt;35,AI83+AH84-AQ83,IF(A84&lt;'Données projet'!$A$62,$AF$205^A84,IF(A84='Données projet'!$A$62,'Données projet'!$B$62,AI83+AH84-AQ83)))</f>
        <v>235.89886039886062</v>
      </c>
      <c r="AJ84" s="13">
        <f>AI84*VLOOKUP('Données projet'!$B$10,Paramètres!$A$1:$I$89,3,0)*VLOOKUP('Données projet'!$B$10,Paramètres!$A$1:$I$89,5,0)</f>
        <v>213.44128888888909</v>
      </c>
      <c r="AK84" s="13">
        <f t="shared" si="89"/>
        <v>52.686881026481977</v>
      </c>
      <c r="AL84" s="20">
        <f t="shared" si="58"/>
        <v>463.50656260260456</v>
      </c>
      <c r="AM84" s="59">
        <f t="shared" si="59"/>
        <v>756.83989593593788</v>
      </c>
      <c r="AN84" s="59">
        <f ca="1">AVERAGE(OFFSET($AM$3,0,0,'Données projet'!$E$10+1,1))-AVERAGE(OFFSET($H$3,0,0,'Données projet'!$E$10+1,1))</f>
        <v>282.13645166362238</v>
      </c>
      <c r="AO84" s="59">
        <f t="shared" si="90"/>
        <v>210.5345332979457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32.120554546283557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32.120554546283557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254.6443970237226</v>
      </c>
      <c r="BJ84" s="59">
        <f t="shared" si="92"/>
        <v>231.81667808018062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169.27562102943497</v>
      </c>
      <c r="BQ84" s="21">
        <f>EXP(-LN(2)/25)*BQ83+(1-EXP(-LN(2)/25))/(LN(2)/25)*Calculateur!BL84*Calculateur!BN84*VLOOKUP('Données projet'!$B$11,Paramètres!$A$1:$I$89,3,0)*0.475*44/12</f>
        <v>40.859309940347572</v>
      </c>
      <c r="BR84" s="21">
        <f>EXP(-LN(2)/2)*BR83+(1-EXP(-LN(2)/2))/(LN(2)/2)*BL84*BO84*VLOOKUP('Données projet'!$B$11,Paramètres!$A$1:$I$89,3,0)*0.475*44/12</f>
        <v>0.88017912764715611</v>
      </c>
      <c r="BS84" s="22">
        <f t="shared" si="63"/>
        <v>211.0151100974297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5.5042735042735051</v>
      </c>
      <c r="BY84" s="12">
        <f>IF('Données projet'!$A$114&gt;35,BY83+BX84-CG83,IF(A84&lt;'Données projet'!$A$114,$BV$205^A84,IF(A84='Données projet'!$A$114,'Données projet'!$B$114,BY83+BX84-CG83)))</f>
        <v>183.49358974358967</v>
      </c>
      <c r="BZ84" s="13">
        <f>BY84*VLOOKUP('Données projet'!$B$12,Paramètres!$A$1:$I$89,3,0)*VLOOKUP('Données projet'!$B$12,Paramètres!$A$1:$I$89,5,0)</f>
        <v>186.06249999999994</v>
      </c>
      <c r="CA84" s="13">
        <f t="shared" si="93"/>
        <v>46.668369362854641</v>
      </c>
      <c r="CB84" s="20">
        <f t="shared" si="64"/>
        <v>405.33959747363838</v>
      </c>
      <c r="CC84" s="59">
        <f t="shared" si="65"/>
        <v>698.67293080697164</v>
      </c>
      <c r="CD84" s="59">
        <f ca="1">AVERAGE(OFFSET($CC$3,0,0,'Données projet'!$E$12+1,1))-AVERAGE(OFFSET($H$3,0,0,'Données projet'!$E$12+1,1))</f>
        <v>264.08050363622294</v>
      </c>
      <c r="CE84" s="59">
        <f t="shared" si="94"/>
        <v>164.48884512322883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9.2627316525342263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9.2627316525342263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194.7221767407824</v>
      </c>
      <c r="CZ84" s="59">
        <f t="shared" si="96"/>
        <v>177.6550559568646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133.8458398837393</v>
      </c>
      <c r="DG84" s="21">
        <f>EXP(-LN(2)/25)*DG83+(1-EXP(-LN(2)/25))/(LN(2)/25)*Calculateur!DB84*Calculateur!DD84*VLOOKUP('Données projet'!$B$13,Paramètres!$A$1:$I$89,3,0)*0.475*44/12</f>
        <v>32.307361348181814</v>
      </c>
      <c r="DH84" s="21">
        <f>EXP(-LN(2)/2)*DH83+(1-EXP(-LN(2)/2))/(LN(2)/2)*DB84*DE84*VLOOKUP('Données projet'!$B$13,Paramètres!$A$1:$I$89,3,0)*0.475*44/12</f>
        <v>0.69595558930240276</v>
      </c>
      <c r="DI84" s="22">
        <f t="shared" si="69"/>
        <v>166.84915682122352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12.124038461538468</v>
      </c>
      <c r="DO84" s="12">
        <f>IF('Données projet'!$A$166&gt;35,DO83+DN84-DW83,IF(A84&lt;'Données projet'!$A$166,$DL$205^A84,IF(A84='Données projet'!$A$166,'Données projet'!$B$166,DO83+DN84-DW83)))</f>
        <v>383.77115384615399</v>
      </c>
      <c r="DP84" s="17">
        <f>DO84*VLOOKUP('Données projet'!$B$14,Paramètres!$A$1:$I$89,3,0)*VLOOKUP('Données projet'!$B$14,Paramètres!$A$1:$I$89,5,0)</f>
        <v>179.60490000000007</v>
      </c>
      <c r="DQ84" s="13">
        <f t="shared" si="97"/>
        <v>45.234272457213635</v>
      </c>
      <c r="DR84" s="20">
        <f t="shared" si="70"/>
        <v>391.59489202964716</v>
      </c>
      <c r="DS84" s="59">
        <f t="shared" si="71"/>
        <v>684.92822536298047</v>
      </c>
      <c r="DT84" s="59">
        <f ca="1">AVERAGE(OFFSET($DS$3,0,0,'Données projet'!$E$14+1,1))-AVERAGE(OFFSET($H$3,0,0,'Données projet'!$E$14+1,1))</f>
        <v>207.25176714718668</v>
      </c>
      <c r="DU84" s="59">
        <f t="shared" si="98"/>
        <v>191.53228014642559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68.017918499176531</v>
      </c>
      <c r="EB84" s="21">
        <f>EXP(-LN(2)/25)*EB83+(1-EXP(-LN(2)/25))/(LN(2)/25)*Calculateur!DW84*Calculateur!DY84*VLOOKUP('Données projet'!$B$14,Paramètres!$A$1:$I$89,3,0)*0.475*44/12</f>
        <v>26.048744270281826</v>
      </c>
      <c r="EC84" s="21">
        <f>EXP(-LN(2)/2)*EC83+(1-EXP(-LN(2)/2))/(LN(2)/2)*DW84*DZ84*VLOOKUP('Données projet'!$B$14,Paramètres!$A$1:$I$89,3,0)*0.475*44/12</f>
        <v>2.8911994455008561</v>
      </c>
      <c r="ED84" s="22">
        <f t="shared" si="72"/>
        <v>96.957862214959221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-2.8421709430404007E-13</v>
      </c>
      <c r="EK84" s="17">
        <f>EJ84*VLOOKUP('Données projet'!$B$15,Paramètres!$A$1:$I$89,3,0)*VLOOKUP('Données projet'!$B$15,Paramètres!$A$1:$I$89,5,0)</f>
        <v>-1.69961822393816E-13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200.15574321350221</v>
      </c>
      <c r="EP84" s="59">
        <f t="shared" si="100"/>
        <v>200.70728852570426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85.584619978704524</v>
      </c>
      <c r="EW84" s="21">
        <f>EXP(-LN(2)/25)*EW83+(1-EXP(-LN(2)/25))/(LN(2)/25)*Calculateur!ER84*Calculateur!ET84*VLOOKUP('Données projet'!$B$15,Paramètres!$A$1:$I$89,3,0)*0.475*44/12</f>
        <v>20.188363537578439</v>
      </c>
      <c r="EX84" s="21">
        <f>EXP(-LN(2)/2)*EX83+(1-EXP(-LN(2)/2))/(LN(2)/2)*ER84*EU84*VLOOKUP('Données projet'!$B$15,Paramètres!$A$1:$I$89,3,0)*0.475*44/12</f>
        <v>2.2071432532521293E-2</v>
      </c>
      <c r="EY84" s="22">
        <f t="shared" si="75"/>
        <v>105.79505494881549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7.4950142450142421</v>
      </c>
      <c r="FE84" s="12">
        <f>IF('Données projet'!$A$218&gt;35,FE83+FD84-FM83,IF(A84&lt;'Données projet'!$A$218,$FB$205^A84,IF(A84='Données projet'!$A$218,'Données projet'!$B$218,FE83+FD84-FM83)))</f>
        <v>235.89886039886062</v>
      </c>
      <c r="FF84" s="17">
        <f>FE84*VLOOKUP('Données projet'!$B$16,Paramètres!$A$1:$I$89,3,0)*VLOOKUP('Données projet'!$B$16,Paramètres!$A$1:$I$89,5,0)</f>
        <v>253.92153333333357</v>
      </c>
      <c r="FG84" s="13">
        <f t="shared" si="101"/>
        <v>61.424916008407308</v>
      </c>
      <c r="FH84" s="20">
        <f t="shared" si="76"/>
        <v>549.22839927019868</v>
      </c>
      <c r="FI84" s="59">
        <f t="shared" si="77"/>
        <v>842.56173260353194</v>
      </c>
      <c r="FJ84" s="59">
        <f ca="1">AVERAGE(OFFSET($FI$3,0,0,'Données projet'!$E$16+1,1))-AVERAGE(OFFSET($H$3,0,0,'Données projet'!$E$16+1,1))</f>
        <v>347.17049316703486</v>
      </c>
      <c r="FK84" s="59">
        <f t="shared" si="102"/>
        <v>255.45365487683489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38.212383856785614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38.212383856785614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7">
        <f t="shared" si="56"/>
        <v>380.31769249359098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266.02599413192075</v>
      </c>
      <c r="T85" s="59">
        <f t="shared" si="88"/>
        <v>332.94146254783254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7.4950142450142421</v>
      </c>
      <c r="AI85" s="13">
        <f>IF('Données projet'!$A$62&gt;35,AI84+AH85-AQ84,IF(A85&lt;'Données projet'!$A$62,$AF$205^A85,IF(A85='Données projet'!$A$62,'Données projet'!$B$62,AI84+AH85-AQ84)))</f>
        <v>243.39387464387485</v>
      </c>
      <c r="AJ85" s="13">
        <f>AI85*VLOOKUP('Données projet'!$B$10,Paramètres!$A$1:$I$89,3,0)*VLOOKUP('Données projet'!$B$10,Paramètres!$A$1:$I$89,5,0)</f>
        <v>220.22277777777796</v>
      </c>
      <c r="AK85" s="13">
        <f t="shared" si="89"/>
        <v>54.163302517364365</v>
      </c>
      <c r="AL85" s="20">
        <f t="shared" si="58"/>
        <v>477.88908984737282</v>
      </c>
      <c r="AM85" s="59">
        <f t="shared" si="59"/>
        <v>771.22242318070607</v>
      </c>
      <c r="AN85" s="59">
        <f ca="1">AVERAGE(OFFSET($AM$3,0,0,'Données projet'!$E$10+1,1))-AVERAGE(OFFSET($H$3,0,0,'Données projet'!$E$10+1,1))</f>
        <v>282.13645166362238</v>
      </c>
      <c r="AO85" s="59">
        <f t="shared" si="90"/>
        <v>210.5345332979457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31.490690063234698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31.490690063234698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254.6443970237226</v>
      </c>
      <c r="BJ85" s="59">
        <f t="shared" si="92"/>
        <v>231.81667808018062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165.95622934898171</v>
      </c>
      <c r="BQ85" s="21">
        <f>EXP(-LN(2)/25)*BQ84+(1-EXP(-LN(2)/25))/(LN(2)/25)*Calculateur!BL85*Calculateur!BN85*VLOOKUP('Données projet'!$B$11,Paramètres!$A$1:$I$89,3,0)*0.475*44/12</f>
        <v>39.742009961331043</v>
      </c>
      <c r="BR85" s="21">
        <f>EXP(-LN(2)/2)*BR84+(1-EXP(-LN(2)/2))/(LN(2)/2)*BL85*BO85*VLOOKUP('Données projet'!$B$11,Paramètres!$A$1:$I$89,3,0)*0.475*44/12</f>
        <v>0.62238062981816389</v>
      </c>
      <c r="BS85" s="22">
        <f t="shared" si="63"/>
        <v>206.32061994013091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5.5042735042735051</v>
      </c>
      <c r="BY85" s="12">
        <f>IF('Données projet'!$A$114&gt;35,BY84+BX85-CG84,IF(A85&lt;'Données projet'!$A$114,$BV$205^A85,IF(A85='Données projet'!$A$114,'Données projet'!$B$114,BY84+BX85-CG84)))</f>
        <v>188.99786324786317</v>
      </c>
      <c r="BZ85" s="13">
        <f>BY85*VLOOKUP('Données projet'!$B$12,Paramètres!$A$1:$I$89,3,0)*VLOOKUP('Données projet'!$B$12,Paramètres!$A$1:$I$89,5,0)</f>
        <v>191.64383333333325</v>
      </c>
      <c r="CA85" s="13">
        <f t="shared" si="93"/>
        <v>47.903198650456822</v>
      </c>
      <c r="CB85" s="20">
        <f t="shared" si="64"/>
        <v>417.21108070510104</v>
      </c>
      <c r="CC85" s="59">
        <f t="shared" si="65"/>
        <v>710.5444140384343</v>
      </c>
      <c r="CD85" s="59">
        <f ca="1">AVERAGE(OFFSET($CC$3,0,0,'Données projet'!$E$12+1,1))-AVERAGE(OFFSET($H$3,0,0,'Données projet'!$E$12+1,1))</f>
        <v>264.08050363622294</v>
      </c>
      <c r="CE85" s="59">
        <f t="shared" si="94"/>
        <v>164.48884512322883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9.0810951345364757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9.0810951345364757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194.7221767407824</v>
      </c>
      <c r="CZ85" s="59">
        <f t="shared" si="96"/>
        <v>177.6550559568646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131.22120460152044</v>
      </c>
      <c r="DG85" s="21">
        <f>EXP(-LN(2)/25)*DG84+(1-EXP(-LN(2)/25))/(LN(2)/25)*Calculateur!DB85*Calculateur!DD85*VLOOKUP('Données projet'!$B$13,Paramètres!$A$1:$I$89,3,0)*0.475*44/12</f>
        <v>31.42391485314549</v>
      </c>
      <c r="DH85" s="21">
        <f>EXP(-LN(2)/2)*DH84+(1-EXP(-LN(2)/2))/(LN(2)/2)*DB85*DE85*VLOOKUP('Données projet'!$B$13,Paramètres!$A$1:$I$89,3,0)*0.475*44/12</f>
        <v>0.49211491660040885</v>
      </c>
      <c r="DI85" s="22">
        <f t="shared" si="69"/>
        <v>163.13723437126632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12.124038461538468</v>
      </c>
      <c r="DO85" s="12">
        <f>IF('Données projet'!$A$166&gt;35,DO84+DN85-DW84,IF(A85&lt;'Données projet'!$A$166,$DL$205^A85,IF(A85='Données projet'!$A$166,'Données projet'!$B$166,DO84+DN85-DW84)))</f>
        <v>395.89519230769247</v>
      </c>
      <c r="DP85" s="17">
        <f>DO85*VLOOKUP('Données projet'!$B$14,Paramètres!$A$1:$I$89,3,0)*VLOOKUP('Données projet'!$B$14,Paramètres!$A$1:$I$89,5,0)</f>
        <v>185.27895000000009</v>
      </c>
      <c r="DQ85" s="13">
        <f t="shared" si="97"/>
        <v>46.494672172616063</v>
      </c>
      <c r="DR85" s="20">
        <f t="shared" si="70"/>
        <v>403.67239195063979</v>
      </c>
      <c r="DS85" s="59">
        <f t="shared" si="71"/>
        <v>697.00572528397311</v>
      </c>
      <c r="DT85" s="59">
        <f ca="1">AVERAGE(OFFSET($DS$3,0,0,'Données projet'!$E$14+1,1))-AVERAGE(OFFSET($H$3,0,0,'Données projet'!$E$14+1,1))</f>
        <v>207.25176714718668</v>
      </c>
      <c r="DU85" s="59">
        <f t="shared" si="98"/>
        <v>191.53228014642559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66.684128604241479</v>
      </c>
      <c r="EB85" s="21">
        <f>EXP(-LN(2)/25)*EB84+(1-EXP(-LN(2)/25))/(LN(2)/25)*Calculateur!DW85*Calculateur!DY85*VLOOKUP('Données projet'!$B$14,Paramètres!$A$1:$I$89,3,0)*0.475*44/12</f>
        <v>25.336439988367044</v>
      </c>
      <c r="EC85" s="21">
        <f>EXP(-LN(2)/2)*EC84+(1-EXP(-LN(2)/2))/(LN(2)/2)*DW85*DZ85*VLOOKUP('Données projet'!$B$14,Paramètres!$A$1:$I$89,3,0)*0.475*44/12</f>
        <v>2.0443867336764416</v>
      </c>
      <c r="ED85" s="22">
        <f t="shared" si="72"/>
        <v>94.064955326284974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-2.8421709430404007E-13</v>
      </c>
      <c r="EK85" s="17">
        <f>EJ85*VLOOKUP('Données projet'!$B$15,Paramètres!$A$1:$I$89,3,0)*VLOOKUP('Données projet'!$B$15,Paramètres!$A$1:$I$89,5,0)</f>
        <v>-1.69961822393816E-13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200.15574321350221</v>
      </c>
      <c r="EP85" s="59">
        <f t="shared" si="100"/>
        <v>200.70728852570426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83.906357782385854</v>
      </c>
      <c r="EW85" s="21">
        <f>EXP(-LN(2)/25)*EW84+(1-EXP(-LN(2)/25))/(LN(2)/25)*Calculateur!ER85*Calculateur!ET85*VLOOKUP('Données projet'!$B$15,Paramètres!$A$1:$I$89,3,0)*0.475*44/12</f>
        <v>19.63631167498346</v>
      </c>
      <c r="EX85" s="21">
        <f>EXP(-LN(2)/2)*EX84+(1-EXP(-LN(2)/2))/(LN(2)/2)*ER85*EU85*VLOOKUP('Données projet'!$B$15,Paramètres!$A$1:$I$89,3,0)*0.475*44/12</f>
        <v>1.5606859614247182E-2</v>
      </c>
      <c r="EY85" s="22">
        <f t="shared" si="75"/>
        <v>103.55827631698357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7.4950142450142421</v>
      </c>
      <c r="FE85" s="12">
        <f>IF('Données projet'!$A$218&gt;35,FE84+FD85-FM84,IF(A85&lt;'Données projet'!$A$218,$FB$205^A85,IF(A85='Données projet'!$A$218,'Données projet'!$B$218,FE84+FD85-FM84)))</f>
        <v>243.39387464387485</v>
      </c>
      <c r="FF85" s="17">
        <f>FE85*VLOOKUP('Données projet'!$B$16,Paramètres!$A$1:$I$89,3,0)*VLOOKUP('Données projet'!$B$16,Paramètres!$A$1:$I$89,5,0)</f>
        <v>261.9891666666669</v>
      </c>
      <c r="FG85" s="13">
        <f t="shared" si="101"/>
        <v>63.146199643034919</v>
      </c>
      <c r="FH85" s="20">
        <f t="shared" si="76"/>
        <v>566.27742965606399</v>
      </c>
      <c r="FI85" s="59">
        <f t="shared" si="77"/>
        <v>859.61076298939724</v>
      </c>
      <c r="FJ85" s="59">
        <f ca="1">AVERAGE(OFFSET($FI$3,0,0,'Données projet'!$E$16+1,1))-AVERAGE(OFFSET($H$3,0,0,'Données projet'!$E$16+1,1))</f>
        <v>347.17049316703486</v>
      </c>
      <c r="FK85" s="59">
        <f t="shared" si="102"/>
        <v>255.45365487683489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37.463062316606802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37.463062316606802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7">
        <f t="shared" si="56"/>
        <v>381.34972625862326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266.02599413192075</v>
      </c>
      <c r="T86" s="59">
        <f t="shared" si="88"/>
        <v>332.94146254783254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7.4950142450142421</v>
      </c>
      <c r="AI86" s="13">
        <f>IF('Données projet'!$A$62&gt;35,AI85+AH86-AQ85,IF(A86&lt;'Données projet'!$A$62,$AF$205^A86,IF(A86='Données projet'!$A$62,'Données projet'!$B$62,AI85+AH86-AQ85)))</f>
        <v>250.88888888888908</v>
      </c>
      <c r="AJ86" s="13">
        <f>AI86*VLOOKUP('Données projet'!$B$10,Paramètres!$A$1:$I$89,3,0)*VLOOKUP('Données projet'!$B$10,Paramètres!$A$1:$I$89,5,0)</f>
        <v>227.00426666666684</v>
      </c>
      <c r="AK86" s="13">
        <f t="shared" si="89"/>
        <v>55.634440522110118</v>
      </c>
      <c r="AL86" s="20">
        <f t="shared" si="58"/>
        <v>492.26241502045315</v>
      </c>
      <c r="AM86" s="59">
        <f t="shared" si="59"/>
        <v>785.59574835378646</v>
      </c>
      <c r="AN86" s="59">
        <f ca="1">AVERAGE(OFFSET($AM$3,0,0,'Données projet'!$E$10+1,1))-AVERAGE(OFFSET($H$3,0,0,'Données projet'!$E$10+1,1))</f>
        <v>282.13645166362238</v>
      </c>
      <c r="AO86" s="59">
        <f t="shared" si="90"/>
        <v>210.5345332979457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30.873176838519029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30.873176838519029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254.6443970237226</v>
      </c>
      <c r="BJ86" s="59">
        <f t="shared" si="92"/>
        <v>231.81667808018062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162.7019289147531</v>
      </c>
      <c r="BQ86" s="21">
        <f>EXP(-LN(2)/25)*BQ85+(1-EXP(-LN(2)/25))/(LN(2)/25)*Calculateur!BL86*Calculateur!BN86*VLOOKUP('Données projet'!$B$11,Paramètres!$A$1:$I$89,3,0)*0.475*44/12</f>
        <v>38.655262608996971</v>
      </c>
      <c r="BR86" s="21">
        <f>EXP(-LN(2)/2)*BR85+(1-EXP(-LN(2)/2))/(LN(2)/2)*BL86*BO86*VLOOKUP('Données projet'!$B$11,Paramètres!$A$1:$I$89,3,0)*0.475*44/12</f>
        <v>0.44008956382357806</v>
      </c>
      <c r="BS86" s="22">
        <f t="shared" si="63"/>
        <v>201.79728108757365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5.5042735042735051</v>
      </c>
      <c r="BY86" s="12">
        <f>IF('Données projet'!$A$114&gt;35,BY85+BX86-CG85,IF(A86&lt;'Données projet'!$A$114,$BV$205^A86,IF(A86='Données projet'!$A$114,'Données projet'!$B$114,BY85+BX86-CG85)))</f>
        <v>194.50213675213666</v>
      </c>
      <c r="BZ86" s="13">
        <f>BY86*VLOOKUP('Données projet'!$B$12,Paramètres!$A$1:$I$89,3,0)*VLOOKUP('Données projet'!$B$12,Paramètres!$A$1:$I$89,5,0)</f>
        <v>197.22516666666658</v>
      </c>
      <c r="CA86" s="13">
        <f t="shared" si="93"/>
        <v>49.133848364506264</v>
      </c>
      <c r="CB86" s="20">
        <f t="shared" si="64"/>
        <v>429.07528451262601</v>
      </c>
      <c r="CC86" s="59">
        <f t="shared" si="65"/>
        <v>722.40861784595927</v>
      </c>
      <c r="CD86" s="59">
        <f ca="1">AVERAGE(OFFSET($CC$3,0,0,'Données projet'!$E$12+1,1))-AVERAGE(OFFSET($H$3,0,0,'Données projet'!$E$12+1,1))</f>
        <v>264.08050363622294</v>
      </c>
      <c r="CE86" s="59">
        <f t="shared" si="94"/>
        <v>164.48884512322883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8.9030203978693248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8.9030203978693248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194.7221767407824</v>
      </c>
      <c r="CZ86" s="59">
        <f t="shared" si="96"/>
        <v>177.6550559568646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128.64803681631642</v>
      </c>
      <c r="DG86" s="21">
        <f>EXP(-LN(2)/25)*DG85+(1-EXP(-LN(2)/25))/(LN(2)/25)*Calculateur!DB86*Calculateur!DD86*VLOOKUP('Données projet'!$B$13,Paramètres!$A$1:$I$89,3,0)*0.475*44/12</f>
        <v>30.564626248974363</v>
      </c>
      <c r="DH86" s="21">
        <f>EXP(-LN(2)/2)*DH85+(1-EXP(-LN(2)/2))/(LN(2)/2)*DB86*DE86*VLOOKUP('Données projet'!$B$13,Paramètres!$A$1:$I$89,3,0)*0.475*44/12</f>
        <v>0.34797779465120143</v>
      </c>
      <c r="DI86" s="22">
        <f t="shared" si="69"/>
        <v>159.56064085994197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12.124038461538468</v>
      </c>
      <c r="DO86" s="12">
        <f>IF('Données projet'!$A$166&gt;35,DO85+DN86-DW85,IF(A86&lt;'Données projet'!$A$166,$DL$205^A86,IF(A86='Données projet'!$A$166,'Données projet'!$B$166,DO85+DN86-DW85)))</f>
        <v>408.01923076923094</v>
      </c>
      <c r="DP86" s="17">
        <f>DO86*VLOOKUP('Données projet'!$B$14,Paramètres!$A$1:$I$89,3,0)*VLOOKUP('Données projet'!$B$14,Paramètres!$A$1:$I$89,5,0)</f>
        <v>190.95300000000006</v>
      </c>
      <c r="DQ86" s="13">
        <f t="shared" si="97"/>
        <v>47.750586229034354</v>
      </c>
      <c r="DR86" s="20">
        <f t="shared" si="70"/>
        <v>415.7420793489016</v>
      </c>
      <c r="DS86" s="59">
        <f t="shared" si="71"/>
        <v>709.07541268223486</v>
      </c>
      <c r="DT86" s="59">
        <f ca="1">AVERAGE(OFFSET($DS$3,0,0,'Données projet'!$E$14+1,1))-AVERAGE(OFFSET($H$3,0,0,'Données projet'!$E$14+1,1))</f>
        <v>207.25176714718668</v>
      </c>
      <c r="DU86" s="59">
        <f t="shared" si="98"/>
        <v>191.53228014642559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65.376493515614598</v>
      </c>
      <c r="EB86" s="21">
        <f>EXP(-LN(2)/25)*EB85+(1-EXP(-LN(2)/25))/(LN(2)/25)*Calculateur!DW86*Calculateur!DY86*VLOOKUP('Données projet'!$B$14,Paramètres!$A$1:$I$89,3,0)*0.475*44/12</f>
        <v>24.643613704499675</v>
      </c>
      <c r="EC86" s="21">
        <f>EXP(-LN(2)/2)*EC85+(1-EXP(-LN(2)/2))/(LN(2)/2)*DW86*DZ86*VLOOKUP('Données projet'!$B$14,Paramètres!$A$1:$I$89,3,0)*0.475*44/12</f>
        <v>1.4455997227504283</v>
      </c>
      <c r="ED86" s="22">
        <f t="shared" si="72"/>
        <v>91.465706942864699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-2.8421709430404007E-13</v>
      </c>
      <c r="EK86" s="17">
        <f>EJ86*VLOOKUP('Données projet'!$B$15,Paramètres!$A$1:$I$89,3,0)*VLOOKUP('Données projet'!$B$15,Paramètres!$A$1:$I$89,5,0)</f>
        <v>-1.69961822393816E-13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200.15574321350221</v>
      </c>
      <c r="EP86" s="59">
        <f t="shared" si="100"/>
        <v>200.70728852570426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82.261005284098118</v>
      </c>
      <c r="EW86" s="21">
        <f>EXP(-LN(2)/25)*EW85+(1-EXP(-LN(2)/25))/(LN(2)/25)*Calculateur!ER86*Calculateur!ET86*VLOOKUP('Données projet'!$B$15,Paramètres!$A$1:$I$89,3,0)*0.475*44/12</f>
        <v>19.099355699602285</v>
      </c>
      <c r="EX86" s="21">
        <f>EXP(-LN(2)/2)*EX85+(1-EXP(-LN(2)/2))/(LN(2)/2)*ER86*EU86*VLOOKUP('Données projet'!$B$15,Paramètres!$A$1:$I$89,3,0)*0.475*44/12</f>
        <v>1.1035716266260648E-2</v>
      </c>
      <c r="EY86" s="22">
        <f t="shared" si="75"/>
        <v>101.37139669996667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7.4950142450142421</v>
      </c>
      <c r="FE86" s="12">
        <f>IF('Données projet'!$A$218&gt;35,FE85+FD86-FM85,IF(A86&lt;'Données projet'!$A$218,$FB$205^A86,IF(A86='Données projet'!$A$218,'Données projet'!$B$218,FE85+FD86-FM85)))</f>
        <v>250.88888888888908</v>
      </c>
      <c r="FF86" s="17">
        <f>FE86*VLOOKUP('Données projet'!$B$16,Paramètres!$A$1:$I$89,3,0)*VLOOKUP('Données projet'!$B$16,Paramètres!$A$1:$I$89,5,0)</f>
        <v>270.05680000000018</v>
      </c>
      <c r="FG86" s="13">
        <f t="shared" si="101"/>
        <v>64.861323533797474</v>
      </c>
      <c r="FH86" s="20">
        <f t="shared" si="76"/>
        <v>583.31573182136424</v>
      </c>
      <c r="FI86" s="59">
        <f t="shared" si="77"/>
        <v>876.64906515469761</v>
      </c>
      <c r="FJ86" s="59">
        <f ca="1">AVERAGE(OFFSET($FI$3,0,0,'Données projet'!$E$16+1,1))-AVERAGE(OFFSET($H$3,0,0,'Données projet'!$E$16+1,1))</f>
        <v>347.17049316703486</v>
      </c>
      <c r="FK86" s="59">
        <f t="shared" si="102"/>
        <v>255.45365487683489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36.728434514789882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36.728434514789882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7">
        <f t="shared" si="56"/>
        <v>382.38145599910212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266.02599413192075</v>
      </c>
      <c r="T87" s="59">
        <f t="shared" si="88"/>
        <v>332.94146254783254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7.4950142450142421</v>
      </c>
      <c r="AI87" s="13">
        <f>IF('Données projet'!$A$62&gt;35,AI86+AH87-AQ86,IF(A87&lt;'Données projet'!$A$62,$AF$205^A87,IF(A87='Données projet'!$A$62,'Données projet'!$B$62,AI86+AH87-AQ86)))</f>
        <v>258.38390313390335</v>
      </c>
      <c r="AJ87" s="13">
        <f>AI87*VLOOKUP('Données projet'!$B$10,Paramètres!$A$1:$I$89,3,0)*VLOOKUP('Données projet'!$B$10,Paramètres!$A$1:$I$89,5,0)</f>
        <v>233.78575555555574</v>
      </c>
      <c r="AK87" s="13">
        <f t="shared" si="89"/>
        <v>57.10047099813341</v>
      </c>
      <c r="AL87" s="20">
        <f t="shared" si="58"/>
        <v>506.62684458100858</v>
      </c>
      <c r="AM87" s="59">
        <f t="shared" si="59"/>
        <v>799.9601779143419</v>
      </c>
      <c r="AN87" s="59">
        <f ca="1">AVERAGE(OFFSET($AM$3,0,0,'Données projet'!$E$10+1,1))-AVERAGE(OFFSET($H$3,0,0,'Données projet'!$E$10+1,1))</f>
        <v>282.13645166362238</v>
      </c>
      <c r="AO87" s="59">
        <f t="shared" si="90"/>
        <v>210.5345332979457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30.267772671494157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30.267772671494157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254.6443970237226</v>
      </c>
      <c r="BJ87" s="59">
        <f t="shared" si="92"/>
        <v>231.81667808018062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159.51144332711246</v>
      </c>
      <c r="BQ87" s="21">
        <f>EXP(-LN(2)/25)*BQ86+(1-EXP(-LN(2)/25))/(LN(2)/25)*Calculateur!BL87*Calculateur!BN87*VLOOKUP('Données projet'!$B$11,Paramètres!$A$1:$I$89,3,0)*0.475*44/12</f>
        <v>37.598232420162034</v>
      </c>
      <c r="BR87" s="21">
        <f>EXP(-LN(2)/2)*BR86+(1-EXP(-LN(2)/2))/(LN(2)/2)*BL87*BO87*VLOOKUP('Données projet'!$B$11,Paramètres!$A$1:$I$89,3,0)*0.475*44/12</f>
        <v>0.31119031490908194</v>
      </c>
      <c r="BS87" s="22">
        <f t="shared" si="63"/>
        <v>197.42086606218356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200.00641025641025</v>
      </c>
      <c r="BW87" s="12">
        <f>VLOOKUP(A87,'Données projet'!$A$113:$I$133,9,0)</f>
        <v>5.5042735042735051</v>
      </c>
      <c r="BX87" s="12">
        <f t="array" ref="BX87">INDEX(BW:BW,MIN(IF(ISNUMBER(BW87:BW283),ROW(BW87:BW283),"")))</f>
        <v>5.5042735042735051</v>
      </c>
      <c r="BY87" s="12">
        <f>IF('Données projet'!$A$114&gt;35,BY86+BX87-CG86,IF(A87&lt;'Données projet'!$A$114,$BV$205^A87,IF(A87='Données projet'!$A$114,'Données projet'!$B$114,BY86+BX87-CG86)))</f>
        <v>200.00641025641016</v>
      </c>
      <c r="BZ87" s="13">
        <f>BY87*VLOOKUP('Données projet'!$B$12,Paramètres!$A$1:$I$89,3,0)*VLOOKUP('Données projet'!$B$12,Paramètres!$A$1:$I$89,5,0)</f>
        <v>202.80649999999991</v>
      </c>
      <c r="CA87" s="13">
        <f t="shared" si="93"/>
        <v>50.360450370083477</v>
      </c>
      <c r="CB87" s="20">
        <f t="shared" si="64"/>
        <v>440.93243856122854</v>
      </c>
      <c r="CC87" s="59">
        <f t="shared" si="65"/>
        <v>734.26577189456179</v>
      </c>
      <c r="CD87" s="59">
        <f ca="1">AVERAGE(OFFSET($CC$3,0,0,'Données projet'!$E$12+1,1))-AVERAGE(OFFSET($H$3,0,0,'Données projet'!$E$12+1,1))</f>
        <v>264.08050363622294</v>
      </c>
      <c r="CE87" s="59">
        <f t="shared" si="94"/>
        <v>164.48884512322883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35.083333333333329</v>
      </c>
      <c r="CH87" s="16">
        <f>IF(ISNA(VLOOKUP(A87,'Données projet'!$A$113:$I$133,5,0)),0%,VLOOKUP(A87,'Données projet'!$A$113:$I$133,5,0)*VLOOKUP('Données projet'!$B$12,Paramètres!$A$1:$I$89,7,0))</f>
        <v>0.30099999999999999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20.565730959198525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20.565730959198525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194.7221767407824</v>
      </c>
      <c r="CZ87" s="59">
        <f t="shared" si="96"/>
        <v>177.6550559568646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126.12532728190288</v>
      </c>
      <c r="DG87" s="21">
        <f>EXP(-LN(2)/25)*DG86+(1-EXP(-LN(2)/25))/(LN(2)/25)*Calculateur!DB87*Calculateur!DD87*VLOOKUP('Données projet'!$B$13,Paramètres!$A$1:$I$89,3,0)*0.475*44/12</f>
        <v>29.728834936872321</v>
      </c>
      <c r="DH87" s="21">
        <f>EXP(-LN(2)/2)*DH86+(1-EXP(-LN(2)/2))/(LN(2)/2)*DB87*DE87*VLOOKUP('Données projet'!$B$13,Paramètres!$A$1:$I$89,3,0)*0.475*44/12</f>
        <v>0.24605745830020448</v>
      </c>
      <c r="DI87" s="22">
        <f t="shared" si="69"/>
        <v>156.10021967707542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12.124038461538468</v>
      </c>
      <c r="DO87" s="12">
        <f>IF('Données projet'!$A$166&gt;35,DO86+DN87-DW86,IF(A87&lt;'Données projet'!$A$166,$DL$205^A87,IF(A87='Données projet'!$A$166,'Données projet'!$B$166,DO86+DN87-DW86)))</f>
        <v>420.14326923076942</v>
      </c>
      <c r="DP87" s="17">
        <f>DO87*VLOOKUP('Données projet'!$B$14,Paramètres!$A$1:$I$89,3,0)*VLOOKUP('Données projet'!$B$14,Paramètres!$A$1:$I$89,5,0)</f>
        <v>196.62705000000008</v>
      </c>
      <c r="DQ87" s="13">
        <f t="shared" si="97"/>
        <v>49.002163217129386</v>
      </c>
      <c r="DR87" s="20">
        <f t="shared" si="70"/>
        <v>427.80421301983375</v>
      </c>
      <c r="DS87" s="59">
        <f t="shared" si="71"/>
        <v>721.13754635316707</v>
      </c>
      <c r="DT87" s="59">
        <f ca="1">AVERAGE(OFFSET($DS$3,0,0,'Données projet'!$E$14+1,1))-AVERAGE(OFFSET($H$3,0,0,'Données projet'!$E$14+1,1))</f>
        <v>207.25176714718668</v>
      </c>
      <c r="DU87" s="59">
        <f t="shared" si="98"/>
        <v>191.53228014642559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64.09450035349704</v>
      </c>
      <c r="EB87" s="21">
        <f>EXP(-LN(2)/25)*EB86+(1-EXP(-LN(2)/25))/(LN(2)/25)*Calculateur!DW87*Calculateur!DY87*VLOOKUP('Données projet'!$B$14,Paramètres!$A$1:$I$89,3,0)*0.475*44/12</f>
        <v>23.969732791798812</v>
      </c>
      <c r="EC87" s="21">
        <f>EXP(-LN(2)/2)*EC86+(1-EXP(-LN(2)/2))/(LN(2)/2)*DW87*DZ87*VLOOKUP('Données projet'!$B$14,Paramètres!$A$1:$I$89,3,0)*0.475*44/12</f>
        <v>1.0221933668382208</v>
      </c>
      <c r="ED87" s="22">
        <f t="shared" si="72"/>
        <v>89.086426512134068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-2.8421709430404007E-13</v>
      </c>
      <c r="EK87" s="17">
        <f>EJ87*VLOOKUP('Données projet'!$B$15,Paramètres!$A$1:$I$89,3,0)*VLOOKUP('Données projet'!$B$15,Paramètres!$A$1:$I$89,5,0)</f>
        <v>-1.69961822393816E-13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200.15574321350221</v>
      </c>
      <c r="EP87" s="59">
        <f t="shared" si="100"/>
        <v>200.70728852570426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80.647917144735885</v>
      </c>
      <c r="EW87" s="21">
        <f>EXP(-LN(2)/25)*EW86+(1-EXP(-LN(2)/25))/(LN(2)/25)*Calculateur!ER87*Calculateur!ET87*VLOOKUP('Données projet'!$B$15,Paramètres!$A$1:$I$89,3,0)*0.475*44/12</f>
        <v>18.577082813605195</v>
      </c>
      <c r="EX87" s="21">
        <f>EXP(-LN(2)/2)*EX86+(1-EXP(-LN(2)/2))/(LN(2)/2)*ER87*EU87*VLOOKUP('Données projet'!$B$15,Paramètres!$A$1:$I$89,3,0)*0.475*44/12</f>
        <v>7.8034298071235917E-3</v>
      </c>
      <c r="EY87" s="22">
        <f t="shared" si="75"/>
        <v>99.232803388148199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7.4950142450142421</v>
      </c>
      <c r="FE87" s="12">
        <f>IF('Données projet'!$A$218&gt;35,FE86+FD87-FM86,IF(A87&lt;'Données projet'!$A$218,$FB$205^A87,IF(A87='Données projet'!$A$218,'Données projet'!$B$218,FE86+FD87-FM86)))</f>
        <v>258.38390313390335</v>
      </c>
      <c r="FF87" s="17">
        <f>FE87*VLOOKUP('Données projet'!$B$16,Paramètres!$A$1:$I$89,3,0)*VLOOKUP('Données projet'!$B$16,Paramètres!$A$1:$I$89,5,0)</f>
        <v>278.12443333333357</v>
      </c>
      <c r="FG87" s="13">
        <f t="shared" si="101"/>
        <v>66.570492820364976</v>
      </c>
      <c r="FH87" s="20">
        <f t="shared" si="76"/>
        <v>600.34366305102492</v>
      </c>
      <c r="FI87" s="59">
        <f t="shared" si="77"/>
        <v>893.67699638435829</v>
      </c>
      <c r="FJ87" s="59">
        <f ca="1">AVERAGE(OFFSET($FI$3,0,0,'Données projet'!$E$16+1,1))-AVERAGE(OFFSET($H$3,0,0,'Données projet'!$E$16+1,1))</f>
        <v>347.17049316703486</v>
      </c>
      <c r="FK87" s="59">
        <f t="shared" si="102"/>
        <v>255.45365487683489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36.008212316087878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36.008212316087878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7">
        <f t="shared" si="56"/>
        <v>383.41288575305225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266.02599413192075</v>
      </c>
      <c r="T88" s="59">
        <f t="shared" si="88"/>
        <v>332.94146254783254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7.4950142450142421</v>
      </c>
      <c r="AI88" s="13">
        <f>IF('Données projet'!$A$62&gt;35,AI87+AH88-AQ87,IF(A88&lt;'Données projet'!$A$62,$AF$205^A88,IF(A88='Données projet'!$A$62,'Données projet'!$B$62,AI87+AH88-AQ87)))</f>
        <v>265.87891737891761</v>
      </c>
      <c r="AJ88" s="13">
        <f>AI88*VLOOKUP('Données projet'!$B$10,Paramètres!$A$1:$I$89,3,0)*VLOOKUP('Données projet'!$B$10,Paramètres!$A$1:$I$89,5,0)</f>
        <v>240.56724444444464</v>
      </c>
      <c r="AK88" s="13">
        <f t="shared" si="89"/>
        <v>58.5615591142816</v>
      </c>
      <c r="AL88" s="20">
        <f t="shared" si="58"/>
        <v>520.98266619811488</v>
      </c>
      <c r="AM88" s="59">
        <f t="shared" si="59"/>
        <v>814.31599953144814</v>
      </c>
      <c r="AN88" s="59">
        <f ca="1">AVERAGE(OFFSET($AM$3,0,0,'Données projet'!$E$10+1,1))-AVERAGE(OFFSET($H$3,0,0,'Données projet'!$E$10+1,1))</f>
        <v>282.13645166362238</v>
      </c>
      <c r="AO88" s="59">
        <f t="shared" si="90"/>
        <v>210.5345332979457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29.674240110924561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29.674240110924561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254.6443970237226</v>
      </c>
      <c r="BJ88" s="59">
        <f t="shared" si="92"/>
        <v>231.81667808018062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156.3835212158414</v>
      </c>
      <c r="BQ88" s="21">
        <f>EXP(-LN(2)/25)*BQ87+(1-EXP(-LN(2)/25))/(LN(2)/25)*Calculateur!BL88*Calculateur!BN88*VLOOKUP('Données projet'!$B$11,Paramètres!$A$1:$I$89,3,0)*0.475*44/12</f>
        <v>36.57010677742759</v>
      </c>
      <c r="BR88" s="21">
        <f>EXP(-LN(2)/2)*BR87+(1-EXP(-LN(2)/2))/(LN(2)/2)*BL88*BO88*VLOOKUP('Données projet'!$B$11,Paramètres!$A$1:$I$89,3,0)*0.475*44/12</f>
        <v>0.22004478191178903</v>
      </c>
      <c r="BS88" s="22">
        <f t="shared" si="63"/>
        <v>193.17367277518076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5.2606837606837598</v>
      </c>
      <c r="BY88" s="12">
        <f>IF('Données projet'!$A$114&gt;35,BY87+BX88-CG87,IF(A88&lt;'Données projet'!$A$114,$BV$205^A88,IF(A88='Données projet'!$A$114,'Données projet'!$B$114,BY87+BX88-CG87)))</f>
        <v>170.18376068376057</v>
      </c>
      <c r="BZ88" s="13">
        <f>BY88*VLOOKUP('Données projet'!$B$12,Paramètres!$A$1:$I$89,3,0)*VLOOKUP('Données projet'!$B$12,Paramètres!$A$1:$I$89,5,0)</f>
        <v>172.56633333333323</v>
      </c>
      <c r="CA88" s="13">
        <f t="shared" si="93"/>
        <v>43.664294704622499</v>
      </c>
      <c r="CB88" s="20">
        <f t="shared" si="64"/>
        <v>376.60167716610619</v>
      </c>
      <c r="CC88" s="59">
        <f t="shared" si="65"/>
        <v>669.9350104994395</v>
      </c>
      <c r="CD88" s="59">
        <f ca="1">AVERAGE(OFFSET($CC$3,0,0,'Données projet'!$E$12+1,1))-AVERAGE(OFFSET($H$3,0,0,'Données projet'!$E$12+1,1))</f>
        <v>264.08050363622294</v>
      </c>
      <c r="CE88" s="59">
        <f t="shared" si="94"/>
        <v>164.48884512322883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20.162449518945923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20.162449518945923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194.7221767407824</v>
      </c>
      <c r="CZ88" s="59">
        <f t="shared" si="96"/>
        <v>177.6550559568646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123.65208654275831</v>
      </c>
      <c r="DG88" s="21">
        <f>EXP(-LN(2)/25)*DG87+(1-EXP(-LN(2)/25))/(LN(2)/25)*Calculateur!DB88*Calculateur!DD88*VLOOKUP('Données projet'!$B$13,Paramètres!$A$1:$I$89,3,0)*0.475*44/12</f>
        <v>28.915898382152065</v>
      </c>
      <c r="DH88" s="21">
        <f>EXP(-LN(2)/2)*DH87+(1-EXP(-LN(2)/2))/(LN(2)/2)*DB88*DE88*VLOOKUP('Données projet'!$B$13,Paramètres!$A$1:$I$89,3,0)*0.475*44/12</f>
        <v>0.17398889732560074</v>
      </c>
      <c r="DI88" s="22">
        <f t="shared" si="69"/>
        <v>152.74197382223599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12.124038461538468</v>
      </c>
      <c r="DO88" s="12">
        <f>IF('Données projet'!$A$166&gt;35,DO87+DN88-DW87,IF(A88&lt;'Données projet'!$A$166,$DL$205^A88,IF(A88='Données projet'!$A$166,'Données projet'!$B$166,DO87+DN88-DW87)))</f>
        <v>432.2673076923079</v>
      </c>
      <c r="DP88" s="17">
        <f>DO88*VLOOKUP('Données projet'!$B$14,Paramètres!$A$1:$I$89,3,0)*VLOOKUP('Données projet'!$B$14,Paramètres!$A$1:$I$89,5,0)</f>
        <v>202.3011000000001</v>
      </c>
      <c r="DQ88" s="13">
        <f t="shared" si="97"/>
        <v>50.249542664134772</v>
      </c>
      <c r="DR88" s="20">
        <f t="shared" si="70"/>
        <v>439.85903597336824</v>
      </c>
      <c r="DS88" s="59">
        <f t="shared" si="71"/>
        <v>733.19236930670149</v>
      </c>
      <c r="DT88" s="59">
        <f ca="1">AVERAGE(OFFSET($DS$3,0,0,'Données projet'!$E$14+1,1))-AVERAGE(OFFSET($H$3,0,0,'Données projet'!$E$14+1,1))</f>
        <v>207.25176714718668</v>
      </c>
      <c r="DU88" s="59">
        <f t="shared" si="98"/>
        <v>191.53228014642559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62.837646295349991</v>
      </c>
      <c r="EB88" s="21">
        <f>EXP(-LN(2)/25)*EB87+(1-EXP(-LN(2)/25))/(LN(2)/25)*Calculateur!DW88*Calculateur!DY88*VLOOKUP('Données projet'!$B$14,Paramètres!$A$1:$I$89,3,0)*0.475*44/12</f>
        <v>23.314279188093611</v>
      </c>
      <c r="EC88" s="21">
        <f>EXP(-LN(2)/2)*EC87+(1-EXP(-LN(2)/2))/(LN(2)/2)*DW88*DZ88*VLOOKUP('Données projet'!$B$14,Paramètres!$A$1:$I$89,3,0)*0.475*44/12</f>
        <v>0.72279986137521413</v>
      </c>
      <c r="ED88" s="22">
        <f t="shared" si="72"/>
        <v>86.874725344818813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-2.8421709430404007E-13</v>
      </c>
      <c r="EK88" s="17">
        <f>EJ88*VLOOKUP('Données projet'!$B$15,Paramètres!$A$1:$I$89,3,0)*VLOOKUP('Données projet'!$B$15,Paramètres!$A$1:$I$89,5,0)</f>
        <v>-1.69961822393816E-13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200.15574321350221</v>
      </c>
      <c r="EP88" s="59">
        <f t="shared" si="100"/>
        <v>200.70728852570426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79.066460679899933</v>
      </c>
      <c r="EW88" s="21">
        <f>EXP(-LN(2)/25)*EW87+(1-EXP(-LN(2)/25))/(LN(2)/25)*Calculateur!ER88*Calculateur!ET88*VLOOKUP('Données projet'!$B$15,Paramètres!$A$1:$I$89,3,0)*0.475*44/12</f>
        <v>18.069091507140833</v>
      </c>
      <c r="EX88" s="21">
        <f>EXP(-LN(2)/2)*EX87+(1-EXP(-LN(2)/2))/(LN(2)/2)*ER88*EU88*VLOOKUP('Données projet'!$B$15,Paramètres!$A$1:$I$89,3,0)*0.475*44/12</f>
        <v>5.517858133130325E-3</v>
      </c>
      <c r="EY88" s="22">
        <f t="shared" si="75"/>
        <v>97.14107004517389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7.4950142450142421</v>
      </c>
      <c r="FE88" s="12">
        <f>IF('Données projet'!$A$218&gt;35,FE87+FD88-FM87,IF(A88&lt;'Données projet'!$A$218,$FB$205^A88,IF(A88='Données projet'!$A$218,'Données projet'!$B$218,FE87+FD88-FM87)))</f>
        <v>265.87891737891761</v>
      </c>
      <c r="FF88" s="17">
        <f>FE88*VLOOKUP('Données projet'!$B$16,Paramètres!$A$1:$I$89,3,0)*VLOOKUP('Données projet'!$B$16,Paramètres!$A$1:$I$89,5,0)</f>
        <v>286.1920666666669</v>
      </c>
      <c r="FG88" s="13">
        <f t="shared" si="101"/>
        <v>68.273900064573937</v>
      </c>
      <c r="FH88" s="20">
        <f t="shared" si="76"/>
        <v>617.36155872357779</v>
      </c>
      <c r="FI88" s="59">
        <f t="shared" si="77"/>
        <v>910.69489205691116</v>
      </c>
      <c r="FJ88" s="59">
        <f ca="1">AVERAGE(OFFSET($FI$3,0,0,'Données projet'!$E$16+1,1))-AVERAGE(OFFSET($H$3,0,0,'Données projet'!$E$16+1,1))</f>
        <v>347.17049316703486</v>
      </c>
      <c r="FK88" s="59">
        <f t="shared" si="102"/>
        <v>255.45365487683489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35.30211323541026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35.30211323541026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7">
        <f t="shared" si="56"/>
        <v>384.44401945801803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266.02599413192075</v>
      </c>
      <c r="T89" s="59">
        <f t="shared" si="88"/>
        <v>332.94146254783254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7.4950142450142421</v>
      </c>
      <c r="AI89" s="13">
        <f>IF('Données projet'!$A$62&gt;35,AI88+AH89-AQ88,IF(A89&lt;'Données projet'!$A$62,$AF$205^A89,IF(A89='Données projet'!$A$62,'Données projet'!$B$62,AI88+AH89-AQ88)))</f>
        <v>273.37393162393187</v>
      </c>
      <c r="AJ89" s="13">
        <f>AI89*VLOOKUP('Données projet'!$B$10,Paramètres!$A$1:$I$89,3,0)*VLOOKUP('Données projet'!$B$10,Paramètres!$A$1:$I$89,5,0)</f>
        <v>247.34873333333351</v>
      </c>
      <c r="AK89" s="13">
        <f t="shared" si="89"/>
        <v>60.017860197565874</v>
      </c>
      <c r="AL89" s="20">
        <f t="shared" si="58"/>
        <v>535.33015039964971</v>
      </c>
      <c r="AM89" s="59">
        <f t="shared" si="59"/>
        <v>828.66348373298297</v>
      </c>
      <c r="AN89" s="59">
        <f ca="1">AVERAGE(OFFSET($AM$3,0,0,'Données projet'!$E$10+1,1))-AVERAGE(OFFSET($H$3,0,0,'Données projet'!$E$10+1,1))</f>
        <v>282.13645166362238</v>
      </c>
      <c r="AO89" s="59">
        <f t="shared" si="90"/>
        <v>210.5345332979457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29.09234636184862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29.09234636184862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254.6443970237226</v>
      </c>
      <c r="BJ89" s="59">
        <f t="shared" si="92"/>
        <v>231.81667808018062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153.31693574932825</v>
      </c>
      <c r="BQ89" s="21">
        <f>EXP(-LN(2)/25)*BQ88+(1-EXP(-LN(2)/25))/(LN(2)/25)*Calculateur!BL89*Calculateur!BN89*VLOOKUP('Données projet'!$B$11,Paramètres!$A$1:$I$89,3,0)*0.475*44/12</f>
        <v>35.5700952844605</v>
      </c>
      <c r="BR89" s="21">
        <f>EXP(-LN(2)/2)*BR88+(1-EXP(-LN(2)/2))/(LN(2)/2)*BL89*BO89*VLOOKUP('Données projet'!$B$11,Paramètres!$A$1:$I$89,3,0)*0.475*44/12</f>
        <v>0.15559515745454097</v>
      </c>
      <c r="BS89" s="22">
        <f t="shared" si="63"/>
        <v>189.0426261912433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5.2606837606837598</v>
      </c>
      <c r="BY89" s="12">
        <f>IF('Données projet'!$A$114&gt;35,BY88+BX89-CG88,IF(A89&lt;'Données projet'!$A$114,$BV$205^A89,IF(A89='Données projet'!$A$114,'Données projet'!$B$114,BY88+BX89-CG88)))</f>
        <v>175.44444444444431</v>
      </c>
      <c r="BZ89" s="13">
        <f>BY89*VLOOKUP('Données projet'!$B$12,Paramètres!$A$1:$I$89,3,0)*VLOOKUP('Données projet'!$B$12,Paramètres!$A$1:$I$89,5,0)</f>
        <v>177.90066666666655</v>
      </c>
      <c r="CA89" s="13">
        <f t="shared" si="93"/>
        <v>44.854804758185892</v>
      </c>
      <c r="CB89" s="20">
        <f t="shared" si="64"/>
        <v>387.96577939828467</v>
      </c>
      <c r="CC89" s="59">
        <f t="shared" si="65"/>
        <v>681.29911273161792</v>
      </c>
      <c r="CD89" s="59">
        <f ca="1">AVERAGE(OFFSET($CC$3,0,0,'Données projet'!$E$12+1,1))-AVERAGE(OFFSET($H$3,0,0,'Données projet'!$E$12+1,1))</f>
        <v>264.08050363622294</v>
      </c>
      <c r="CE89" s="59">
        <f t="shared" si="94"/>
        <v>164.48884512322883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19.767076181759286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19.767076181759286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194.7221767407824</v>
      </c>
      <c r="CZ89" s="59">
        <f t="shared" si="96"/>
        <v>177.6550559568646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121.22734454598047</v>
      </c>
      <c r="DG89" s="21">
        <f>EXP(-LN(2)/25)*DG88+(1-EXP(-LN(2)/25))/(LN(2)/25)*Calculateur!DB89*Calculateur!DD89*VLOOKUP('Données projet'!$B$13,Paramètres!$A$1:$I$89,3,0)*0.475*44/12</f>
        <v>28.12519162027111</v>
      </c>
      <c r="DH89" s="21">
        <f>EXP(-LN(2)/2)*DH88+(1-EXP(-LN(2)/2))/(LN(2)/2)*DB89*DE89*VLOOKUP('Données projet'!$B$13,Paramètres!$A$1:$I$89,3,0)*0.475*44/12</f>
        <v>0.12302872915010225</v>
      </c>
      <c r="DI89" s="22">
        <f t="shared" si="69"/>
        <v>149.47556489540167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12.124038461538468</v>
      </c>
      <c r="DO89" s="12">
        <f>IF('Données projet'!$A$166&gt;35,DO88+DN89-DW88,IF(A89&lt;'Données projet'!$A$166,$DL$205^A89,IF(A89='Données projet'!$A$166,'Données projet'!$B$166,DO88+DN89-DW88)))</f>
        <v>444.39134615384637</v>
      </c>
      <c r="DP89" s="17">
        <f>DO89*VLOOKUP('Données projet'!$B$14,Paramètres!$A$1:$I$89,3,0)*VLOOKUP('Données projet'!$B$14,Paramètres!$A$1:$I$89,5,0)</f>
        <v>207.9751500000001</v>
      </c>
      <c r="DQ89" s="13">
        <f t="shared" si="97"/>
        <v>51.492855825196166</v>
      </c>
      <c r="DR89" s="20">
        <f t="shared" si="70"/>
        <v>451.90677681221678</v>
      </c>
      <c r="DS89" s="59">
        <f t="shared" si="71"/>
        <v>745.24011014555003</v>
      </c>
      <c r="DT89" s="59">
        <f ca="1">AVERAGE(OFFSET($DS$3,0,0,'Données projet'!$E$14+1,1))-AVERAGE(OFFSET($H$3,0,0,'Données projet'!$E$14+1,1))</f>
        <v>207.25176714718668</v>
      </c>
      <c r="DU89" s="59">
        <f t="shared" si="98"/>
        <v>191.53228014642559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61.605438378677924</v>
      </c>
      <c r="EB89" s="21">
        <f>EXP(-LN(2)/25)*EB88+(1-EXP(-LN(2)/25))/(LN(2)/25)*Calculateur!DW89*Calculateur!DY89*VLOOKUP('Données projet'!$B$14,Paramètres!$A$1:$I$89,3,0)*0.475*44/12</f>
        <v>22.676748997650535</v>
      </c>
      <c r="EC89" s="21">
        <f>EXP(-LN(2)/2)*EC88+(1-EXP(-LN(2)/2))/(LN(2)/2)*DW89*DZ89*VLOOKUP('Données projet'!$B$14,Paramètres!$A$1:$I$89,3,0)*0.475*44/12</f>
        <v>0.51109668341911041</v>
      </c>
      <c r="ED89" s="22">
        <f t="shared" si="72"/>
        <v>84.793284059747577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-2.8421709430404007E-13</v>
      </c>
      <c r="EK89" s="17">
        <f>EJ89*VLOOKUP('Données projet'!$B$15,Paramètres!$A$1:$I$89,3,0)*VLOOKUP('Données projet'!$B$15,Paramètres!$A$1:$I$89,5,0)</f>
        <v>-1.69961822393816E-13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200.15574321350221</v>
      </c>
      <c r="EP89" s="59">
        <f t="shared" si="100"/>
        <v>200.70728852570426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77.516015611746212</v>
      </c>
      <c r="EW89" s="21">
        <f>EXP(-LN(2)/25)*EW88+(1-EXP(-LN(2)/25))/(LN(2)/25)*Calculateur!ER89*Calculateur!ET89*VLOOKUP('Données projet'!$B$15,Paramètres!$A$1:$I$89,3,0)*0.475*44/12</f>
        <v>17.574991249665842</v>
      </c>
      <c r="EX89" s="21">
        <f>EXP(-LN(2)/2)*EX88+(1-EXP(-LN(2)/2))/(LN(2)/2)*ER89*EU89*VLOOKUP('Données projet'!$B$15,Paramètres!$A$1:$I$89,3,0)*0.475*44/12</f>
        <v>3.9017149035617967E-3</v>
      </c>
      <c r="EY89" s="22">
        <f t="shared" si="75"/>
        <v>95.094908576315618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7.4950142450142421</v>
      </c>
      <c r="FE89" s="12">
        <f>IF('Données projet'!$A$218&gt;35,FE88+FD89-FM88,IF(A89&lt;'Données projet'!$A$218,$FB$205^A89,IF(A89='Données projet'!$A$218,'Données projet'!$B$218,FE88+FD89-FM88)))</f>
        <v>273.37393162393187</v>
      </c>
      <c r="FF89" s="17">
        <f>FE89*VLOOKUP('Données projet'!$B$16,Paramètres!$A$1:$I$89,3,0)*VLOOKUP('Données projet'!$B$16,Paramètres!$A$1:$I$89,5,0)</f>
        <v>294.25970000000024</v>
      </c>
      <c r="FG89" s="13">
        <f t="shared" si="101"/>
        <v>69.971726354172048</v>
      </c>
      <c r="FH89" s="20">
        <f t="shared" si="76"/>
        <v>634.36973423351674</v>
      </c>
      <c r="FI89" s="59">
        <f t="shared" si="77"/>
        <v>927.70306756685</v>
      </c>
      <c r="FJ89" s="59">
        <f ca="1">AVERAGE(OFFSET($FI$3,0,0,'Données projet'!$E$16+1,1))-AVERAGE(OFFSET($H$3,0,0,'Données projet'!$E$16+1,1))</f>
        <v>347.17049316703486</v>
      </c>
      <c r="FK89" s="59">
        <f t="shared" si="102"/>
        <v>255.45365487683489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34.609860327026816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34.609860327026816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7">
        <f t="shared" si="56"/>
        <v>385.47486095470271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266.02599413192075</v>
      </c>
      <c r="T90" s="59">
        <f t="shared" si="88"/>
        <v>332.94146254783254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7.4950142450142421</v>
      </c>
      <c r="AI90" s="13">
        <f>IF('Données projet'!$A$62&gt;35,AI89+AH90-AQ89,IF(A90&lt;'Données projet'!$A$62,$AF$205^A90,IF(A90='Données projet'!$A$62,'Données projet'!$B$62,AI89+AH90-AQ89)))</f>
        <v>280.86894586894613</v>
      </c>
      <c r="AJ90" s="13">
        <f>AI90*VLOOKUP('Données projet'!$B$10,Paramètres!$A$1:$I$89,3,0)*VLOOKUP('Données projet'!$B$10,Paramètres!$A$1:$I$89,5,0)</f>
        <v>254.13022222222247</v>
      </c>
      <c r="AK90" s="13">
        <f t="shared" si="89"/>
        <v>61.469520573147591</v>
      </c>
      <c r="AL90" s="20">
        <f t="shared" si="58"/>
        <v>549.66955203526948</v>
      </c>
      <c r="AM90" s="59">
        <f t="shared" si="59"/>
        <v>843.00288536860285</v>
      </c>
      <c r="AN90" s="59">
        <f ca="1">AVERAGE(OFFSET($AM$3,0,0,'Données projet'!$E$10+1,1))-AVERAGE(OFFSET($H$3,0,0,'Données projet'!$E$10+1,1))</f>
        <v>282.13645166362238</v>
      </c>
      <c r="AO90" s="59">
        <f t="shared" si="90"/>
        <v>210.5345332979457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28.521863194271916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28.521863194271916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254.6443970237226</v>
      </c>
      <c r="BJ90" s="59">
        <f t="shared" si="92"/>
        <v>231.81667808018062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150.31048415338097</v>
      </c>
      <c r="BQ90" s="21">
        <f>EXP(-LN(2)/25)*BQ89+(1-EXP(-LN(2)/25))/(LN(2)/25)*Calculateur!BL90*Calculateur!BN90*VLOOKUP('Données projet'!$B$11,Paramètres!$A$1:$I$89,3,0)*0.475*44/12</f>
        <v>34.59742915835691</v>
      </c>
      <c r="BR90" s="21">
        <f>EXP(-LN(2)/2)*BR89+(1-EXP(-LN(2)/2))/(LN(2)/2)*BL90*BO90*VLOOKUP('Données projet'!$B$11,Paramètres!$A$1:$I$89,3,0)*0.475*44/12</f>
        <v>0.11002239095589451</v>
      </c>
      <c r="BS90" s="22">
        <f t="shared" si="63"/>
        <v>185.01793570269376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5.2606837606837598</v>
      </c>
      <c r="BY90" s="12">
        <f>IF('Données projet'!$A$114&gt;35,BY89+BX90-CG89,IF(A90&lt;'Données projet'!$A$114,$BV$205^A90,IF(A90='Données projet'!$A$114,'Données projet'!$B$114,BY89+BX90-CG89)))</f>
        <v>180.70512820512806</v>
      </c>
      <c r="BZ90" s="13">
        <f>BY90*VLOOKUP('Données projet'!$B$12,Paramètres!$A$1:$I$89,3,0)*VLOOKUP('Données projet'!$B$12,Paramètres!$A$1:$I$89,5,0)</f>
        <v>183.23499999999987</v>
      </c>
      <c r="CA90" s="13">
        <f t="shared" si="93"/>
        <v>46.041166229421272</v>
      </c>
      <c r="CB90" s="20">
        <f t="shared" si="64"/>
        <v>399.32265618290847</v>
      </c>
      <c r="CC90" s="59">
        <f t="shared" si="65"/>
        <v>692.65598951624179</v>
      </c>
      <c r="CD90" s="59">
        <f ca="1">AVERAGE(OFFSET($CC$3,0,0,'Données projet'!$E$12+1,1))-AVERAGE(OFFSET($H$3,0,0,'Données projet'!$E$12+1,1))</f>
        <v>264.08050363622294</v>
      </c>
      <c r="CE90" s="59">
        <f t="shared" si="94"/>
        <v>164.48884512322883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19.379455874560954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19.379455874560954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194.7221767407824</v>
      </c>
      <c r="CZ90" s="59">
        <f t="shared" si="96"/>
        <v>177.6550559568646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118.85015026081287</v>
      </c>
      <c r="DG90" s="21">
        <f>EXP(-LN(2)/25)*DG89+(1-EXP(-LN(2)/25))/(LN(2)/25)*Calculateur!DB90*Calculateur!DD90*VLOOKUP('Données projet'!$B$13,Paramètres!$A$1:$I$89,3,0)*0.475*44/12</f>
        <v>27.356106776375249</v>
      </c>
      <c r="DH90" s="21">
        <f>EXP(-LN(2)/2)*DH89+(1-EXP(-LN(2)/2))/(LN(2)/2)*DB90*DE90*VLOOKUP('Données projet'!$B$13,Paramètres!$A$1:$I$89,3,0)*0.475*44/12</f>
        <v>8.6994448662800386E-2</v>
      </c>
      <c r="DI90" s="22">
        <f t="shared" si="69"/>
        <v>146.29325148585093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>
        <f>VLOOKUP(A90,'Données projet'!$A$165:$I$185,2,0)</f>
        <v>456.51538461538462</v>
      </c>
      <c r="DM90" s="12">
        <f>VLOOKUP(A90,'Données projet'!$A$165:$I$185,9,0)</f>
        <v>12.124038461538468</v>
      </c>
      <c r="DN90" s="12">
        <f t="array" ref="DN90">INDEX(DM:DM,MIN(IF(ISNUMBER(DM90:DM286),ROW(DM90:DM286),"")))</f>
        <v>12.124038461538468</v>
      </c>
      <c r="DO90" s="12">
        <f>IF('Données projet'!$A$166&gt;35,DO89+DN90-DW89,IF(A90&lt;'Données projet'!$A$166,$DL$205^A90,IF(A90='Données projet'!$A$166,'Données projet'!$B$166,DO89+DN90-DW89)))</f>
        <v>456.51538461538485</v>
      </c>
      <c r="DP90" s="17">
        <f>DO90*VLOOKUP('Données projet'!$B$14,Paramètres!$A$1:$I$89,3,0)*VLOOKUP('Données projet'!$B$14,Paramètres!$A$1:$I$89,5,0)</f>
        <v>213.64920000000012</v>
      </c>
      <c r="DQ90" s="13">
        <f t="shared" si="97"/>
        <v>52.732226385923781</v>
      </c>
      <c r="DR90" s="20">
        <f t="shared" si="70"/>
        <v>463.94765095548405</v>
      </c>
      <c r="DS90" s="59">
        <f t="shared" si="71"/>
        <v>757.28098428881731</v>
      </c>
      <c r="DT90" s="59">
        <f ca="1">AVERAGE(OFFSET($DS$3,0,0,'Données projet'!$E$14+1,1))-AVERAGE(OFFSET($H$3,0,0,'Données projet'!$E$14+1,1))</f>
        <v>207.25176714718668</v>
      </c>
      <c r="DU90" s="59">
        <f t="shared" si="98"/>
        <v>191.53228014642559</v>
      </c>
      <c r="DV90" s="15">
        <f>IF(ISNA(VLOOKUP(A90,'Données projet'!$A$165:$I$185,3,0)),0,VLOOKUP(A90,'Données projet'!$A$165:$I$185,3,0))</f>
        <v>7</v>
      </c>
      <c r="DW90" s="15">
        <f>IF(ISNA(VLOOKUP(A90,'Données projet'!$A$165:$I$185,4,0)),0,VLOOKUP(A90,'Données projet'!$A$165:$I$185,4,0))</f>
        <v>77.330769230769235</v>
      </c>
      <c r="DX90" s="16">
        <f>IF(ISNA(VLOOKUP(A90,'Données projet'!$A$165:$I$185,5,0)),0%,VLOOKUP(A90,'Données projet'!$A$165:$I$185,5,0)*VLOOKUP('Données projet'!$B$14,Paramètres!$A$1:$I$89,7,0))</f>
        <v>0.38500000000000001</v>
      </c>
      <c r="DY90" s="16">
        <f>IF(ISNA(VLOOKUP(A90,'Données projet'!$A$165:$I$185,6,0)),0%,VLOOKUP(A90,'Données projet'!$A$165:$I$185,6,0)*VLOOKUP('Données projet'!$B$14,Paramètres!$A$1:$I$89,7,0))</f>
        <v>9.240000000000001E-2</v>
      </c>
      <c r="DZ90" s="16">
        <f>IF(ISNA(VLOOKUP(A90,'Données projet'!$A$165:$I$185,7,0)),0%,VLOOKUP(A90,'Données projet'!$A$165:$I$185,7,0))</f>
        <v>0.13200000000000001</v>
      </c>
      <c r="EA90" s="21">
        <f>EXP(-LN(2)/35)*EA89+(1-EXP(-LN(2)/35))/(LN(2)/35)*DW90*DX90*VLOOKUP('Données projet'!$B$14,Paramètres!$A$1:$I$89,3,0)*0.475*44/12</f>
        <v>78.881023431838884</v>
      </c>
      <c r="EB90" s="21">
        <f>EXP(-LN(2)/25)*EB89+(1-EXP(-LN(2)/25))/(LN(2)/25)*Calculateur!DW90*Calculateur!DY90*VLOOKUP('Données projet'!$B$14,Paramètres!$A$1:$I$89,3,0)*0.475*44/12</f>
        <v>26.475256830882337</v>
      </c>
      <c r="EC90" s="21">
        <f>EXP(-LN(2)/2)*EC89+(1-EXP(-LN(2)/2))/(LN(2)/2)*DW90*DZ90*VLOOKUP('Données projet'!$B$14,Paramètres!$A$1:$I$89,3,0)*0.475*44/12</f>
        <v>5.770283758285955</v>
      </c>
      <c r="ED90" s="22">
        <f t="shared" si="72"/>
        <v>111.12656402100717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-2.8421709430404007E-13</v>
      </c>
      <c r="EK90" s="17">
        <f>EJ90*VLOOKUP('Données projet'!$B$15,Paramètres!$A$1:$I$89,3,0)*VLOOKUP('Données projet'!$B$15,Paramètres!$A$1:$I$89,5,0)</f>
        <v>-1.69961822393816E-13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200.15574321350221</v>
      </c>
      <c r="EP90" s="59">
        <f t="shared" si="100"/>
        <v>200.70728852570426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75.995973825700872</v>
      </c>
      <c r="EW90" s="21">
        <f>EXP(-LN(2)/25)*EW89+(1-EXP(-LN(2)/25))/(LN(2)/25)*Calculateur!ER90*Calculateur!ET90*VLOOKUP('Données projet'!$B$15,Paramètres!$A$1:$I$89,3,0)*0.475*44/12</f>
        <v>17.094402189715108</v>
      </c>
      <c r="EX90" s="21">
        <f>EXP(-LN(2)/2)*EX89+(1-EXP(-LN(2)/2))/(LN(2)/2)*ER90*EU90*VLOOKUP('Données projet'!$B$15,Paramètres!$A$1:$I$89,3,0)*0.475*44/12</f>
        <v>2.7589290665651629E-3</v>
      </c>
      <c r="EY90" s="22">
        <f t="shared" si="75"/>
        <v>93.093134944482543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7.4950142450142421</v>
      </c>
      <c r="FE90" s="12">
        <f>IF('Données projet'!$A$218&gt;35,FE89+FD90-FM89,IF(A90&lt;'Données projet'!$A$218,$FB$205^A90,IF(A90='Données projet'!$A$218,'Données projet'!$B$218,FE89+FD90-FM89)))</f>
        <v>280.86894586894613</v>
      </c>
      <c r="FF90" s="17">
        <f>FE90*VLOOKUP('Données projet'!$B$16,Paramètres!$A$1:$I$89,3,0)*VLOOKUP('Données projet'!$B$16,Paramètres!$A$1:$I$89,5,0)</f>
        <v>302.32733333333357</v>
      </c>
      <c r="FG90" s="13">
        <f t="shared" si="101"/>
        <v>71.664142282114682</v>
      </c>
      <c r="FH90" s="20">
        <f t="shared" si="76"/>
        <v>651.36848669690573</v>
      </c>
      <c r="FI90" s="59">
        <f t="shared" si="77"/>
        <v>944.70182003023911</v>
      </c>
      <c r="FJ90" s="59">
        <f ca="1">AVERAGE(OFFSET($FI$3,0,0,'Données projet'!$E$16+1,1))-AVERAGE(OFFSET($H$3,0,0,'Données projet'!$E$16+1,1))</f>
        <v>347.17049316703486</v>
      </c>
      <c r="FK90" s="59">
        <f t="shared" si="102"/>
        <v>255.45365487683489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33.931182075944186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33.931182075944186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7">
        <f t="shared" si="56"/>
        <v>386.50541399043533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266.02599413192075</v>
      </c>
      <c r="T91" s="59">
        <f t="shared" si="88"/>
        <v>332.94146254783254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7.4950142450142421</v>
      </c>
      <c r="AI91" s="13">
        <f>IF('Données projet'!$A$62&gt;35,AI90+AH91-AQ90,IF(A91&lt;'Données projet'!$A$62,$AF$205^A91,IF(A91='Données projet'!$A$62,'Données projet'!$B$62,AI90+AH91-AQ90)))</f>
        <v>288.36396011396039</v>
      </c>
      <c r="AJ91" s="13">
        <f>AI91*VLOOKUP('Données projet'!$B$10,Paramètres!$A$1:$I$89,3,0)*VLOOKUP('Données projet'!$B$10,Paramètres!$A$1:$I$89,5,0)</f>
        <v>260.91171111111134</v>
      </c>
      <c r="AK91" s="13">
        <f t="shared" si="89"/>
        <v>62.916678312142118</v>
      </c>
      <c r="AL91" s="20">
        <f t="shared" si="58"/>
        <v>564.00111157883305</v>
      </c>
      <c r="AM91" s="59">
        <f t="shared" si="59"/>
        <v>857.33444491216642</v>
      </c>
      <c r="AN91" s="59">
        <f ca="1">AVERAGE(OFFSET($AM$3,0,0,'Données projet'!$E$10+1,1))-AVERAGE(OFFSET($H$3,0,0,'Données projet'!$E$10+1,1))</f>
        <v>282.13645166362238</v>
      </c>
      <c r="AO91" s="59">
        <f t="shared" si="90"/>
        <v>210.5345332979457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27.962566853651019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27.962566853651019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254.6443970237226</v>
      </c>
      <c r="BJ91" s="59">
        <f t="shared" si="92"/>
        <v>231.81667808018062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147.36298723947581</v>
      </c>
      <c r="BQ91" s="21">
        <f>EXP(-LN(2)/25)*BQ90+(1-EXP(-LN(2)/25))/(LN(2)/25)*Calculateur!BL91*Calculateur!BN91*VLOOKUP('Données projet'!$B$11,Paramètres!$A$1:$I$89,3,0)*0.475*44/12</f>
        <v>33.651360638621917</v>
      </c>
      <c r="BR91" s="21">
        <f>EXP(-LN(2)/2)*BR90+(1-EXP(-LN(2)/2))/(LN(2)/2)*BL91*BO91*VLOOKUP('Données projet'!$B$11,Paramètres!$A$1:$I$89,3,0)*0.475*44/12</f>
        <v>7.7797578727270486E-2</v>
      </c>
      <c r="BS91" s="22">
        <f t="shared" si="63"/>
        <v>181.09214545682499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5.2606837606837598</v>
      </c>
      <c r="BY91" s="12">
        <f>IF('Données projet'!$A$114&gt;35,BY90+BX91-CG90,IF(A91&lt;'Données projet'!$A$114,$BV$205^A91,IF(A91='Données projet'!$A$114,'Données projet'!$B$114,BY90+BX91-CG90)))</f>
        <v>185.96581196581181</v>
      </c>
      <c r="BZ91" s="13">
        <f>BY91*VLOOKUP('Données projet'!$B$12,Paramètres!$A$1:$I$89,3,0)*VLOOKUP('Données projet'!$B$12,Paramètres!$A$1:$I$89,5,0)</f>
        <v>188.56933333333319</v>
      </c>
      <c r="CA91" s="13">
        <f t="shared" si="93"/>
        <v>47.223513760156187</v>
      </c>
      <c r="CB91" s="20">
        <f t="shared" si="64"/>
        <v>410.67254202116061</v>
      </c>
      <c r="CC91" s="59">
        <f t="shared" si="65"/>
        <v>704.00587535449392</v>
      </c>
      <c r="CD91" s="59">
        <f ca="1">AVERAGE(OFFSET($CC$3,0,0,'Données projet'!$E$12+1,1))-AVERAGE(OFFSET($H$3,0,0,'Données projet'!$E$12+1,1))</f>
        <v>264.08050363622294</v>
      </c>
      <c r="CE91" s="59">
        <f t="shared" si="94"/>
        <v>164.48884512322883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18.999436565161737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18.999436565161737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194.7221767407824</v>
      </c>
      <c r="CZ91" s="59">
        <f t="shared" si="96"/>
        <v>177.6550559568646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116.51957130563206</v>
      </c>
      <c r="DG91" s="21">
        <f>EXP(-LN(2)/25)*DG90+(1-EXP(-LN(2)/25))/(LN(2)/25)*Calculateur!DB91*Calculateur!DD91*VLOOKUP('Données projet'!$B$13,Paramètres!$A$1:$I$89,3,0)*0.475*44/12</f>
        <v>26.608052597980137</v>
      </c>
      <c r="DH91" s="21">
        <f>EXP(-LN(2)/2)*DH90+(1-EXP(-LN(2)/2))/(LN(2)/2)*DB91*DE91*VLOOKUP('Données projet'!$B$13,Paramètres!$A$1:$I$89,3,0)*0.475*44/12</f>
        <v>6.1514364575051141E-2</v>
      </c>
      <c r="DI91" s="22">
        <f t="shared" si="69"/>
        <v>143.18913826818726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11.242307692307691</v>
      </c>
      <c r="DO91" s="12">
        <f>IF('Données projet'!$A$166&gt;35,DO90+DN91-DW90,IF(A91&lt;'Données projet'!$A$166,$DL$205^A91,IF(A91='Données projet'!$A$166,'Données projet'!$B$166,DO90+DN91-DW90)))</f>
        <v>390.42692307692329</v>
      </c>
      <c r="DP91" s="17">
        <f>DO91*VLOOKUP('Données projet'!$B$14,Paramètres!$A$1:$I$89,3,0)*VLOOKUP('Données projet'!$B$14,Paramètres!$A$1:$I$89,5,0)</f>
        <v>182.71980000000011</v>
      </c>
      <c r="DQ91" s="13">
        <f t="shared" si="97"/>
        <v>45.926762394770535</v>
      </c>
      <c r="DR91" s="20">
        <f t="shared" si="70"/>
        <v>398.22609617089216</v>
      </c>
      <c r="DS91" s="59">
        <f t="shared" si="71"/>
        <v>691.55942950422548</v>
      </c>
      <c r="DT91" s="59">
        <f ca="1">AVERAGE(OFFSET($DS$3,0,0,'Données projet'!$E$14+1,1))-AVERAGE(OFFSET($H$3,0,0,'Données projet'!$E$14+1,1))</f>
        <v>207.25176714718668</v>
      </c>
      <c r="DU91" s="59">
        <f t="shared" si="98"/>
        <v>191.53228014642559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77.334214675014081</v>
      </c>
      <c r="EB91" s="21">
        <f>EXP(-LN(2)/25)*EB90+(1-EXP(-LN(2)/25))/(LN(2)/25)*Calculateur!DW91*Calculateur!DY91*VLOOKUP('Données projet'!$B$14,Paramètres!$A$1:$I$89,3,0)*0.475*44/12</f>
        <v>25.751289540568614</v>
      </c>
      <c r="EC91" s="21">
        <f>EXP(-LN(2)/2)*EC90+(1-EXP(-LN(2)/2))/(LN(2)/2)*DW91*DZ91*VLOOKUP('Données projet'!$B$14,Paramètres!$A$1:$I$89,3,0)*0.475*44/12</f>
        <v>4.080206774854596</v>
      </c>
      <c r="ED91" s="22">
        <f t="shared" si="72"/>
        <v>107.16571099043729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-2.8421709430404007E-13</v>
      </c>
      <c r="EK91" s="17">
        <f>EJ91*VLOOKUP('Données projet'!$B$15,Paramètres!$A$1:$I$89,3,0)*VLOOKUP('Données projet'!$B$15,Paramètres!$A$1:$I$89,5,0)</f>
        <v>-1.69961822393816E-13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200.15574321350221</v>
      </c>
      <c r="EP91" s="59">
        <f t="shared" si="100"/>
        <v>200.70728852570426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74.50573913194593</v>
      </c>
      <c r="EW91" s="21">
        <f>EXP(-LN(2)/25)*EW90+(1-EXP(-LN(2)/25))/(LN(2)/25)*Calculateur!ER91*Calculateur!ET91*VLOOKUP('Données projet'!$B$15,Paramètres!$A$1:$I$89,3,0)*0.475*44/12</f>
        <v>16.626954862881806</v>
      </c>
      <c r="EX91" s="21">
        <f>EXP(-LN(2)/2)*EX90+(1-EXP(-LN(2)/2))/(LN(2)/2)*ER91*EU91*VLOOKUP('Données projet'!$B$15,Paramètres!$A$1:$I$89,3,0)*0.475*44/12</f>
        <v>1.9508574517808986E-3</v>
      </c>
      <c r="EY91" s="22">
        <f t="shared" si="75"/>
        <v>91.134644852279507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7.4950142450142421</v>
      </c>
      <c r="FE91" s="12">
        <f>IF('Données projet'!$A$218&gt;35,FE90+FD91-FM90,IF(A91&lt;'Données projet'!$A$218,$FB$205^A91,IF(A91='Données projet'!$A$218,'Données projet'!$B$218,FE90+FD91-FM90)))</f>
        <v>288.36396011396039</v>
      </c>
      <c r="FF91" s="17">
        <f>FE91*VLOOKUP('Données projet'!$B$16,Paramètres!$A$1:$I$89,3,0)*VLOOKUP('Données projet'!$B$16,Paramètres!$A$1:$I$89,5,0)</f>
        <v>310.39496666666696</v>
      </c>
      <c r="FG91" s="13">
        <f t="shared" si="101"/>
        <v>73.351308818391132</v>
      </c>
      <c r="FH91" s="20">
        <f t="shared" si="76"/>
        <v>668.35809646980954</v>
      </c>
      <c r="FI91" s="59">
        <f t="shared" si="77"/>
        <v>961.69142980314291</v>
      </c>
      <c r="FJ91" s="59">
        <f ca="1">AVERAGE(OFFSET($FI$3,0,0,'Données projet'!$E$16+1,1))-AVERAGE(OFFSET($H$3,0,0,'Données projet'!$E$16+1,1))</f>
        <v>347.17049316703486</v>
      </c>
      <c r="FK91" s="59">
        <f t="shared" si="102"/>
        <v>255.45365487683489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33.265812291412431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33.265812291412431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7">
        <f t="shared" si="56"/>
        <v>387.53568222247543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266.02599413192075</v>
      </c>
      <c r="T92" s="59">
        <f t="shared" si="88"/>
        <v>332.94146254783254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295.85897435897436</v>
      </c>
      <c r="AG92" s="12">
        <f>VLOOKUP(A92,'Données projet'!$A$61:$I$81,9,0)</f>
        <v>7.4950142450142421</v>
      </c>
      <c r="AH92" s="12">
        <f t="array" ref="AH92">INDEX(AG:AG,MIN(IF(ISNUMBER(AG92:AG288),ROW(AG92:AG288),"")))</f>
        <v>7.4950142450142421</v>
      </c>
      <c r="AI92" s="13">
        <f>IF('Données projet'!$A$62&gt;35,AI91+AH92-AQ91,IF(A92&lt;'Données projet'!$A$62,$AF$205^A92,IF(A92='Données projet'!$A$62,'Données projet'!$B$62,AI91+AH92-AQ91)))</f>
        <v>295.85897435897465</v>
      </c>
      <c r="AJ92" s="13">
        <f>AI92*VLOOKUP('Données projet'!$B$10,Paramètres!$A$1:$I$89,3,0)*VLOOKUP('Données projet'!$B$10,Paramètres!$A$1:$I$89,5,0)</f>
        <v>267.69320000000022</v>
      </c>
      <c r="AK92" s="13">
        <f t="shared" si="89"/>
        <v>64.359463899490166</v>
      </c>
      <c r="AL92" s="20">
        <f t="shared" si="58"/>
        <v>578.32505629161233</v>
      </c>
      <c r="AM92" s="59">
        <f t="shared" si="59"/>
        <v>871.65838962494558</v>
      </c>
      <c r="AN92" s="59">
        <f ca="1">AVERAGE(OFFSET($AM$3,0,0,'Données projet'!$E$10+1,1))-AVERAGE(OFFSET($H$3,0,0,'Données projet'!$E$10+1,1))</f>
        <v>282.13645166362238</v>
      </c>
      <c r="AO92" s="59">
        <f t="shared" si="90"/>
        <v>210.5345332979457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49.391025641025635</v>
      </c>
      <c r="AR92" s="16">
        <f>IF(ISNA(VLOOKUP(A92,'Données projet'!$A$61:$I$81,5,0)),0%,VLOOKUP(A92,'Données projet'!$A$61:$I$81,5,0)*VLOOKUP('Données projet'!$B$10,Paramètres!$A$1:$I$89,7,0))</f>
        <v>0.30099999999999999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42.284350076207964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42.284350076207964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254.6443970237226</v>
      </c>
      <c r="BJ92" s="59">
        <f t="shared" si="92"/>
        <v>231.81667808018062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144.47328894225674</v>
      </c>
      <c r="BQ92" s="21">
        <f>EXP(-LN(2)/25)*BQ91+(1-EXP(-LN(2)/25))/(LN(2)/25)*Calculateur!BL92*Calculateur!BN92*VLOOKUP('Données projet'!$B$11,Paramètres!$A$1:$I$89,3,0)*0.475*44/12</f>
        <v>32.731162412310653</v>
      </c>
      <c r="BR92" s="21">
        <f>EXP(-LN(2)/2)*BR91+(1-EXP(-LN(2)/2))/(LN(2)/2)*BL92*BO92*VLOOKUP('Données projet'!$B$11,Paramètres!$A$1:$I$89,3,0)*0.475*44/12</f>
        <v>5.5011195477947257E-2</v>
      </c>
      <c r="BS92" s="22">
        <f t="shared" si="63"/>
        <v>177.25946255004536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5.2606837606837598</v>
      </c>
      <c r="BY92" s="12">
        <f>IF('Données projet'!$A$114&gt;35,BY91+BX92-CG91,IF(A92&lt;'Données projet'!$A$114,$BV$205^A92,IF(A92='Données projet'!$A$114,'Données projet'!$B$114,BY91+BX92-CG91)))</f>
        <v>191.22649572649556</v>
      </c>
      <c r="BZ92" s="13">
        <f>BY92*VLOOKUP('Données projet'!$B$12,Paramètres!$A$1:$I$89,3,0)*VLOOKUP('Données projet'!$B$12,Paramètres!$A$1:$I$89,5,0)</f>
        <v>193.90366666666651</v>
      </c>
      <c r="CA92" s="13">
        <f t="shared" si="93"/>
        <v>48.401973941265673</v>
      </c>
      <c r="CB92" s="20">
        <f t="shared" si="64"/>
        <v>422.01565739214857</v>
      </c>
      <c r="CC92" s="59">
        <f t="shared" si="65"/>
        <v>715.34899072548183</v>
      </c>
      <c r="CD92" s="59">
        <f ca="1">AVERAGE(OFFSET($CC$3,0,0,'Données projet'!$E$12+1,1))-AVERAGE(OFFSET($H$3,0,0,'Données projet'!$E$12+1,1))</f>
        <v>264.08050363622294</v>
      </c>
      <c r="CE92" s="59">
        <f t="shared" si="94"/>
        <v>164.48884512322883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18.626869202630949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18.626869202630949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194.7221767407824</v>
      </c>
      <c r="CZ92" s="59">
        <f t="shared" si="96"/>
        <v>177.6550559568646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114.23469358224953</v>
      </c>
      <c r="DG92" s="21">
        <f>EXP(-LN(2)/25)*DG91+(1-EXP(-LN(2)/25))/(LN(2)/25)*Calculateur!DB92*Calculateur!DD92*VLOOKUP('Données projet'!$B$13,Paramètres!$A$1:$I$89,3,0)*0.475*44/12</f>
        <v>25.880454000431698</v>
      </c>
      <c r="DH92" s="21">
        <f>EXP(-LN(2)/2)*DH91+(1-EXP(-LN(2)/2))/(LN(2)/2)*DB92*DE92*VLOOKUP('Données projet'!$B$13,Paramètres!$A$1:$I$89,3,0)*0.475*44/12</f>
        <v>4.34972243314002E-2</v>
      </c>
      <c r="DI92" s="22">
        <f t="shared" si="69"/>
        <v>140.15864480701262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11.242307692307691</v>
      </c>
      <c r="DO92" s="12">
        <f>IF('Données projet'!$A$166&gt;35,DO91+DN92-DW91,IF(A92&lt;'Données projet'!$A$166,$DL$205^A92,IF(A92='Données projet'!$A$166,'Données projet'!$B$166,DO91+DN92-DW91)))</f>
        <v>401.66923076923098</v>
      </c>
      <c r="DP92" s="17">
        <f>DO92*VLOOKUP('Données projet'!$B$14,Paramètres!$A$1:$I$89,3,0)*VLOOKUP('Données projet'!$B$14,Paramètres!$A$1:$I$89,5,0)</f>
        <v>187.98120000000011</v>
      </c>
      <c r="DQ92" s="13">
        <f t="shared" si="97"/>
        <v>47.093347732155607</v>
      </c>
      <c r="DR92" s="20">
        <f t="shared" si="70"/>
        <v>409.42150396683786</v>
      </c>
      <c r="DS92" s="59">
        <f t="shared" si="71"/>
        <v>702.75483730017118</v>
      </c>
      <c r="DT92" s="59">
        <f ca="1">AVERAGE(OFFSET($DS$3,0,0,'Données projet'!$E$14+1,1))-AVERAGE(OFFSET($H$3,0,0,'Données projet'!$E$14+1,1))</f>
        <v>207.25176714718668</v>
      </c>
      <c r="DU92" s="59">
        <f t="shared" si="98"/>
        <v>191.53228014642559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75.817737894450431</v>
      </c>
      <c r="EB92" s="21">
        <f>EXP(-LN(2)/25)*EB91+(1-EXP(-LN(2)/25))/(LN(2)/25)*Calculateur!DW92*Calculateur!DY92*VLOOKUP('Données projet'!$B$14,Paramètres!$A$1:$I$89,3,0)*0.475*44/12</f>
        <v>25.047119173880304</v>
      </c>
      <c r="EC92" s="21">
        <f>EXP(-LN(2)/2)*EC91+(1-EXP(-LN(2)/2))/(LN(2)/2)*DW92*DZ92*VLOOKUP('Données projet'!$B$14,Paramètres!$A$1:$I$89,3,0)*0.475*44/12</f>
        <v>2.8851418791429779</v>
      </c>
      <c r="ED92" s="22">
        <f t="shared" si="72"/>
        <v>103.74999894747371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-2.8421709430404007E-13</v>
      </c>
      <c r="EK92" s="17">
        <f>EJ92*VLOOKUP('Données projet'!$B$15,Paramètres!$A$1:$I$89,3,0)*VLOOKUP('Données projet'!$B$15,Paramètres!$A$1:$I$89,5,0)</f>
        <v>-1.69961822393816E-13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200.15574321350221</v>
      </c>
      <c r="EP92" s="59">
        <f t="shared" si="100"/>
        <v>200.70728852570426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73.044727031582113</v>
      </c>
      <c r="EW92" s="21">
        <f>EXP(-LN(2)/25)*EW91+(1-EXP(-LN(2)/25))/(LN(2)/25)*Calculateur!ER92*Calculateur!ET92*VLOOKUP('Données projet'!$B$15,Paramètres!$A$1:$I$89,3,0)*0.475*44/12</f>
        <v>16.172289907782748</v>
      </c>
      <c r="EX92" s="21">
        <f>EXP(-LN(2)/2)*EX91+(1-EXP(-LN(2)/2))/(LN(2)/2)*ER92*EU92*VLOOKUP('Données projet'!$B$15,Paramètres!$A$1:$I$89,3,0)*0.475*44/12</f>
        <v>1.3794645332825817E-3</v>
      </c>
      <c r="EY92" s="22">
        <f t="shared" si="75"/>
        <v>89.218396403898154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>
        <f>VLOOKUP(A92,'Données projet'!$A$217:$I$237,2,0)</f>
        <v>295.85897435897436</v>
      </c>
      <c r="FC92" s="12">
        <f>VLOOKUP(A92,'Données projet'!$A$217:$I$237,9,0)</f>
        <v>7.4950142450142421</v>
      </c>
      <c r="FD92" s="12">
        <f t="array" ref="FD92">INDEX(FC:FC,MIN(IF(ISNUMBER(FC92:FC288),ROW(FC92:FC288),"")))</f>
        <v>7.4950142450142421</v>
      </c>
      <c r="FE92" s="12">
        <f>IF('Données projet'!$A$218&gt;35,FE91+FD92-FM91,IF(A92&lt;'Données projet'!$A$218,$FB$205^A92,IF(A92='Données projet'!$A$218,'Données projet'!$B$218,FE91+FD92-FM91)))</f>
        <v>295.85897435897465</v>
      </c>
      <c r="FF92" s="17">
        <f>FE92*VLOOKUP('Données projet'!$B$16,Paramètres!$A$1:$I$89,3,0)*VLOOKUP('Données projet'!$B$16,Paramètres!$A$1:$I$89,5,0)</f>
        <v>318.46260000000029</v>
      </c>
      <c r="FG92" s="13">
        <f t="shared" si="101"/>
        <v>75.033378088660697</v>
      </c>
      <c r="FH92" s="20">
        <f t="shared" si="76"/>
        <v>685.33882850441785</v>
      </c>
      <c r="FI92" s="59">
        <f t="shared" si="77"/>
        <v>978.67216183775122</v>
      </c>
      <c r="FJ92" s="59">
        <f ca="1">AVERAGE(OFFSET($FI$3,0,0,'Données projet'!$E$16+1,1))-AVERAGE(OFFSET($H$3,0,0,'Données projet'!$E$16+1,1))</f>
        <v>347.17049316703486</v>
      </c>
      <c r="FK92" s="59">
        <f t="shared" si="102"/>
        <v>255.45365487683489</v>
      </c>
      <c r="FL92" s="15">
        <f>IF(ISNA(VLOOKUP(A92,'Données projet'!$A$217:$I$237,3,0)),0,VLOOKUP(A92,'Données projet'!$A$217:$I$237,3,0))</f>
        <v>8</v>
      </c>
      <c r="FM92" s="15">
        <f>IF(ISNA(VLOOKUP(A92,'Données projet'!$A$217:$I$237,4,0)),0,VLOOKUP(A92,'Données projet'!$A$217:$I$237,4,0))</f>
        <v>49.391025641025635</v>
      </c>
      <c r="FN92" s="16">
        <f>IF(ISNA(VLOOKUP(A92,'Données projet'!$A$217:$I$237,5,0)),0%,VLOOKUP(A92,'Données projet'!$A$217:$I$237,5,0)*VLOOKUP('Données projet'!$B$16,Paramètres!$A$1:$I$89,7,0))</f>
        <v>0.30099999999999999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50.303795780316378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50.303795780316378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7">
        <f t="shared" si="56"/>
        <v>388.56566922116514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266.02599413192075</v>
      </c>
      <c r="T93" s="59">
        <f t="shared" si="88"/>
        <v>332.94146254783254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7.1782051282051267</v>
      </c>
      <c r="AI93" s="13">
        <f>IF('Données projet'!$A$62&gt;35,AI92+AH93-AQ92,IF(A93&lt;'Données projet'!$A$62,$AF$205^A93,IF(A93='Données projet'!$A$62,'Données projet'!$B$62,AI92+AH93-AQ92)))</f>
        <v>253.64615384615416</v>
      </c>
      <c r="AJ93" s="13">
        <f>AI93*VLOOKUP('Données projet'!$B$10,Paramètres!$A$1:$I$89,3,0)*VLOOKUP('Données projet'!$B$10,Paramètres!$A$1:$I$89,5,0)</f>
        <v>229.49904000000029</v>
      </c>
      <c r="AK93" s="13">
        <f t="shared" si="89"/>
        <v>56.174348524497042</v>
      </c>
      <c r="AL93" s="20">
        <f t="shared" si="58"/>
        <v>497.54781834683286</v>
      </c>
      <c r="AM93" s="59">
        <f t="shared" si="59"/>
        <v>790.88115168016611</v>
      </c>
      <c r="AN93" s="59">
        <f ca="1">AVERAGE(OFFSET($AM$3,0,0,'Données projet'!$E$10+1,1))-AVERAGE(OFFSET($H$3,0,0,'Données projet'!$E$10+1,1))</f>
        <v>282.13645166362238</v>
      </c>
      <c r="AO93" s="59">
        <f t="shared" si="90"/>
        <v>210.5345332979457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41.45517976212043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41.45517976212043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254.6443970237226</v>
      </c>
      <c r="BJ93" s="59">
        <f t="shared" si="92"/>
        <v>231.81667808018062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141.64025586610421</v>
      </c>
      <c r="BQ93" s="21">
        <f>EXP(-LN(2)/25)*BQ92+(1-EXP(-LN(2)/25))/(LN(2)/25)*Calculateur!BL93*Calculateur!BN93*VLOOKUP('Données projet'!$B$11,Paramètres!$A$1:$I$89,3,0)*0.475*44/12</f>
        <v>31.836127054888994</v>
      </c>
      <c r="BR93" s="21">
        <f>EXP(-LN(2)/2)*BR92+(1-EXP(-LN(2)/2))/(LN(2)/2)*BL93*BO93*VLOOKUP('Données projet'!$B$11,Paramètres!$A$1:$I$89,3,0)*0.475*44/12</f>
        <v>3.8898789363635243E-2</v>
      </c>
      <c r="BS93" s="22">
        <f t="shared" si="63"/>
        <v>173.51528171035685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5.2606837606837598</v>
      </c>
      <c r="BY93" s="12">
        <f>IF('Données projet'!$A$114&gt;35,BY92+BX93-CG92,IF(A93&lt;'Données projet'!$A$114,$BV$205^A93,IF(A93='Données projet'!$A$114,'Données projet'!$B$114,BY92+BX93-CG92)))</f>
        <v>196.4871794871793</v>
      </c>
      <c r="BZ93" s="13">
        <f>BY93*VLOOKUP('Données projet'!$B$12,Paramètres!$A$1:$I$89,3,0)*VLOOKUP('Données projet'!$B$12,Paramètres!$A$1:$I$89,5,0)</f>
        <v>199.23799999999983</v>
      </c>
      <c r="CA93" s="13">
        <f t="shared" si="93"/>
        <v>49.576666002151768</v>
      </c>
      <c r="CB93" s="20">
        <f t="shared" si="64"/>
        <v>433.35220995374738</v>
      </c>
      <c r="CC93" s="59">
        <f t="shared" si="65"/>
        <v>726.68554328708069</v>
      </c>
      <c r="CD93" s="59">
        <f ca="1">AVERAGE(OFFSET($CC$3,0,0,'Données projet'!$E$12+1,1))-AVERAGE(OFFSET($H$3,0,0,'Données projet'!$E$12+1,1))</f>
        <v>264.08050363622294</v>
      </c>
      <c r="CE93" s="59">
        <f t="shared" si="94"/>
        <v>164.48884512322883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18.261607658835739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18.261607658835739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194.7221767407824</v>
      </c>
      <c r="CZ93" s="59">
        <f t="shared" si="96"/>
        <v>177.6550559568646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111.99462091738475</v>
      </c>
      <c r="DG93" s="21">
        <f>EXP(-LN(2)/25)*DG92+(1-EXP(-LN(2)/25))/(LN(2)/25)*Calculateur!DB93*Calculateur!DD93*VLOOKUP('Données projet'!$B$13,Paramètres!$A$1:$I$89,3,0)*0.475*44/12</f>
        <v>25.172751624795968</v>
      </c>
      <c r="DH93" s="21">
        <f>EXP(-LN(2)/2)*DH92+(1-EXP(-LN(2)/2))/(LN(2)/2)*DB93*DE93*VLOOKUP('Données projet'!$B$13,Paramètres!$A$1:$I$89,3,0)*0.475*44/12</f>
        <v>3.0757182287525574E-2</v>
      </c>
      <c r="DI93" s="22">
        <f t="shared" si="69"/>
        <v>137.19812972446823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11.242307692307691</v>
      </c>
      <c r="DO93" s="12">
        <f>IF('Données projet'!$A$166&gt;35,DO92+DN93-DW92,IF(A93&lt;'Données projet'!$A$166,$DL$205^A93,IF(A93='Données projet'!$A$166,'Données projet'!$B$166,DO92+DN93-DW92)))</f>
        <v>412.91153846153867</v>
      </c>
      <c r="DP93" s="17">
        <f>DO93*VLOOKUP('Données projet'!$B$14,Paramètres!$A$1:$I$89,3,0)*VLOOKUP('Données projet'!$B$14,Paramètres!$A$1:$I$89,5,0)</f>
        <v>193.2426000000001</v>
      </c>
      <c r="DQ93" s="13">
        <f t="shared" si="97"/>
        <v>48.256138093290417</v>
      </c>
      <c r="DR93" s="20">
        <f t="shared" si="70"/>
        <v>420.6103021791476</v>
      </c>
      <c r="DS93" s="59">
        <f t="shared" si="71"/>
        <v>713.94363551248091</v>
      </c>
      <c r="DT93" s="59">
        <f ca="1">AVERAGE(OFFSET($DS$3,0,0,'Données projet'!$E$14+1,1))-AVERAGE(OFFSET($H$3,0,0,'Données projet'!$E$14+1,1))</f>
        <v>207.25176714718668</v>
      </c>
      <c r="DU93" s="59">
        <f t="shared" si="98"/>
        <v>191.53228014642559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74.330998298594139</v>
      </c>
      <c r="EB93" s="21">
        <f>EXP(-LN(2)/25)*EB92+(1-EXP(-LN(2)/25))/(LN(2)/25)*Calculateur!DW93*Calculateur!DY93*VLOOKUP('Données projet'!$B$14,Paramètres!$A$1:$I$89,3,0)*0.475*44/12</f>
        <v>24.362204382899797</v>
      </c>
      <c r="EC93" s="21">
        <f>EXP(-LN(2)/2)*EC92+(1-EXP(-LN(2)/2))/(LN(2)/2)*DW93*DZ93*VLOOKUP('Données projet'!$B$14,Paramètres!$A$1:$I$89,3,0)*0.475*44/12</f>
        <v>2.0401033874272985</v>
      </c>
      <c r="ED93" s="22">
        <f t="shared" si="72"/>
        <v>100.73330606892124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-2.8421709430404007E-13</v>
      </c>
      <c r="EK93" s="17">
        <f>EJ93*VLOOKUP('Données projet'!$B$15,Paramètres!$A$1:$I$89,3,0)*VLOOKUP('Données projet'!$B$15,Paramètres!$A$1:$I$89,5,0)</f>
        <v>-1.69961822393816E-13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200.15574321350221</v>
      </c>
      <c r="EP93" s="59">
        <f t="shared" si="100"/>
        <v>200.70728852570426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71.61236448737705</v>
      </c>
      <c r="EW93" s="21">
        <f>EXP(-LN(2)/25)*EW92+(1-EXP(-LN(2)/25))/(LN(2)/25)*Calculateur!ER93*Calculateur!ET93*VLOOKUP('Données projet'!$B$15,Paramètres!$A$1:$I$89,3,0)*0.475*44/12</f>
        <v>15.730057789790665</v>
      </c>
      <c r="EX93" s="21">
        <f>EXP(-LN(2)/2)*EX92+(1-EXP(-LN(2)/2))/(LN(2)/2)*ER93*EU93*VLOOKUP('Données projet'!$B$15,Paramètres!$A$1:$I$89,3,0)*0.475*44/12</f>
        <v>9.754287258904495E-4</v>
      </c>
      <c r="EY93" s="22">
        <f t="shared" si="75"/>
        <v>87.343397705893608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7.1782051282051267</v>
      </c>
      <c r="FE93" s="12">
        <f>IF('Données projet'!$A$218&gt;35,FE92+FD93-FM92,IF(A93&lt;'Données projet'!$A$218,$FB$205^A93,IF(A93='Données projet'!$A$218,'Données projet'!$B$218,FE92+FD93-FM92)))</f>
        <v>253.64615384615416</v>
      </c>
      <c r="FF93" s="17">
        <f>FE93*VLOOKUP('Données projet'!$B$16,Paramètres!$A$1:$I$89,3,0)*VLOOKUP('Données projet'!$B$16,Paramètres!$A$1:$I$89,5,0)</f>
        <v>273.02472000000034</v>
      </c>
      <c r="FG93" s="13">
        <f t="shared" si="101"/>
        <v>65.490774415169966</v>
      </c>
      <c r="FH93" s="20">
        <f t="shared" si="76"/>
        <v>589.58115277308832</v>
      </c>
      <c r="FI93" s="59">
        <f t="shared" si="77"/>
        <v>882.91448610642169</v>
      </c>
      <c r="FJ93" s="59">
        <f ca="1">AVERAGE(OFFSET($FI$3,0,0,'Données projet'!$E$16+1,1))-AVERAGE(OFFSET($H$3,0,0,'Données projet'!$E$16+1,1))</f>
        <v>347.17049316703486</v>
      </c>
      <c r="FK93" s="59">
        <f t="shared" si="102"/>
        <v>255.45365487683489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49.317369027350175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49.317369027350175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7">
        <f t="shared" si="56"/>
        <v>389.59537847293717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266.02599413192075</v>
      </c>
      <c r="T94" s="59">
        <f t="shared" si="88"/>
        <v>332.94146254783254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7.1782051282051267</v>
      </c>
      <c r="AI94" s="13">
        <f>IF('Données projet'!$A$62&gt;35,AI93+AH94-AQ93,IF(A94&lt;'Données projet'!$A$62,$AF$205^A94,IF(A94='Données projet'!$A$62,'Données projet'!$B$62,AI93+AH94-AQ93)))</f>
        <v>260.82435897435931</v>
      </c>
      <c r="AJ94" s="13">
        <f>AI94*VLOOKUP('Données projet'!$B$10,Paramètres!$A$1:$I$89,3,0)*VLOOKUP('Données projet'!$B$10,Paramètres!$A$1:$I$89,5,0)</f>
        <v>235.99388000000027</v>
      </c>
      <c r="AK94" s="13">
        <f t="shared" si="89"/>
        <v>57.57675164364376</v>
      </c>
      <c r="AL94" s="20">
        <f t="shared" si="58"/>
        <v>511.30218344601343</v>
      </c>
      <c r="AM94" s="59">
        <f t="shared" si="59"/>
        <v>804.63551677934674</v>
      </c>
      <c r="AN94" s="59">
        <f ca="1">AVERAGE(OFFSET($AM$3,0,0,'Données projet'!$E$10+1,1))-AVERAGE(OFFSET($H$3,0,0,'Données projet'!$E$10+1,1))</f>
        <v>282.13645166362238</v>
      </c>
      <c r="AO94" s="59">
        <f t="shared" si="90"/>
        <v>210.5345332979457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40.642268972148202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40.642268972148202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254.6443970237226</v>
      </c>
      <c r="BJ94" s="59">
        <f t="shared" si="92"/>
        <v>231.81667808018062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138.86277684059547</v>
      </c>
      <c r="BQ94" s="21">
        <f>EXP(-LN(2)/25)*BQ93+(1-EXP(-LN(2)/25))/(LN(2)/25)*Calculateur!BL94*Calculateur!BN94*VLOOKUP('Données projet'!$B$11,Paramètres!$A$1:$I$89,3,0)*0.475*44/12</f>
        <v>30.965566486383896</v>
      </c>
      <c r="BR94" s="21">
        <f>EXP(-LN(2)/2)*BR93+(1-EXP(-LN(2)/2))/(LN(2)/2)*BL94*BO94*VLOOKUP('Données projet'!$B$11,Paramètres!$A$1:$I$89,3,0)*0.475*44/12</f>
        <v>2.7505597738973629E-2</v>
      </c>
      <c r="BS94" s="22">
        <f t="shared" si="63"/>
        <v>169.85584892471834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5.2606837606837598</v>
      </c>
      <c r="BY94" s="12">
        <f>IF('Données projet'!$A$114&gt;35,BY93+BX94-CG93,IF(A94&lt;'Données projet'!$A$114,$BV$205^A94,IF(A94='Données projet'!$A$114,'Données projet'!$B$114,BY93+BX94-CG93)))</f>
        <v>201.74786324786305</v>
      </c>
      <c r="BZ94" s="13">
        <f>BY94*VLOOKUP('Données projet'!$B$12,Paramètres!$A$1:$I$89,3,0)*VLOOKUP('Données projet'!$B$12,Paramètres!$A$1:$I$89,5,0)</f>
        <v>204.57233333333312</v>
      </c>
      <c r="CA94" s="13">
        <f t="shared" si="93"/>
        <v>50.747702424306688</v>
      </c>
      <c r="CB94" s="20">
        <f t="shared" si="64"/>
        <v>444.6823956112226</v>
      </c>
      <c r="CC94" s="59">
        <f t="shared" si="65"/>
        <v>738.01572894455592</v>
      </c>
      <c r="CD94" s="59">
        <f ca="1">AVERAGE(OFFSET($CC$3,0,0,'Données projet'!$E$12+1,1))-AVERAGE(OFFSET($H$3,0,0,'Données projet'!$E$12+1,1))</f>
        <v>264.08050363622294</v>
      </c>
      <c r="CE94" s="59">
        <f t="shared" si="94"/>
        <v>164.48884512322883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17.903508671126808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17.903508671126808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194.7221767407824</v>
      </c>
      <c r="CZ94" s="59">
        <f t="shared" si="96"/>
        <v>177.6550559568646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109.79847471116855</v>
      </c>
      <c r="DG94" s="21">
        <f>EXP(-LN(2)/25)*DG93+(1-EXP(-LN(2)/25))/(LN(2)/25)*Calculateur!DB94*Calculateur!DD94*VLOOKUP('Données projet'!$B$13,Paramètres!$A$1:$I$89,3,0)*0.475*44/12</f>
        <v>24.484401407838448</v>
      </c>
      <c r="DH94" s="21">
        <f>EXP(-LN(2)/2)*DH93+(1-EXP(-LN(2)/2))/(LN(2)/2)*DB94*DE94*VLOOKUP('Données projet'!$B$13,Paramètres!$A$1:$I$89,3,0)*0.475*44/12</f>
        <v>2.1748612165700103E-2</v>
      </c>
      <c r="DI94" s="22">
        <f t="shared" si="69"/>
        <v>134.30462473117271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11.242307692307691</v>
      </c>
      <c r="DO94" s="12">
        <f>IF('Données projet'!$A$166&gt;35,DO93+DN94-DW93,IF(A94&lt;'Données projet'!$A$166,$DL$205^A94,IF(A94='Données projet'!$A$166,'Données projet'!$B$166,DO93+DN94-DW93)))</f>
        <v>424.15384615384636</v>
      </c>
      <c r="DP94" s="17">
        <f>DO94*VLOOKUP('Données projet'!$B$14,Paramètres!$A$1:$I$89,3,0)*VLOOKUP('Données projet'!$B$14,Paramètres!$A$1:$I$89,5,0)</f>
        <v>198.5040000000001</v>
      </c>
      <c r="DQ94" s="13">
        <f t="shared" si="97"/>
        <v>49.415248676990458</v>
      </c>
      <c r="DR94" s="20">
        <f t="shared" si="70"/>
        <v>431.79269144575846</v>
      </c>
      <c r="DS94" s="59">
        <f t="shared" si="71"/>
        <v>725.12602477909172</v>
      </c>
      <c r="DT94" s="59">
        <f ca="1">AVERAGE(OFFSET($DS$3,0,0,'Données projet'!$E$14+1,1))-AVERAGE(OFFSET($H$3,0,0,'Données projet'!$E$14+1,1))</f>
        <v>207.25176714718668</v>
      </c>
      <c r="DU94" s="59">
        <f t="shared" si="98"/>
        <v>191.53228014642559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72.873412759390973</v>
      </c>
      <c r="EB94" s="21">
        <f>EXP(-LN(2)/25)*EB93+(1-EXP(-LN(2)/25))/(LN(2)/25)*Calculateur!DW94*Calculateur!DY94*VLOOKUP('Données projet'!$B$14,Paramètres!$A$1:$I$89,3,0)*0.475*44/12</f>
        <v>23.696018622896755</v>
      </c>
      <c r="EC94" s="21">
        <f>EXP(-LN(2)/2)*EC93+(1-EXP(-LN(2)/2))/(LN(2)/2)*DW94*DZ94*VLOOKUP('Données projet'!$B$14,Paramètres!$A$1:$I$89,3,0)*0.475*44/12</f>
        <v>1.4425709395714892</v>
      </c>
      <c r="ED94" s="22">
        <f t="shared" si="72"/>
        <v>98.012002321859228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-2.8421709430404007E-13</v>
      </c>
      <c r="EK94" s="17">
        <f>EJ94*VLOOKUP('Données projet'!$B$15,Paramètres!$A$1:$I$89,3,0)*VLOOKUP('Données projet'!$B$15,Paramètres!$A$1:$I$89,5,0)</f>
        <v>-1.69961822393816E-13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200.15574321350221</v>
      </c>
      <c r="EP94" s="59">
        <f t="shared" si="100"/>
        <v>200.70728852570426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70.208089699008951</v>
      </c>
      <c r="EW94" s="21">
        <f>EXP(-LN(2)/25)*EW93+(1-EXP(-LN(2)/25))/(LN(2)/25)*Calculateur!ER94*Calculateur!ET94*VLOOKUP('Données projet'!$B$15,Paramètres!$A$1:$I$89,3,0)*0.475*44/12</f>
        <v>15.299918532321051</v>
      </c>
      <c r="EX94" s="21">
        <f>EXP(-LN(2)/2)*EX93+(1-EXP(-LN(2)/2))/(LN(2)/2)*ER94*EU94*VLOOKUP('Données projet'!$B$15,Paramètres!$A$1:$I$89,3,0)*0.475*44/12</f>
        <v>6.8973226664129094E-4</v>
      </c>
      <c r="EY94" s="22">
        <f t="shared" si="75"/>
        <v>85.508697963596632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7.1782051282051267</v>
      </c>
      <c r="FE94" s="12">
        <f>IF('Données projet'!$A$218&gt;35,FE93+FD94-FM93,IF(A94&lt;'Données projet'!$A$218,$FB$205^A94,IF(A94='Données projet'!$A$218,'Données projet'!$B$218,FE93+FD94-FM93)))</f>
        <v>260.82435897435931</v>
      </c>
      <c r="FF94" s="17">
        <f>FE94*VLOOKUP('Données projet'!$B$16,Paramètres!$A$1:$I$89,3,0)*VLOOKUP('Données projet'!$B$16,Paramètres!$A$1:$I$89,5,0)</f>
        <v>280.75134000000037</v>
      </c>
      <c r="FG94" s="13">
        <f t="shared" si="101"/>
        <v>67.125763849450919</v>
      </c>
      <c r="FH94" s="20">
        <f t="shared" si="76"/>
        <v>605.88595587112752</v>
      </c>
      <c r="FI94" s="59">
        <f t="shared" si="77"/>
        <v>899.21928920446089</v>
      </c>
      <c r="FJ94" s="59">
        <f ca="1">AVERAGE(OFFSET($FI$3,0,0,'Données projet'!$E$16+1,1))-AVERAGE(OFFSET($H$3,0,0,'Données projet'!$E$16+1,1))</f>
        <v>347.17049316703486</v>
      </c>
      <c r="FK94" s="59">
        <f t="shared" si="102"/>
        <v>255.45365487683489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48.350285501348729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48.350285501348729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7">
        <f t="shared" si="56"/>
        <v>390.62481338318679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266.02599413192075</v>
      </c>
      <c r="T95" s="59">
        <f t="shared" si="88"/>
        <v>332.94146254783254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7.1782051282051267</v>
      </c>
      <c r="AI95" s="13">
        <f>IF('Données projet'!$A$62&gt;35,AI94+AH95-AQ94,IF(A95&lt;'Données projet'!$A$62,$AF$205^A95,IF(A95='Données projet'!$A$62,'Données projet'!$B$62,AI94+AH95-AQ94)))</f>
        <v>268.00256410256446</v>
      </c>
      <c r="AJ95" s="13">
        <f>AI95*VLOOKUP('Données projet'!$B$10,Paramètres!$A$1:$I$89,3,0)*VLOOKUP('Données projet'!$B$10,Paramètres!$A$1:$I$89,5,0)</f>
        <v>242.48872000000031</v>
      </c>
      <c r="AK95" s="13">
        <f t="shared" si="89"/>
        <v>58.974668795914049</v>
      </c>
      <c r="AL95" s="20">
        <f t="shared" si="58"/>
        <v>525.04873548621742</v>
      </c>
      <c r="AM95" s="59">
        <f t="shared" si="59"/>
        <v>818.3820688195508</v>
      </c>
      <c r="AN95" s="59">
        <f ca="1">AVERAGE(OFFSET($AM$3,0,0,'Données projet'!$E$10+1,1))-AVERAGE(OFFSET($H$3,0,0,'Données projet'!$E$10+1,1))</f>
        <v>282.13645166362238</v>
      </c>
      <c r="AO95" s="59">
        <f t="shared" si="90"/>
        <v>210.5345332979457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39.845298866940702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39.845298866940702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254.6443970237226</v>
      </c>
      <c r="BJ95" s="59">
        <f t="shared" si="92"/>
        <v>231.81667808018062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136.13976248468205</v>
      </c>
      <c r="BQ95" s="21">
        <f>EXP(-LN(2)/25)*BQ94+(1-EXP(-LN(2)/25))/(LN(2)/25)*Calculateur!BL95*Calculateur!BN95*VLOOKUP('Données projet'!$B$11,Paramètres!$A$1:$I$89,3,0)*0.475*44/12</f>
        <v>30.118811442405359</v>
      </c>
      <c r="BR95" s="21">
        <f>EXP(-LN(2)/2)*BR94+(1-EXP(-LN(2)/2))/(LN(2)/2)*BL95*BO95*VLOOKUP('Données projet'!$B$11,Paramètres!$A$1:$I$89,3,0)*0.475*44/12</f>
        <v>1.9449394681817622E-2</v>
      </c>
      <c r="BS95" s="22">
        <f t="shared" si="63"/>
        <v>166.27802332176924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5.2606837606837598</v>
      </c>
      <c r="BY95" s="12">
        <f>IF('Données projet'!$A$114&gt;35,BY94+BX95-CG94,IF(A95&lt;'Données projet'!$A$114,$BV$205^A95,IF(A95='Données projet'!$A$114,'Données projet'!$B$114,BY94+BX95-CG94)))</f>
        <v>207.0085470085468</v>
      </c>
      <c r="BZ95" s="13">
        <f>BY95*VLOOKUP('Données projet'!$B$12,Paramètres!$A$1:$I$89,3,0)*VLOOKUP('Données projet'!$B$12,Paramètres!$A$1:$I$89,5,0)</f>
        <v>209.90666666666647</v>
      </c>
      <c r="CA95" s="13">
        <f t="shared" si="93"/>
        <v>51.915189489079573</v>
      </c>
      <c r="CB95" s="20">
        <f t="shared" si="64"/>
        <v>456.00639947125768</v>
      </c>
      <c r="CC95" s="59">
        <f t="shared" si="65"/>
        <v>749.33973280459099</v>
      </c>
      <c r="CD95" s="59">
        <f ca="1">AVERAGE(OFFSET($CC$3,0,0,'Données projet'!$E$12+1,1))-AVERAGE(OFFSET($H$3,0,0,'Données projet'!$E$12+1,1))</f>
        <v>264.08050363622294</v>
      </c>
      <c r="CE95" s="59">
        <f t="shared" si="94"/>
        <v>164.48884512322883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17.552431786148034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17.552431786148034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194.7221767407824</v>
      </c>
      <c r="CZ95" s="59">
        <f t="shared" si="96"/>
        <v>177.6550559568646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107.64539359253932</v>
      </c>
      <c r="DG95" s="21">
        <f>EXP(-LN(2)/25)*DG94+(1-EXP(-LN(2)/25))/(LN(2)/25)*Calculateur!DB95*Calculateur!DD95*VLOOKUP('Données projet'!$B$13,Paramètres!$A$1:$I$89,3,0)*0.475*44/12</f>
        <v>23.814874163762394</v>
      </c>
      <c r="DH95" s="21">
        <f>EXP(-LN(2)/2)*DH94+(1-EXP(-LN(2)/2))/(LN(2)/2)*DB95*DE95*VLOOKUP('Données projet'!$B$13,Paramètres!$A$1:$I$89,3,0)*0.475*44/12</f>
        <v>1.537859114376279E-2</v>
      </c>
      <c r="DI95" s="22">
        <f t="shared" si="69"/>
        <v>131.47564634744546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11.242307692307691</v>
      </c>
      <c r="DO95" s="12">
        <f>IF('Données projet'!$A$166&gt;35,DO94+DN95-DW94,IF(A95&lt;'Données projet'!$A$166,$DL$205^A95,IF(A95='Données projet'!$A$166,'Données projet'!$B$166,DO94+DN95-DW94)))</f>
        <v>435.39615384615405</v>
      </c>
      <c r="DP95" s="17">
        <f>DO95*VLOOKUP('Données projet'!$B$14,Paramètres!$A$1:$I$89,3,0)*VLOOKUP('Données projet'!$B$14,Paramètres!$A$1:$I$89,5,0)</f>
        <v>203.76540000000008</v>
      </c>
      <c r="DQ95" s="13">
        <f t="shared" si="97"/>
        <v>50.570788227585879</v>
      </c>
      <c r="DR95" s="20">
        <f t="shared" si="70"/>
        <v>442.96886116304557</v>
      </c>
      <c r="DS95" s="59">
        <f t="shared" si="71"/>
        <v>736.30219449637889</v>
      </c>
      <c r="DT95" s="59">
        <f ca="1">AVERAGE(OFFSET($DS$3,0,0,'Données projet'!$E$14+1,1))-AVERAGE(OFFSET($H$3,0,0,'Données projet'!$E$14+1,1))</f>
        <v>207.25176714718668</v>
      </c>
      <c r="DU95" s="59">
        <f t="shared" si="98"/>
        <v>191.53228014642559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71.444409583572181</v>
      </c>
      <c r="EB95" s="21">
        <f>EXP(-LN(2)/25)*EB94+(1-EXP(-LN(2)/25))/(LN(2)/25)*Calculateur!DW95*Calculateur!DY95*VLOOKUP('Données projet'!$B$14,Paramètres!$A$1:$I$89,3,0)*0.475*44/12</f>
        <v>23.048049747534183</v>
      </c>
      <c r="EC95" s="21">
        <f>EXP(-LN(2)/2)*EC94+(1-EXP(-LN(2)/2))/(LN(2)/2)*DW95*DZ95*VLOOKUP('Données projet'!$B$14,Paramètres!$A$1:$I$89,3,0)*0.475*44/12</f>
        <v>1.0200516937136495</v>
      </c>
      <c r="ED95" s="22">
        <f t="shared" si="72"/>
        <v>95.512511024820014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-2.8421709430404007E-13</v>
      </c>
      <c r="EK95" s="17">
        <f>EJ95*VLOOKUP('Données projet'!$B$15,Paramètres!$A$1:$I$89,3,0)*VLOOKUP('Données projet'!$B$15,Paramètres!$A$1:$I$89,5,0)</f>
        <v>-1.69961822393816E-13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200.15574321350221</v>
      </c>
      <c r="EP95" s="59">
        <f t="shared" si="100"/>
        <v>200.70728852570426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68.831351882717712</v>
      </c>
      <c r="EW95" s="21">
        <f>EXP(-LN(2)/25)*EW94+(1-EXP(-LN(2)/25))/(LN(2)/25)*Calculateur!ER95*Calculateur!ET95*VLOOKUP('Données projet'!$B$15,Paramètres!$A$1:$I$89,3,0)*0.475*44/12</f>
        <v>14.881541455466985</v>
      </c>
      <c r="EX95" s="21">
        <f>EXP(-LN(2)/2)*EX94+(1-EXP(-LN(2)/2))/(LN(2)/2)*ER95*EU95*VLOOKUP('Données projet'!$B$15,Paramètres!$A$1:$I$89,3,0)*0.475*44/12</f>
        <v>4.877143629452248E-4</v>
      </c>
      <c r="EY95" s="22">
        <f t="shared" si="75"/>
        <v>83.713381052547646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7.1782051282051267</v>
      </c>
      <c r="FE95" s="12">
        <f>IF('Données projet'!$A$218&gt;35,FE94+FD95-FM94,IF(A95&lt;'Données projet'!$A$218,$FB$205^A95,IF(A95='Données projet'!$A$218,'Données projet'!$B$218,FE94+FD95-FM94)))</f>
        <v>268.00256410256446</v>
      </c>
      <c r="FF95" s="17">
        <f>FE95*VLOOKUP('Données projet'!$B$16,Paramètres!$A$1:$I$89,3,0)*VLOOKUP('Données projet'!$B$16,Paramètres!$A$1:$I$89,5,0)</f>
        <v>288.47796000000034</v>
      </c>
      <c r="FG95" s="13">
        <f t="shared" si="101"/>
        <v>68.755523326421141</v>
      </c>
      <c r="FH95" s="20">
        <f t="shared" si="76"/>
        <v>622.18165012685074</v>
      </c>
      <c r="FI95" s="59">
        <f t="shared" si="77"/>
        <v>915.51498346018411</v>
      </c>
      <c r="FJ95" s="59">
        <f ca="1">AVERAGE(OFFSET($FI$3,0,0,'Données projet'!$E$16+1,1))-AVERAGE(OFFSET($H$3,0,0,'Données projet'!$E$16+1,1))</f>
        <v>347.17049316703486</v>
      </c>
      <c r="FK95" s="59">
        <f t="shared" si="102"/>
        <v>255.45365487683489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47.402165893429462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47.402165893429462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7">
        <f t="shared" si="56"/>
        <v>391.65397727901529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266.02599413192075</v>
      </c>
      <c r="T96" s="59">
        <f t="shared" si="88"/>
        <v>332.94146254783254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7.1782051282051267</v>
      </c>
      <c r="AI96" s="13">
        <f>IF('Données projet'!$A$62&gt;35,AI95+AH96-AQ95,IF(A96&lt;'Données projet'!$A$62,$AF$205^A96,IF(A96='Données projet'!$A$62,'Données projet'!$B$62,AI95+AH96-AQ95)))</f>
        <v>275.18076923076961</v>
      </c>
      <c r="AJ96" s="13">
        <f>AI96*VLOOKUP('Données projet'!$B$10,Paramètres!$A$1:$I$89,3,0)*VLOOKUP('Données projet'!$B$10,Paramètres!$A$1:$I$89,5,0)</f>
        <v>248.98356000000032</v>
      </c>
      <c r="AK96" s="13">
        <f t="shared" si="89"/>
        <v>60.368233943158614</v>
      </c>
      <c r="AL96" s="20">
        <f t="shared" si="58"/>
        <v>538.78770778433511</v>
      </c>
      <c r="AM96" s="59">
        <f t="shared" si="59"/>
        <v>832.12104111766848</v>
      </c>
      <c r="AN96" s="59">
        <f ca="1">AVERAGE(OFFSET($AM$3,0,0,'Données projet'!$E$10+1,1))-AVERAGE(OFFSET($H$3,0,0,'Données projet'!$E$10+1,1))</f>
        <v>282.13645166362238</v>
      </c>
      <c r="AO96" s="59">
        <f t="shared" si="90"/>
        <v>210.5345332979457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39.063956859392562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39.063956859392562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254.6443970237226</v>
      </c>
      <c r="BJ96" s="59">
        <f t="shared" si="92"/>
        <v>231.81667808018062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133.47014477941332</v>
      </c>
      <c r="BQ96" s="21">
        <f>EXP(-LN(2)/25)*BQ95+(1-EXP(-LN(2)/25))/(LN(2)/25)*Calculateur!BL96*Calculateur!BN96*VLOOKUP('Données projet'!$B$11,Paramètres!$A$1:$I$89,3,0)*0.475*44/12</f>
        <v>29.29521095963333</v>
      </c>
      <c r="BR96" s="21">
        <f>EXP(-LN(2)/2)*BR95+(1-EXP(-LN(2)/2))/(LN(2)/2)*BL96*BO96*VLOOKUP('Données projet'!$B$11,Paramètres!$A$1:$I$89,3,0)*0.475*44/12</f>
        <v>1.3752798869486814E-2</v>
      </c>
      <c r="BS96" s="22">
        <f t="shared" si="63"/>
        <v>162.77910853791613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212.26923076923075</v>
      </c>
      <c r="BW96" s="12">
        <f>VLOOKUP(A96,'Données projet'!$A$113:$I$133,9,0)</f>
        <v>5.2606837606837598</v>
      </c>
      <c r="BX96" s="12">
        <f t="array" ref="BX96">INDEX(BW:BW,MIN(IF(ISNUMBER(BW96:BW292),ROW(BW96:BW292),"")))</f>
        <v>5.2606837606837598</v>
      </c>
      <c r="BY96" s="12">
        <f>IF('Données projet'!$A$114&gt;35,BY95+BX96-CG95,IF(A96&lt;'Données projet'!$A$114,$BV$205^A96,IF(A96='Données projet'!$A$114,'Données projet'!$B$114,BY95+BX96-CG95)))</f>
        <v>212.26923076923055</v>
      </c>
      <c r="BZ96" s="13">
        <f>BY96*VLOOKUP('Données projet'!$B$12,Paramètres!$A$1:$I$89,3,0)*VLOOKUP('Données projet'!$B$12,Paramètres!$A$1:$I$89,5,0)</f>
        <v>215.24099999999979</v>
      </c>
      <c r="CA96" s="13">
        <f t="shared" si="93"/>
        <v>53.079227768194642</v>
      </c>
      <c r="CB96" s="20">
        <f t="shared" si="64"/>
        <v>467.32439669627183</v>
      </c>
      <c r="CC96" s="59">
        <f t="shared" si="65"/>
        <v>760.65773002960509</v>
      </c>
      <c r="CD96" s="59">
        <f ca="1">AVERAGE(OFFSET($CC$3,0,0,'Données projet'!$E$12+1,1))-AVERAGE(OFFSET($H$3,0,0,'Données projet'!$E$12+1,1))</f>
        <v>264.08050363622294</v>
      </c>
      <c r="CE96" s="59">
        <f t="shared" si="94"/>
        <v>164.48884512322883</v>
      </c>
      <c r="CF96" s="15">
        <f>IF(ISNA(VLOOKUP(A96,'Données projet'!$A$113:$I$133,3,0)),0,VLOOKUP(A96,'Données projet'!$A$113:$I$133,3,0))</f>
        <v>7</v>
      </c>
      <c r="CG96" s="15">
        <f>IF(ISNA(VLOOKUP(A96,'Données projet'!$A$113:$I$133,4,0)),0,VLOOKUP(A96,'Données projet'!$A$113:$I$133,4,0))</f>
        <v>30.083333333333332</v>
      </c>
      <c r="CH96" s="16">
        <f>IF(ISNA(VLOOKUP(A96,'Données projet'!$A$113:$I$133,5,0)),0%,VLOOKUP(A96,'Données projet'!$A$113:$I$133,5,0)*VLOOKUP('Données projet'!$B$12,Paramètres!$A$1:$I$89,7,0))</f>
        <v>0.30099999999999999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27.358507483679265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27.358507483679265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194.7221767407824</v>
      </c>
      <c r="CZ96" s="59">
        <f t="shared" si="96"/>
        <v>177.6550559568646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105.5345330813966</v>
      </c>
      <c r="DG96" s="21">
        <f>EXP(-LN(2)/25)*DG95+(1-EXP(-LN(2)/25))/(LN(2)/25)*Calculateur!DB96*Calculateur!DD96*VLOOKUP('Données projet'!$B$13,Paramètres!$A$1:$I$89,3,0)*0.475*44/12</f>
        <v>23.163655177384509</v>
      </c>
      <c r="DH96" s="21">
        <f>EXP(-LN(2)/2)*DH95+(1-EXP(-LN(2)/2))/(LN(2)/2)*DB96*DE96*VLOOKUP('Données projet'!$B$13,Paramètres!$A$1:$I$89,3,0)*0.475*44/12</f>
        <v>1.0874306082850053E-2</v>
      </c>
      <c r="DI96" s="22">
        <f t="shared" si="69"/>
        <v>128.70906256486396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11.242307692307691</v>
      </c>
      <c r="DO96" s="12">
        <f>IF('Données projet'!$A$166&gt;35,DO95+DN96-DW95,IF(A96&lt;'Données projet'!$A$166,$DL$205^A96,IF(A96='Données projet'!$A$166,'Données projet'!$B$166,DO95+DN96-DW95)))</f>
        <v>446.63846153846174</v>
      </c>
      <c r="DP96" s="17">
        <f>DO96*VLOOKUP('Données projet'!$B$14,Paramètres!$A$1:$I$89,3,0)*VLOOKUP('Données projet'!$B$14,Paramètres!$A$1:$I$89,5,0)</f>
        <v>209.02680000000009</v>
      </c>
      <c r="DQ96" s="13">
        <f t="shared" si="97"/>
        <v>51.722859553755349</v>
      </c>
      <c r="DR96" s="20">
        <f t="shared" si="70"/>
        <v>454.13899038945743</v>
      </c>
      <c r="DS96" s="59">
        <f t="shared" si="71"/>
        <v>747.47232372279075</v>
      </c>
      <c r="DT96" s="59">
        <f ca="1">AVERAGE(OFFSET($DS$3,0,0,'Données projet'!$E$14+1,1))-AVERAGE(OFFSET($H$3,0,0,'Données projet'!$E$14+1,1))</f>
        <v>207.25176714718668</v>
      </c>
      <c r="DU96" s="59">
        <f t="shared" si="98"/>
        <v>191.53228014642559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70.043428288425332</v>
      </c>
      <c r="EB96" s="21">
        <f>EXP(-LN(2)/25)*EB95+(1-EXP(-LN(2)/25))/(LN(2)/25)*Calculateur!DW96*Calculateur!DY96*VLOOKUP('Données projet'!$B$14,Paramètres!$A$1:$I$89,3,0)*0.475*44/12</f>
        <v>22.417799615143601</v>
      </c>
      <c r="EC96" s="21">
        <f>EXP(-LN(2)/2)*EC95+(1-EXP(-LN(2)/2))/(LN(2)/2)*DW96*DZ96*VLOOKUP('Données projet'!$B$14,Paramètres!$A$1:$I$89,3,0)*0.475*44/12</f>
        <v>0.72128546978574481</v>
      </c>
      <c r="ED96" s="22">
        <f t="shared" si="72"/>
        <v>93.182513373354666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-2.8421709430404007E-13</v>
      </c>
      <c r="EK96" s="17">
        <f>EJ96*VLOOKUP('Données projet'!$B$15,Paramètres!$A$1:$I$89,3,0)*VLOOKUP('Données projet'!$B$15,Paramètres!$A$1:$I$89,5,0)</f>
        <v>-1.69961822393816E-13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200.15574321350221</v>
      </c>
      <c r="EP96" s="59">
        <f t="shared" si="100"/>
        <v>200.70728852570426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67.481611055276787</v>
      </c>
      <c r="EW96" s="21">
        <f>EXP(-LN(2)/25)*EW95+(1-EXP(-LN(2)/25))/(LN(2)/25)*Calculateur!ER96*Calculateur!ET96*VLOOKUP('Données projet'!$B$15,Paramètres!$A$1:$I$89,3,0)*0.475*44/12</f>
        <v>14.474604921780987</v>
      </c>
      <c r="EX96" s="21">
        <f>EXP(-LN(2)/2)*EX95+(1-EXP(-LN(2)/2))/(LN(2)/2)*ER96*EU96*VLOOKUP('Données projet'!$B$15,Paramètres!$A$1:$I$89,3,0)*0.475*44/12</f>
        <v>3.4486613332064553E-4</v>
      </c>
      <c r="EY96" s="22">
        <f t="shared" si="75"/>
        <v>81.956560843191099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7.1782051282051267</v>
      </c>
      <c r="FE96" s="12">
        <f>IF('Données projet'!$A$218&gt;35,FE95+FD96-FM95,IF(A96&lt;'Données projet'!$A$218,$FB$205^A96,IF(A96='Données projet'!$A$218,'Données projet'!$B$218,FE95+FD96-FM95)))</f>
        <v>275.18076923076961</v>
      </c>
      <c r="FF96" s="17">
        <f>FE96*VLOOKUP('Données projet'!$B$16,Paramètres!$A$1:$I$89,3,0)*VLOOKUP('Données projet'!$B$16,Paramètres!$A$1:$I$89,5,0)</f>
        <v>296.20458000000036</v>
      </c>
      <c r="FG96" s="13">
        <f t="shared" si="101"/>
        <v>70.380209025290199</v>
      </c>
      <c r="FH96" s="20">
        <f t="shared" si="76"/>
        <v>638.46850755238108</v>
      </c>
      <c r="FI96" s="59">
        <f t="shared" si="77"/>
        <v>931.80184088571445</v>
      </c>
      <c r="FJ96" s="59">
        <f ca="1">AVERAGE(OFFSET($FI$3,0,0,'Données projet'!$E$16+1,1))-AVERAGE(OFFSET($H$3,0,0,'Données projet'!$E$16+1,1))</f>
        <v>347.17049316703486</v>
      </c>
      <c r="FK96" s="59">
        <f t="shared" si="102"/>
        <v>255.45365487683489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46.472638332725637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46.472638332725637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7">
        <f t="shared" si="56"/>
        <v>392.68287341185214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266.02599413192075</v>
      </c>
      <c r="T97" s="59">
        <f t="shared" si="88"/>
        <v>332.94146254783254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7.1782051282051267</v>
      </c>
      <c r="AI97" s="13">
        <f>IF('Données projet'!$A$62&gt;35,AI96+AH97-AQ96,IF(A97&lt;'Données projet'!$A$62,$AF$205^A97,IF(A97='Données projet'!$A$62,'Données projet'!$B$62,AI96+AH97-AQ96)))</f>
        <v>282.35897435897476</v>
      </c>
      <c r="AJ97" s="13">
        <f>AI97*VLOOKUP('Données projet'!$B$10,Paramètres!$A$1:$I$89,3,0)*VLOOKUP('Données projet'!$B$10,Paramètres!$A$1:$I$89,5,0)</f>
        <v>255.47840000000036</v>
      </c>
      <c r="AK97" s="13">
        <f t="shared" si="89"/>
        <v>61.757573660260803</v>
      </c>
      <c r="AL97" s="20">
        <f t="shared" si="58"/>
        <v>552.51932079162145</v>
      </c>
      <c r="AM97" s="59">
        <f t="shared" si="59"/>
        <v>845.85265412495482</v>
      </c>
      <c r="AN97" s="59">
        <f ca="1">AVERAGE(OFFSET($AM$3,0,0,'Données projet'!$E$10+1,1))-AVERAGE(OFFSET($H$3,0,0,'Données projet'!$E$10+1,1))</f>
        <v>282.13645166362238</v>
      </c>
      <c r="AO97" s="59">
        <f t="shared" si="90"/>
        <v>210.5345332979457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38.297936492040868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38.297936492040868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254.6443970237226</v>
      </c>
      <c r="BJ97" s="59">
        <f t="shared" si="92"/>
        <v>231.81667808018062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130.8528766490389</v>
      </c>
      <c r="BQ97" s="21">
        <f>EXP(-LN(2)/25)*BQ96+(1-EXP(-LN(2)/25))/(LN(2)/25)*Calculateur!BL97*Calculateur!BN97*VLOOKUP('Données projet'!$B$11,Paramètres!$A$1:$I$89,3,0)*0.475*44/12</f>
        <v>28.494131875373967</v>
      </c>
      <c r="BR97" s="21">
        <f>EXP(-LN(2)/2)*BR96+(1-EXP(-LN(2)/2))/(LN(2)/2)*BL97*BO97*VLOOKUP('Données projet'!$B$11,Paramètres!$A$1:$I$89,3,0)*0.475*44/12</f>
        <v>9.7246973409088108E-3</v>
      </c>
      <c r="BS97" s="22">
        <f t="shared" si="63"/>
        <v>159.35673322175379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5.2583333333333373</v>
      </c>
      <c r="BY97" s="12">
        <f>IF('Données projet'!$A$114&gt;35,BY96+BX97-CG96,IF(A97&lt;'Données projet'!$A$114,$BV$205^A97,IF(A97='Données projet'!$A$114,'Données projet'!$B$114,BY96+BX97-CG96)))</f>
        <v>187.44423076923053</v>
      </c>
      <c r="BZ97" s="13">
        <f>BY97*VLOOKUP('Données projet'!$B$12,Paramètres!$A$1:$I$89,3,0)*VLOOKUP('Données projet'!$B$12,Paramètres!$A$1:$I$89,5,0)</f>
        <v>190.06844999999976</v>
      </c>
      <c r="CA97" s="13">
        <f t="shared" si="93"/>
        <v>47.555085857097623</v>
      </c>
      <c r="CB97" s="20">
        <f t="shared" si="64"/>
        <v>413.86099161777793</v>
      </c>
      <c r="CC97" s="59">
        <f t="shared" si="65"/>
        <v>707.19432495111118</v>
      </c>
      <c r="CD97" s="59">
        <f ca="1">AVERAGE(OFFSET($CC$3,0,0,'Données projet'!$E$12+1,1))-AVERAGE(OFFSET($H$3,0,0,'Données projet'!$E$12+1,1))</f>
        <v>264.08050363622294</v>
      </c>
      <c r="CE97" s="59">
        <f t="shared" si="94"/>
        <v>164.48884512322883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26.822023838966171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26.822023838966171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194.7221767407824</v>
      </c>
      <c r="CZ97" s="59">
        <f t="shared" si="96"/>
        <v>177.6550559568646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103.46506525737962</v>
      </c>
      <c r="DG97" s="21">
        <f>EXP(-LN(2)/25)*DG96+(1-EXP(-LN(2)/25))/(LN(2)/25)*Calculateur!DB97*Calculateur!DD97*VLOOKUP('Données projet'!$B$13,Paramètres!$A$1:$I$89,3,0)*0.475*44/12</f>
        <v>22.530243808435245</v>
      </c>
      <c r="DH97" s="21">
        <f>EXP(-LN(2)/2)*DH96+(1-EXP(-LN(2)/2))/(LN(2)/2)*DB97*DE97*VLOOKUP('Données projet'!$B$13,Paramètres!$A$1:$I$89,3,0)*0.475*44/12</f>
        <v>7.689295571881396E-3</v>
      </c>
      <c r="DI97" s="22">
        <f t="shared" si="69"/>
        <v>126.00299836138674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11.242307692307691</v>
      </c>
      <c r="DO97" s="12">
        <f>IF('Données projet'!$A$166&gt;35,DO96+DN97-DW96,IF(A97&lt;'Données projet'!$A$166,$DL$205^A97,IF(A97='Données projet'!$A$166,'Données projet'!$B$166,DO96+DN97-DW96)))</f>
        <v>457.88076923076943</v>
      </c>
      <c r="DP97" s="17">
        <f>DO97*VLOOKUP('Données projet'!$B$14,Paramètres!$A$1:$I$89,3,0)*VLOOKUP('Données projet'!$B$14,Paramètres!$A$1:$I$89,5,0)</f>
        <v>214.28820000000007</v>
      </c>
      <c r="DQ97" s="13">
        <f t="shared" si="97"/>
        <v>52.871559993650941</v>
      </c>
      <c r="DR97" s="20">
        <f t="shared" si="70"/>
        <v>465.3032486556088</v>
      </c>
      <c r="DS97" s="59">
        <f t="shared" si="71"/>
        <v>758.63658198894211</v>
      </c>
      <c r="DT97" s="59">
        <f ca="1">AVERAGE(OFFSET($DS$3,0,0,'Données projet'!$E$14+1,1))-AVERAGE(OFFSET($H$3,0,0,'Données projet'!$E$14+1,1))</f>
        <v>207.25176714718668</v>
      </c>
      <c r="DU97" s="59">
        <f t="shared" si="98"/>
        <v>191.53228014642559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68.669919381962089</v>
      </c>
      <c r="EB97" s="21">
        <f>EXP(-LN(2)/25)*EB96+(1-EXP(-LN(2)/25))/(LN(2)/25)*Calculateur!DW97*Calculateur!DY97*VLOOKUP('Données projet'!$B$14,Paramètres!$A$1:$I$89,3,0)*0.475*44/12</f>
        <v>21.804783705766653</v>
      </c>
      <c r="EC97" s="21">
        <f>EXP(-LN(2)/2)*EC96+(1-EXP(-LN(2)/2))/(LN(2)/2)*DW97*DZ97*VLOOKUP('Données projet'!$B$14,Paramètres!$A$1:$I$89,3,0)*0.475*44/12</f>
        <v>0.51002584685682484</v>
      </c>
      <c r="ED97" s="22">
        <f t="shared" si="72"/>
        <v>90.984728934585561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-2.8421709430404007E-13</v>
      </c>
      <c r="EK97" s="17">
        <f>EJ97*VLOOKUP('Données projet'!$B$15,Paramètres!$A$1:$I$89,3,0)*VLOOKUP('Données projet'!$B$15,Paramètres!$A$1:$I$89,5,0)</f>
        <v>-1.69961822393816E-13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200.15574321350221</v>
      </c>
      <c r="EP97" s="59">
        <f t="shared" si="100"/>
        <v>200.70728852570426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66.158337822201375</v>
      </c>
      <c r="EW97" s="21">
        <f>EXP(-LN(2)/25)*EW96+(1-EXP(-LN(2)/25))/(LN(2)/25)*Calculateur!ER97*Calculateur!ET97*VLOOKUP('Données projet'!$B$15,Paramètres!$A$1:$I$89,3,0)*0.475*44/12</f>
        <v>14.078796089008495</v>
      </c>
      <c r="EX97" s="21">
        <f>EXP(-LN(2)/2)*EX96+(1-EXP(-LN(2)/2))/(LN(2)/2)*ER97*EU97*VLOOKUP('Données projet'!$B$15,Paramètres!$A$1:$I$89,3,0)*0.475*44/12</f>
        <v>2.4385718147261243E-4</v>
      </c>
      <c r="EY97" s="22">
        <f t="shared" si="75"/>
        <v>80.23737776839134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7.1782051282051267</v>
      </c>
      <c r="FE97" s="12">
        <f>IF('Données projet'!$A$218&gt;35,FE96+FD97-FM96,IF(A97&lt;'Données projet'!$A$218,$FB$205^A97,IF(A97='Données projet'!$A$218,'Données projet'!$B$218,FE96+FD97-FM96)))</f>
        <v>282.35897435897476</v>
      </c>
      <c r="FF97" s="17">
        <f>FE97*VLOOKUP('Données projet'!$B$16,Paramètres!$A$1:$I$89,3,0)*VLOOKUP('Données projet'!$B$16,Paramètres!$A$1:$I$89,5,0)</f>
        <v>303.93120000000039</v>
      </c>
      <c r="FG97" s="13">
        <f t="shared" si="101"/>
        <v>71.999968513183433</v>
      </c>
      <c r="FH97" s="20">
        <f t="shared" si="76"/>
        <v>654.74678516046185</v>
      </c>
      <c r="FI97" s="59">
        <f t="shared" si="77"/>
        <v>948.08011849379523</v>
      </c>
      <c r="FJ97" s="59">
        <f ca="1">AVERAGE(OFFSET($FI$3,0,0,'Données projet'!$E$16+1,1))-AVERAGE(OFFSET($H$3,0,0,'Données projet'!$E$16+1,1))</f>
        <v>347.17049316703486</v>
      </c>
      <c r="FK97" s="59">
        <f t="shared" si="102"/>
        <v>255.45365487683489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45.561338240531384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45.561338240531384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7">
        <f t="shared" si="56"/>
        <v>393.7115049599625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266.02599413192075</v>
      </c>
      <c r="T98" s="59">
        <f t="shared" si="88"/>
        <v>332.94146254783254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7.1782051282051267</v>
      </c>
      <c r="AI98" s="13">
        <f>IF('Données projet'!$A$62&gt;35,AI97+AH98-AQ97,IF(A98&lt;'Données projet'!$A$62,$AF$205^A98,IF(A98='Données projet'!$A$62,'Données projet'!$B$62,AI97+AH98-AQ97)))</f>
        <v>289.53717948717991</v>
      </c>
      <c r="AJ98" s="13">
        <f>AI98*VLOOKUP('Données projet'!$B$10,Paramètres!$A$1:$I$89,3,0)*VLOOKUP('Données projet'!$B$10,Paramètres!$A$1:$I$89,5,0)</f>
        <v>261.97324000000037</v>
      </c>
      <c r="AK98" s="13">
        <f t="shared" si="89"/>
        <v>63.142807719765102</v>
      </c>
      <c r="AL98" s="20">
        <f t="shared" si="58"/>
        <v>566.24378311192481</v>
      </c>
      <c r="AM98" s="59">
        <f t="shared" si="59"/>
        <v>859.57711644525807</v>
      </c>
      <c r="AN98" s="59">
        <f ca="1">AVERAGE(OFFSET($AM$3,0,0,'Données projet'!$E$10+1,1))-AVERAGE(OFFSET($H$3,0,0,'Données projet'!$E$10+1,1))</f>
        <v>282.13645166362238</v>
      </c>
      <c r="AO98" s="59">
        <f t="shared" si="90"/>
        <v>210.5345332979457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37.546937316866654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37.546937316866654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254.6443970237226</v>
      </c>
      <c r="BJ98" s="59">
        <f t="shared" si="92"/>
        <v>231.81667808018062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128.28693155032519</v>
      </c>
      <c r="BQ98" s="21">
        <f>EXP(-LN(2)/25)*BQ97+(1-EXP(-LN(2)/25))/(LN(2)/25)*Calculateur!BL98*Calculateur!BN98*VLOOKUP('Données projet'!$B$11,Paramètres!$A$1:$I$89,3,0)*0.475*44/12</f>
        <v>27.714958340800596</v>
      </c>
      <c r="BR98" s="21">
        <f>EXP(-LN(2)/2)*BR97+(1-EXP(-LN(2)/2))/(LN(2)/2)*BL98*BO98*VLOOKUP('Données projet'!$B$11,Paramètres!$A$1:$I$89,3,0)*0.475*44/12</f>
        <v>6.8763994347434071E-3</v>
      </c>
      <c r="BS98" s="22">
        <f t="shared" si="63"/>
        <v>156.00876629056052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5.2583333333333373</v>
      </c>
      <c r="BY98" s="12">
        <f>IF('Données projet'!$A$114&gt;35,BY97+BX98-CG97,IF(A98&lt;'Données projet'!$A$114,$BV$205^A98,IF(A98='Données projet'!$A$114,'Données projet'!$B$114,BY97+BX98-CG97)))</f>
        <v>192.70256410256385</v>
      </c>
      <c r="BZ98" s="13">
        <f>BY98*VLOOKUP('Données projet'!$B$12,Paramètres!$A$1:$I$89,3,0)*VLOOKUP('Données projet'!$B$12,Paramètres!$A$1:$I$89,5,0)</f>
        <v>195.40039999999976</v>
      </c>
      <c r="CA98" s="13">
        <f t="shared" si="93"/>
        <v>48.73195012899663</v>
      </c>
      <c r="CB98" s="20">
        <f t="shared" si="64"/>
        <v>425.19717647466877</v>
      </c>
      <c r="CC98" s="59">
        <f t="shared" si="65"/>
        <v>718.53050980800208</v>
      </c>
      <c r="CD98" s="59">
        <f ca="1">AVERAGE(OFFSET($CC$3,0,0,'Données projet'!$E$12+1,1))-AVERAGE(OFFSET($H$3,0,0,'Données projet'!$E$12+1,1))</f>
        <v>264.08050363622294</v>
      </c>
      <c r="CE98" s="59">
        <f t="shared" si="94"/>
        <v>164.48884512322883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26.296060311303187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26.296060311303187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194.7221767407824</v>
      </c>
      <c r="CZ98" s="59">
        <f t="shared" si="96"/>
        <v>177.6550559568646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101.43617843514087</v>
      </c>
      <c r="DG98" s="21">
        <f>EXP(-LN(2)/25)*DG97+(1-EXP(-LN(2)/25))/(LN(2)/25)*Calculateur!DB98*Calculateur!DD98*VLOOKUP('Données projet'!$B$13,Paramètres!$A$1:$I$89,3,0)*0.475*44/12</f>
        <v>21.914153106679553</v>
      </c>
      <c r="DH98" s="21">
        <f>EXP(-LN(2)/2)*DH97+(1-EXP(-LN(2)/2))/(LN(2)/2)*DB98*DE98*VLOOKUP('Données projet'!$B$13,Paramètres!$A$1:$I$89,3,0)*0.475*44/12</f>
        <v>5.4371530414250276E-3</v>
      </c>
      <c r="DI98" s="22">
        <f t="shared" si="69"/>
        <v>123.35576869486185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469.12307692307689</v>
      </c>
      <c r="DM98" s="12">
        <f>VLOOKUP(A98,'Données projet'!$A$165:$I$185,9,0)</f>
        <v>11.242307692307691</v>
      </c>
      <c r="DN98" s="12">
        <f t="array" ref="DN98">INDEX(DM:DM,MIN(IF(ISNUMBER(DM98:DM294),ROW(DM98:DM294),"")))</f>
        <v>11.242307692307691</v>
      </c>
      <c r="DO98" s="12">
        <f>IF('Données projet'!$A$166&gt;35,DO97+DN98-DW97,IF(A98&lt;'Données projet'!$A$166,$DL$205^A98,IF(A98='Données projet'!$A$166,'Données projet'!$B$166,DO97+DN98-DW97)))</f>
        <v>469.12307692307712</v>
      </c>
      <c r="DP98" s="17">
        <f>DO98*VLOOKUP('Données projet'!$B$14,Paramètres!$A$1:$I$89,3,0)*VLOOKUP('Données projet'!$B$14,Paramètres!$A$1:$I$89,5,0)</f>
        <v>219.54960000000008</v>
      </c>
      <c r="DQ98" s="13">
        <f t="shared" si="97"/>
        <v>54.016981833057052</v>
      </c>
      <c r="DR98" s="20">
        <f t="shared" si="70"/>
        <v>476.46179669257441</v>
      </c>
      <c r="DS98" s="59">
        <f t="shared" si="71"/>
        <v>769.79513002590772</v>
      </c>
      <c r="DT98" s="59">
        <f ca="1">AVERAGE(OFFSET($DS$3,0,0,'Données projet'!$E$14+1,1))-AVERAGE(OFFSET($H$3,0,0,'Données projet'!$E$14+1,1))</f>
        <v>207.25176714718668</v>
      </c>
      <c r="DU98" s="59">
        <f t="shared" si="98"/>
        <v>191.53228014642559</v>
      </c>
      <c r="DV98" s="15">
        <f>IF(ISNA(VLOOKUP(A98,'Données projet'!$A$165:$I$185,3,0)),0,VLOOKUP(A98,'Données projet'!$A$165:$I$185,3,0))</f>
        <v>8</v>
      </c>
      <c r="DW98" s="15">
        <f>IF(ISNA(VLOOKUP(A98,'Données projet'!$A$165:$I$185,4,0)),0,VLOOKUP(A98,'Données projet'!$A$165:$I$185,4,0))</f>
        <v>234.42307692307691</v>
      </c>
      <c r="DX98" s="16">
        <f>IF(ISNA(VLOOKUP(A98,'Données projet'!$A$165:$I$185,5,0)),0%,VLOOKUP(A98,'Données projet'!$A$165:$I$185,5,0)*VLOOKUP('Données projet'!$B$14,Paramètres!$A$1:$I$89,7,0))</f>
        <v>0.38500000000000001</v>
      </c>
      <c r="DY98" s="16">
        <f>IF(ISNA(VLOOKUP(A98,'Données projet'!$A$165:$I$185,6,0)),0%,VLOOKUP(A98,'Données projet'!$A$165:$I$185,6,0)*VLOOKUP('Données projet'!$B$14,Paramètres!$A$1:$I$89,7,0))</f>
        <v>9.240000000000001E-2</v>
      </c>
      <c r="DZ98" s="16">
        <f>IF(ISNA(VLOOKUP(A98,'Données projet'!$A$165:$I$185,7,0)),0%,VLOOKUP(A98,'Données projet'!$A$165:$I$185,7,0))</f>
        <v>0.13200000000000001</v>
      </c>
      <c r="EA98" s="21">
        <f>EXP(-LN(2)/35)*EA97+(1-EXP(-LN(2)/35))/(LN(2)/35)*DW98*DX98*VLOOKUP('Données projet'!$B$14,Paramètres!$A$1:$I$89,3,0)*0.475*44/12</f>
        <v>123.35523791381158</v>
      </c>
      <c r="EB98" s="21">
        <f>EXP(-LN(2)/25)*EB97+(1-EXP(-LN(2)/25))/(LN(2)/25)*Calculateur!DW98*Calculateur!DY98*VLOOKUP('Données projet'!$B$14,Paramètres!$A$1:$I$89,3,0)*0.475*44/12</f>
        <v>34.603236712868167</v>
      </c>
      <c r="EC98" s="21">
        <f>EXP(-LN(2)/2)*EC97+(1-EXP(-LN(2)/2))/(LN(2)/2)*DW98*DZ98*VLOOKUP('Données projet'!$B$14,Paramètres!$A$1:$I$89,3,0)*0.475*44/12</f>
        <v>16.757313842627845</v>
      </c>
      <c r="ED98" s="22">
        <f t="shared" si="72"/>
        <v>174.71578846930757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-2.8421709430404007E-13</v>
      </c>
      <c r="EK98" s="17">
        <f>EJ98*VLOOKUP('Données projet'!$B$15,Paramètres!$A$1:$I$89,3,0)*VLOOKUP('Données projet'!$B$15,Paramètres!$A$1:$I$89,5,0)</f>
        <v>-1.69961822393816E-13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200.15574321350221</v>
      </c>
      <c r="EP98" s="59">
        <f t="shared" si="100"/>
        <v>200.70728852570426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64.861013170109587</v>
      </c>
      <c r="EW98" s="21">
        <f>EXP(-LN(2)/25)*EW97+(1-EXP(-LN(2)/25))/(LN(2)/25)*Calculateur!ER98*Calculateur!ET98*VLOOKUP('Données projet'!$B$15,Paramètres!$A$1:$I$89,3,0)*0.475*44/12</f>
        <v>13.693810669582849</v>
      </c>
      <c r="EX98" s="21">
        <f>EXP(-LN(2)/2)*EX97+(1-EXP(-LN(2)/2))/(LN(2)/2)*ER98*EU98*VLOOKUP('Données projet'!$B$15,Paramètres!$A$1:$I$89,3,0)*0.475*44/12</f>
        <v>1.7243306666032279E-4</v>
      </c>
      <c r="EY98" s="22">
        <f t="shared" si="75"/>
        <v>78.554996272759098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7.1782051282051267</v>
      </c>
      <c r="FE98" s="12">
        <f>IF('Données projet'!$A$218&gt;35,FE97+FD98-FM97,IF(A98&lt;'Données projet'!$A$218,$FB$205^A98,IF(A98='Données projet'!$A$218,'Données projet'!$B$218,FE97+FD98-FM97)))</f>
        <v>289.53717948717991</v>
      </c>
      <c r="FF98" s="17">
        <f>FE98*VLOOKUP('Données projet'!$B$16,Paramètres!$A$1:$I$89,3,0)*VLOOKUP('Données projet'!$B$16,Paramètres!$A$1:$I$89,5,0)</f>
        <v>311.65782000000047</v>
      </c>
      <c r="FG98" s="13">
        <f t="shared" si="101"/>
        <v>73.614941426730411</v>
      </c>
      <c r="FH98" s="20">
        <f t="shared" si="76"/>
        <v>671.01672615155621</v>
      </c>
      <c r="FI98" s="59">
        <f t="shared" si="77"/>
        <v>964.35005948488947</v>
      </c>
      <c r="FJ98" s="59">
        <f ca="1">AVERAGE(OFFSET($FI$3,0,0,'Données projet'!$E$16+1,1))-AVERAGE(OFFSET($H$3,0,0,'Données projet'!$E$16+1,1))</f>
        <v>347.17049316703486</v>
      </c>
      <c r="FK98" s="59">
        <f t="shared" si="102"/>
        <v>255.45365487683489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44.667908187306885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44.667908187306885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7">
        <f t="shared" si="56"/>
        <v>394.73987503084589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266.02599413192075</v>
      </c>
      <c r="T99" s="59">
        <f t="shared" si="88"/>
        <v>332.94146254783254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7.1782051282051267</v>
      </c>
      <c r="AI99" s="13">
        <f>IF('Données projet'!$A$62&gt;35,AI98+AH99-AQ98,IF(A99&lt;'Données projet'!$A$62,$AF$205^A99,IF(A99='Données projet'!$A$62,'Données projet'!$B$62,AI98+AH99-AQ98)))</f>
        <v>296.71538461538506</v>
      </c>
      <c r="AJ99" s="13">
        <f>AI99*VLOOKUP('Données projet'!$B$10,Paramètres!$A$1:$I$89,3,0)*VLOOKUP('Données projet'!$B$10,Paramètres!$A$1:$I$89,5,0)</f>
        <v>268.46808000000038</v>
      </c>
      <c r="AK99" s="13">
        <f t="shared" si="89"/>
        <v>64.524049616897415</v>
      </c>
      <c r="AL99" s="20">
        <f t="shared" si="58"/>
        <v>579.96129241609697</v>
      </c>
      <c r="AM99" s="59">
        <f t="shared" si="59"/>
        <v>873.29462574943022</v>
      </c>
      <c r="AN99" s="59">
        <f ca="1">AVERAGE(OFFSET($AM$3,0,0,'Données projet'!$E$10+1,1))-AVERAGE(OFFSET($H$3,0,0,'Données projet'!$E$10+1,1))</f>
        <v>282.13645166362238</v>
      </c>
      <c r="AO99" s="59">
        <f t="shared" si="90"/>
        <v>210.5345332979457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36.81066477745334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36.81066477745334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254.6443970237226</v>
      </c>
      <c r="BJ99" s="59">
        <f t="shared" si="92"/>
        <v>231.81667808018062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125.77130306992528</v>
      </c>
      <c r="BQ99" s="21">
        <f>EXP(-LN(2)/25)*BQ98+(1-EXP(-LN(2)/25))/(LN(2)/25)*Calculateur!BL99*Calculateur!BN99*VLOOKUP('Données projet'!$B$11,Paramètres!$A$1:$I$89,3,0)*0.475*44/12</f>
        <v>26.957091347505088</v>
      </c>
      <c r="BR99" s="21">
        <f>EXP(-LN(2)/2)*BR98+(1-EXP(-LN(2)/2))/(LN(2)/2)*BL99*BO99*VLOOKUP('Données projet'!$B$11,Paramètres!$A$1:$I$89,3,0)*0.475*44/12</f>
        <v>4.8623486704544054E-3</v>
      </c>
      <c r="BS99" s="22">
        <f t="shared" si="63"/>
        <v>152.73325676610082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5.2583333333333373</v>
      </c>
      <c r="BY99" s="12">
        <f>IF('Données projet'!$A$114&gt;35,BY98+BX99-CG98,IF(A99&lt;'Données projet'!$A$114,$BV$205^A99,IF(A99='Données projet'!$A$114,'Données projet'!$B$114,BY98+BX99-CG98)))</f>
        <v>197.96089743589718</v>
      </c>
      <c r="BZ99" s="13">
        <f>BY99*VLOOKUP('Données projet'!$B$12,Paramètres!$A$1:$I$89,3,0)*VLOOKUP('Données projet'!$B$12,Paramètres!$A$1:$I$89,5,0)</f>
        <v>200.73234999999977</v>
      </c>
      <c r="CA99" s="13">
        <f t="shared" si="93"/>
        <v>49.905081835677372</v>
      </c>
      <c r="CB99" s="20">
        <f t="shared" si="64"/>
        <v>436.52686044713772</v>
      </c>
      <c r="CC99" s="59">
        <f t="shared" si="65"/>
        <v>729.86019378047104</v>
      </c>
      <c r="CD99" s="59">
        <f ca="1">AVERAGE(OFFSET($CC$3,0,0,'Données projet'!$E$12+1,1))-AVERAGE(OFFSET($H$3,0,0,'Données projet'!$E$12+1,1))</f>
        <v>264.08050363622294</v>
      </c>
      <c r="CE99" s="59">
        <f t="shared" si="94"/>
        <v>164.48884512322883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25.7804106076116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25.7804106076116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194.7221767407824</v>
      </c>
      <c r="CZ99" s="59">
        <f t="shared" si="96"/>
        <v>177.6550559568646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99.447076845987453</v>
      </c>
      <c r="DG99" s="21">
        <f>EXP(-LN(2)/25)*DG98+(1-EXP(-LN(2)/25))/(LN(2)/25)*Calculateur!DB99*Calculateur!DD99*VLOOKUP('Données projet'!$B$13,Paramètres!$A$1:$I$89,3,0)*0.475*44/12</f>
        <v>21.314909437562175</v>
      </c>
      <c r="DH99" s="21">
        <f>EXP(-LN(2)/2)*DH98+(1-EXP(-LN(2)/2))/(LN(2)/2)*DB99*DE99*VLOOKUP('Données projet'!$B$13,Paramètres!$A$1:$I$89,3,0)*0.475*44/12</f>
        <v>3.8446477859406985E-3</v>
      </c>
      <c r="DI99" s="22">
        <f t="shared" si="69"/>
        <v>120.76583093133557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7.5015384615384617</v>
      </c>
      <c r="DO99" s="12">
        <f>IF('Données projet'!$A$166&gt;35,DO98+DN99-DW98,IF(A99&lt;'Données projet'!$A$166,$DL$205^A99,IF(A99='Données projet'!$A$166,'Données projet'!$B$166,DO98+DN99-DW98)))</f>
        <v>242.20153846153869</v>
      </c>
      <c r="DP99" s="17">
        <f>DO99*VLOOKUP('Données projet'!$B$14,Paramètres!$A$1:$I$89,3,0)*VLOOKUP('Données projet'!$B$14,Paramètres!$A$1:$I$89,5,0)</f>
        <v>113.35032000000011</v>
      </c>
      <c r="DQ99" s="13">
        <f t="shared" si="97"/>
        <v>30.118962463528121</v>
      </c>
      <c r="DR99" s="20">
        <f t="shared" si="70"/>
        <v>249.87566695731167</v>
      </c>
      <c r="DS99" s="59">
        <f t="shared" si="71"/>
        <v>543.20900029064501</v>
      </c>
      <c r="DT99" s="59">
        <f ca="1">AVERAGE(OFFSET($DS$3,0,0,'Données projet'!$E$14+1,1))-AVERAGE(OFFSET($H$3,0,0,'Données projet'!$E$14+1,1))</f>
        <v>207.25176714718668</v>
      </c>
      <c r="DU99" s="59">
        <f t="shared" si="98"/>
        <v>191.53228014642559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120.93631693758761</v>
      </c>
      <c r="EB99" s="21">
        <f>EXP(-LN(2)/25)*EB98+(1-EXP(-LN(2)/25))/(LN(2)/25)*Calculateur!DW99*Calculateur!DY99*VLOOKUP('Données projet'!$B$14,Paramètres!$A$1:$I$89,3,0)*0.475*44/12</f>
        <v>33.657009385249658</v>
      </c>
      <c r="EC99" s="21">
        <f>EXP(-LN(2)/2)*EC98+(1-EXP(-LN(2)/2))/(LN(2)/2)*DW99*DZ99*VLOOKUP('Données projet'!$B$14,Paramètres!$A$1:$I$89,3,0)*0.475*44/12</f>
        <v>11.849210252593352</v>
      </c>
      <c r="ED99" s="22">
        <f t="shared" si="72"/>
        <v>166.44253657543061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-2.8421709430404007E-13</v>
      </c>
      <c r="EK99" s="17">
        <f>EJ99*VLOOKUP('Données projet'!$B$15,Paramètres!$A$1:$I$89,3,0)*VLOOKUP('Données projet'!$B$15,Paramètres!$A$1:$I$89,5,0)</f>
        <v>-1.69961822393816E-13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200.15574321350221</v>
      </c>
      <c r="EP99" s="59">
        <f t="shared" si="100"/>
        <v>200.70728852570426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63.589128263155416</v>
      </c>
      <c r="EW99" s="21">
        <f>EXP(-LN(2)/25)*EW98+(1-EXP(-LN(2)/25))/(LN(2)/25)*Calculateur!ER99*Calculateur!ET99*VLOOKUP('Données projet'!$B$15,Paramètres!$A$1:$I$89,3,0)*0.475*44/12</f>
        <v>13.3193526966969</v>
      </c>
      <c r="EX99" s="21">
        <f>EXP(-LN(2)/2)*EX98+(1-EXP(-LN(2)/2))/(LN(2)/2)*ER99*EU99*VLOOKUP('Données projet'!$B$15,Paramètres!$A$1:$I$89,3,0)*0.475*44/12</f>
        <v>1.2192859073630624E-4</v>
      </c>
      <c r="EY99" s="22">
        <f t="shared" si="75"/>
        <v>76.908602888443042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7.1782051282051267</v>
      </c>
      <c r="FE99" s="12">
        <f>IF('Données projet'!$A$218&gt;35,FE98+FD99-FM98,IF(A99&lt;'Données projet'!$A$218,$FB$205^A99,IF(A99='Données projet'!$A$218,'Données projet'!$B$218,FE98+FD99-FM98)))</f>
        <v>296.71538461538506</v>
      </c>
      <c r="FF99" s="17">
        <f>FE99*VLOOKUP('Données projet'!$B$16,Paramètres!$A$1:$I$89,3,0)*VLOOKUP('Données projet'!$B$16,Paramètres!$A$1:$I$89,5,0)</f>
        <v>319.3844400000005</v>
      </c>
      <c r="FG99" s="13">
        <f t="shared" si="101"/>
        <v>75.225260084158577</v>
      </c>
      <c r="FH99" s="20">
        <f t="shared" si="76"/>
        <v>687.27856097991025</v>
      </c>
      <c r="FI99" s="59">
        <f t="shared" si="77"/>
        <v>980.61189431324351</v>
      </c>
      <c r="FJ99" s="59">
        <f ca="1">AVERAGE(OFFSET($FI$3,0,0,'Données projet'!$E$16+1,1))-AVERAGE(OFFSET($H$3,0,0,'Données projet'!$E$16+1,1))</f>
        <v>347.17049316703486</v>
      </c>
      <c r="FK99" s="59">
        <f t="shared" si="102"/>
        <v>255.45365487683489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43.791997752487596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43.791997752487596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7">
        <f t="shared" si="56"/>
        <v>395.76798666353227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266.02599413192075</v>
      </c>
      <c r="T100" s="59">
        <f t="shared" si="88"/>
        <v>332.94146254783254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7.1782051282051267</v>
      </c>
      <c r="AI100" s="13">
        <f>IF('Données projet'!$A$62&gt;35,AI99+AH100-AQ99,IF(A100&lt;'Données projet'!$A$62,$AF$205^A100,IF(A100='Données projet'!$A$62,'Données projet'!$B$62,AI99+AH100-AQ99)))</f>
        <v>303.89358974359021</v>
      </c>
      <c r="AJ100" s="13">
        <f>AI100*VLOOKUP('Données projet'!$B$10,Paramètres!$A$1:$I$89,3,0)*VLOOKUP('Données projet'!$B$10,Paramètres!$A$1:$I$89,5,0)</f>
        <v>274.96292000000045</v>
      </c>
      <c r="AK100" s="13">
        <f t="shared" si="89"/>
        <v>65.901407042348566</v>
      </c>
      <c r="AL100" s="20">
        <f t="shared" si="58"/>
        <v>593.67203626542459</v>
      </c>
      <c r="AM100" s="59">
        <f t="shared" si="59"/>
        <v>887.00536959875785</v>
      </c>
      <c r="AN100" s="59">
        <f ca="1">AVERAGE(OFFSET($AM$3,0,0,'Données projet'!$E$10+1,1))-AVERAGE(OFFSET($H$3,0,0,'Données projet'!$E$10+1,1))</f>
        <v>282.13645166362238</v>
      </c>
      <c r="AO100" s="59">
        <f t="shared" si="90"/>
        <v>210.5345332979457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36.088830093456018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36.088830093456018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254.6443970237226</v>
      </c>
      <c r="BJ100" s="59">
        <f t="shared" si="92"/>
        <v>231.81667808018062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123.30500452964415</v>
      </c>
      <c r="BQ100" s="21">
        <f>EXP(-LN(2)/25)*BQ99+(1-EXP(-LN(2)/25))/(LN(2)/25)*Calculateur!BL100*Calculateur!BN100*VLOOKUP('Données projet'!$B$11,Paramètres!$A$1:$I$89,3,0)*0.475*44/12</f>
        <v>26.21994826699574</v>
      </c>
      <c r="BR100" s="21">
        <f>EXP(-LN(2)/2)*BR99+(1-EXP(-LN(2)/2))/(LN(2)/2)*BL100*BO100*VLOOKUP('Données projet'!$B$11,Paramètres!$A$1:$I$89,3,0)*0.475*44/12</f>
        <v>3.4381997173717036E-3</v>
      </c>
      <c r="BS100" s="22">
        <f t="shared" si="63"/>
        <v>149.52839099635727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5.2583333333333373</v>
      </c>
      <c r="BY100" s="12">
        <f>IF('Données projet'!$A$114&gt;35,BY99+BX100-CG99,IF(A100&lt;'Données projet'!$A$114,$BV$205^A100,IF(A100='Données projet'!$A$114,'Données projet'!$B$114,BY99+BX100-CG99)))</f>
        <v>203.21923076923051</v>
      </c>
      <c r="BZ100" s="13">
        <f>BY100*VLOOKUP('Données projet'!$B$12,Paramètres!$A$1:$I$89,3,0)*VLOOKUP('Données projet'!$B$12,Paramètres!$A$1:$I$89,5,0)</f>
        <v>206.06429999999975</v>
      </c>
      <c r="CA100" s="13">
        <f t="shared" si="93"/>
        <v>51.074591519343635</v>
      </c>
      <c r="CB100" s="20">
        <f t="shared" si="64"/>
        <v>447.85023606285631</v>
      </c>
      <c r="CC100" s="59">
        <f t="shared" si="65"/>
        <v>741.18356939618957</v>
      </c>
      <c r="CD100" s="59">
        <f ca="1">AVERAGE(OFFSET($CC$3,0,0,'Données projet'!$E$12+1,1))-AVERAGE(OFFSET($H$3,0,0,'Données projet'!$E$12+1,1))</f>
        <v>264.08050363622294</v>
      </c>
      <c r="CE100" s="59">
        <f t="shared" si="94"/>
        <v>164.48884512322883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25.274872480094142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25.274872480094142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194.7221767407824</v>
      </c>
      <c r="CZ100" s="59">
        <f t="shared" si="96"/>
        <v>177.6550559568646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97.496980325765165</v>
      </c>
      <c r="DG100" s="21">
        <f>EXP(-LN(2)/25)*DG99+(1-EXP(-LN(2)/25))/(LN(2)/25)*Calculateur!DB100*Calculateur!DD100*VLOOKUP('Données projet'!$B$13,Paramètres!$A$1:$I$89,3,0)*0.475*44/12</f>
        <v>20.732052118089666</v>
      </c>
      <c r="DH100" s="21">
        <f>EXP(-LN(2)/2)*DH99+(1-EXP(-LN(2)/2))/(LN(2)/2)*DB100*DE100*VLOOKUP('Données projet'!$B$13,Paramètres!$A$1:$I$89,3,0)*0.475*44/12</f>
        <v>2.7185765207125142E-3</v>
      </c>
      <c r="DI100" s="22">
        <f t="shared" si="69"/>
        <v>118.23175102037554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7.5015384615384617</v>
      </c>
      <c r="DO100" s="12">
        <f>IF('Données projet'!$A$166&gt;35,DO99+DN100-DW99,IF(A100&lt;'Données projet'!$A$166,$DL$205^A100,IF(A100='Données projet'!$A$166,'Données projet'!$B$166,DO99+DN100-DW99)))</f>
        <v>249.70307692307716</v>
      </c>
      <c r="DP100" s="17">
        <f>DO100*VLOOKUP('Données projet'!$B$14,Paramètres!$A$1:$I$89,3,0)*VLOOKUP('Données projet'!$B$14,Paramètres!$A$1:$I$89,5,0)</f>
        <v>116.86104000000012</v>
      </c>
      <c r="DQ100" s="13">
        <f t="shared" si="97"/>
        <v>30.941762857231797</v>
      </c>
      <c r="DR100" s="20">
        <f t="shared" si="70"/>
        <v>257.42321497634555</v>
      </c>
      <c r="DS100" s="59">
        <f t="shared" si="71"/>
        <v>550.75654830967892</v>
      </c>
      <c r="DT100" s="59">
        <f ca="1">AVERAGE(OFFSET($DS$3,0,0,'Données projet'!$E$14+1,1))-AVERAGE(OFFSET($H$3,0,0,'Données projet'!$E$14+1,1))</f>
        <v>207.25176714718668</v>
      </c>
      <c r="DU100" s="59">
        <f t="shared" si="98"/>
        <v>191.53228014642559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118.56482952631127</v>
      </c>
      <c r="EB100" s="21">
        <f>EXP(-LN(2)/25)*EB99+(1-EXP(-LN(2)/25))/(LN(2)/25)*Calculateur!DW100*Calculateur!DY100*VLOOKUP('Données projet'!$B$14,Paramètres!$A$1:$I$89,3,0)*0.475*44/12</f>
        <v>32.736656693664806</v>
      </c>
      <c r="EC100" s="21">
        <f>EXP(-LN(2)/2)*EC99+(1-EXP(-LN(2)/2))/(LN(2)/2)*DW100*DZ100*VLOOKUP('Données projet'!$B$14,Paramètres!$A$1:$I$89,3,0)*0.475*44/12</f>
        <v>8.3786569213139241</v>
      </c>
      <c r="ED100" s="22">
        <f t="shared" si="72"/>
        <v>159.68014314129002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-2.8421709430404007E-13</v>
      </c>
      <c r="EK100" s="17">
        <f>EJ100*VLOOKUP('Données projet'!$B$15,Paramètres!$A$1:$I$89,3,0)*VLOOKUP('Données projet'!$B$15,Paramètres!$A$1:$I$89,5,0)</f>
        <v>-1.69961822393816E-13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200.15574321350221</v>
      </c>
      <c r="EP100" s="59">
        <f t="shared" si="100"/>
        <v>200.70728852570426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62.342184243453424</v>
      </c>
      <c r="EW100" s="21">
        <f>EXP(-LN(2)/25)*EW99+(1-EXP(-LN(2)/25))/(LN(2)/25)*Calculateur!ER100*Calculateur!ET100*VLOOKUP('Données projet'!$B$15,Paramètres!$A$1:$I$89,3,0)*0.475*44/12</f>
        <v>12.955134296771407</v>
      </c>
      <c r="EX100" s="21">
        <f>EXP(-LN(2)/2)*EX99+(1-EXP(-LN(2)/2))/(LN(2)/2)*ER100*EU100*VLOOKUP('Données projet'!$B$15,Paramètres!$A$1:$I$89,3,0)*0.475*44/12</f>
        <v>8.6216533330161409E-5</v>
      </c>
      <c r="EY100" s="22">
        <f t="shared" si="75"/>
        <v>75.297404756758169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7.1782051282051267</v>
      </c>
      <c r="FE100" s="12">
        <f>IF('Données projet'!$A$218&gt;35,FE99+FD100-FM99,IF(A100&lt;'Données projet'!$A$218,$FB$205^A100,IF(A100='Données projet'!$A$218,'Données projet'!$B$218,FE99+FD100-FM99)))</f>
        <v>303.89358974359021</v>
      </c>
      <c r="FF100" s="17">
        <f>FE100*VLOOKUP('Données projet'!$B$16,Paramètres!$A$1:$I$89,3,0)*VLOOKUP('Données projet'!$B$16,Paramètres!$A$1:$I$89,5,0)</f>
        <v>327.11106000000052</v>
      </c>
      <c r="FG100" s="13">
        <f t="shared" si="101"/>
        <v>76.831050036487923</v>
      </c>
      <c r="FH100" s="20">
        <f t="shared" si="76"/>
        <v>703.53250831355069</v>
      </c>
      <c r="FI100" s="59">
        <f t="shared" si="77"/>
        <v>996.86584164688406</v>
      </c>
      <c r="FJ100" s="59">
        <f ca="1">AVERAGE(OFFSET($FI$3,0,0,'Données projet'!$E$16+1,1))-AVERAGE(OFFSET($H$3,0,0,'Données projet'!$E$16+1,1))</f>
        <v>347.17049316703486</v>
      </c>
      <c r="FK100" s="59">
        <f t="shared" si="102"/>
        <v>255.45365487683489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42.933263387042501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42.933263387042501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7">
        <f t="shared" si="56"/>
        <v>396.79584283078071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266.02599413192075</v>
      </c>
      <c r="T101" s="59">
        <f t="shared" si="88"/>
        <v>332.94146254783254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7.1782051282051267</v>
      </c>
      <c r="AI101" s="13">
        <f>IF('Données projet'!$A$62&gt;35,AI100+AH101-AQ100,IF(A101&lt;'Données projet'!$A$62,$AF$205^A101,IF(A101='Données projet'!$A$62,'Données projet'!$B$62,AI100+AH101-AQ100)))</f>
        <v>311.07179487179536</v>
      </c>
      <c r="AJ101" s="13">
        <f>AI101*VLOOKUP('Données projet'!$B$10,Paramètres!$A$1:$I$89,3,0)*VLOOKUP('Données projet'!$B$10,Paramètres!$A$1:$I$89,5,0)</f>
        <v>281.45776000000041</v>
      </c>
      <c r="AK101" s="13">
        <f t="shared" si="89"/>
        <v>67.274982309129811</v>
      </c>
      <c r="AL101" s="20">
        <f t="shared" si="58"/>
        <v>607.37619285506855</v>
      </c>
      <c r="AM101" s="59">
        <f t="shared" si="59"/>
        <v>900.70952618840192</v>
      </c>
      <c r="AN101" s="59">
        <f ca="1">AVERAGE(OFFSET($AM$3,0,0,'Données projet'!$E$10+1,1))-AVERAGE(OFFSET($H$3,0,0,'Données projet'!$E$10+1,1))</f>
        <v>282.13645166362238</v>
      </c>
      <c r="AO101" s="59">
        <f t="shared" si="90"/>
        <v>210.5345332979457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35.3811501473362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35.3811501473362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254.6443970237226</v>
      </c>
      <c r="BJ101" s="59">
        <f t="shared" si="92"/>
        <v>231.81667808018062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120.88706859944436</v>
      </c>
      <c r="BQ101" s="21">
        <f>EXP(-LN(2)/25)*BQ100+(1-EXP(-LN(2)/25))/(LN(2)/25)*Calculateur!BL101*Calculateur!BN101*VLOOKUP('Données projet'!$B$11,Paramètres!$A$1:$I$89,3,0)*0.475*44/12</f>
        <v>25.502962402787588</v>
      </c>
      <c r="BR101" s="21">
        <f>EXP(-LN(2)/2)*BR100+(1-EXP(-LN(2)/2))/(LN(2)/2)*BL101*BO101*VLOOKUP('Données projet'!$B$11,Paramètres!$A$1:$I$89,3,0)*0.475*44/12</f>
        <v>2.4311743352272027E-3</v>
      </c>
      <c r="BS101" s="22">
        <f t="shared" si="63"/>
        <v>146.39246217656716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5.2583333333333373</v>
      </c>
      <c r="BY101" s="12">
        <f>IF('Données projet'!$A$114&gt;35,BY100+BX101-CG100,IF(A101&lt;'Données projet'!$A$114,$BV$205^A101,IF(A101='Données projet'!$A$114,'Données projet'!$B$114,BY100+BX101-CG100)))</f>
        <v>208.47756410256383</v>
      </c>
      <c r="BZ101" s="13">
        <f>BY101*VLOOKUP('Données projet'!$B$12,Paramètres!$A$1:$I$89,3,0)*VLOOKUP('Données projet'!$B$12,Paramètres!$A$1:$I$89,5,0)</f>
        <v>211.39624999999972</v>
      </c>
      <c r="CA101" s="13">
        <f t="shared" si="93"/>
        <v>52.240583675733987</v>
      </c>
      <c r="CB101" s="20">
        <f t="shared" si="64"/>
        <v>459.16748531856956</v>
      </c>
      <c r="CC101" s="59">
        <f t="shared" si="65"/>
        <v>752.50081865190282</v>
      </c>
      <c r="CD101" s="59">
        <f ca="1">AVERAGE(OFFSET($CC$3,0,0,'Données projet'!$E$12+1,1))-AVERAGE(OFFSET($H$3,0,0,'Données projet'!$E$12+1,1))</f>
        <v>264.08050363622294</v>
      </c>
      <c r="CE101" s="59">
        <f t="shared" si="94"/>
        <v>164.48884512322883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24.779247646909489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24.779247646909489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194.7221767407824</v>
      </c>
      <c r="CZ101" s="59">
        <f t="shared" si="96"/>
        <v>177.6550559568646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95.585124008863005</v>
      </c>
      <c r="DG101" s="21">
        <f>EXP(-LN(2)/25)*DG100+(1-EXP(-LN(2)/25))/(LN(2)/25)*Calculateur!DB101*Calculateur!DD101*VLOOKUP('Données projet'!$B$13,Paramètres!$A$1:$I$89,3,0)*0.475*44/12</f>
        <v>20.165133062669266</v>
      </c>
      <c r="DH101" s="21">
        <f>EXP(-LN(2)/2)*DH100+(1-EXP(-LN(2)/2))/(LN(2)/2)*DB101*DE101*VLOOKUP('Données projet'!$B$13,Paramètres!$A$1:$I$89,3,0)*0.475*44/12</f>
        <v>1.9223238929703497E-3</v>
      </c>
      <c r="DI101" s="22">
        <f t="shared" si="69"/>
        <v>115.75217939542524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7.5015384615384617</v>
      </c>
      <c r="DO101" s="12">
        <f>IF('Données projet'!$A$166&gt;35,DO100+DN101-DW100,IF(A101&lt;'Données projet'!$A$166,$DL$205^A101,IF(A101='Données projet'!$A$166,'Données projet'!$B$166,DO100+DN101-DW100)))</f>
        <v>257.20461538461564</v>
      </c>
      <c r="DP101" s="17">
        <f>DO101*VLOOKUP('Données projet'!$B$14,Paramètres!$A$1:$I$89,3,0)*VLOOKUP('Données projet'!$B$14,Paramètres!$A$1:$I$89,5,0)</f>
        <v>120.37176000000012</v>
      </c>
      <c r="DQ101" s="13">
        <f t="shared" si="97"/>
        <v>31.761690593555869</v>
      </c>
      <c r="DR101" s="20">
        <f t="shared" si="70"/>
        <v>264.96575978377672</v>
      </c>
      <c r="DS101" s="59">
        <f t="shared" si="71"/>
        <v>558.29909311711003</v>
      </c>
      <c r="DT101" s="59">
        <f ca="1">AVERAGE(OFFSET($DS$3,0,0,'Données projet'!$E$14+1,1))-AVERAGE(OFFSET($H$3,0,0,'Données projet'!$E$14+1,1))</f>
        <v>207.25176714718668</v>
      </c>
      <c r="DU101" s="59">
        <f t="shared" si="98"/>
        <v>191.53228014642559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116.23984553670557</v>
      </c>
      <c r="EB101" s="21">
        <f>EXP(-LN(2)/25)*EB100+(1-EXP(-LN(2)/25))/(LN(2)/25)*Calculateur!DW101*Calculateur!DY101*VLOOKUP('Données projet'!$B$14,Paramètres!$A$1:$I$89,3,0)*0.475*44/12</f>
        <v>31.841471094830588</v>
      </c>
      <c r="EC101" s="21">
        <f>EXP(-LN(2)/2)*EC100+(1-EXP(-LN(2)/2))/(LN(2)/2)*DW101*DZ101*VLOOKUP('Données projet'!$B$14,Paramètres!$A$1:$I$89,3,0)*0.475*44/12</f>
        <v>5.9246051262966777</v>
      </c>
      <c r="ED101" s="22">
        <f t="shared" si="72"/>
        <v>154.00592175783285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-2.8421709430404007E-13</v>
      </c>
      <c r="EK101" s="17">
        <f>EJ101*VLOOKUP('Données projet'!$B$15,Paramètres!$A$1:$I$89,3,0)*VLOOKUP('Données projet'!$B$15,Paramètres!$A$1:$I$89,5,0)</f>
        <v>-1.69961822393816E-13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200.15574321350221</v>
      </c>
      <c r="EP101" s="59">
        <f t="shared" si="100"/>
        <v>200.70728852570426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61.119692035417039</v>
      </c>
      <c r="EW101" s="21">
        <f>EXP(-LN(2)/25)*EW100+(1-EXP(-LN(2)/25))/(LN(2)/25)*Calculateur!ER101*Calculateur!ET101*VLOOKUP('Données projet'!$B$15,Paramètres!$A$1:$I$89,3,0)*0.475*44/12</f>
        <v>12.60087546814529</v>
      </c>
      <c r="EX101" s="21">
        <f>EXP(-LN(2)/2)*EX100+(1-EXP(-LN(2)/2))/(LN(2)/2)*ER101*EU101*VLOOKUP('Données projet'!$B$15,Paramètres!$A$1:$I$89,3,0)*0.475*44/12</f>
        <v>6.0964295368153128E-5</v>
      </c>
      <c r="EY101" s="22">
        <f t="shared" si="75"/>
        <v>73.720628467857708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7.1782051282051267</v>
      </c>
      <c r="FE101" s="12">
        <f>IF('Données projet'!$A$218&gt;35,FE100+FD101-FM100,IF(A101&lt;'Données projet'!$A$218,$FB$205^A101,IF(A101='Données projet'!$A$218,'Données projet'!$B$218,FE100+FD101-FM100)))</f>
        <v>311.07179487179536</v>
      </c>
      <c r="FF101" s="17">
        <f>FE101*VLOOKUP('Données projet'!$B$16,Paramètres!$A$1:$I$89,3,0)*VLOOKUP('Données projet'!$B$16,Paramètres!$A$1:$I$89,5,0)</f>
        <v>334.83768000000055</v>
      </c>
      <c r="FG101" s="13">
        <f t="shared" si="101"/>
        <v>78.432430565178777</v>
      </c>
      <c r="FH101" s="20">
        <f t="shared" si="76"/>
        <v>719.77877590102059</v>
      </c>
      <c r="FI101" s="59">
        <f t="shared" si="77"/>
        <v>1013.112109234354</v>
      </c>
      <c r="FJ101" s="59">
        <f ca="1">AVERAGE(OFFSET($FI$3,0,0,'Données projet'!$E$16+1,1))-AVERAGE(OFFSET($H$3,0,0,'Données projet'!$E$16+1,1))</f>
        <v>347.17049316703486</v>
      </c>
      <c r="FK101" s="59">
        <f t="shared" si="102"/>
        <v>255.45365487683489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42.091368278727543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42.091368278727543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7">
        <f t="shared" si="56"/>
        <v>397.82344644118547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266.02599413192075</v>
      </c>
      <c r="T102" s="59">
        <f t="shared" si="88"/>
        <v>332.94146254783254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318.25</v>
      </c>
      <c r="AG102" s="12">
        <f>VLOOKUP(A102,'Données projet'!$A$61:$I$81,9,0)</f>
        <v>7.1782051282051267</v>
      </c>
      <c r="AH102" s="12">
        <f t="array" ref="AH102">INDEX(AG:AG,MIN(IF(ISNUMBER(AG102:AG298),ROW(AG102:AG298),"")))</f>
        <v>7.1782051282051267</v>
      </c>
      <c r="AI102" s="13">
        <f>IF('Données projet'!$A$62&gt;35,AI101+AH102-AQ101,IF(A102&lt;'Données projet'!$A$62,$AF$205^A102,IF(A102='Données projet'!$A$62,'Données projet'!$B$62,AI101+AH102-AQ101)))</f>
        <v>318.25000000000051</v>
      </c>
      <c r="AJ102" s="13">
        <f>AI102*VLOOKUP('Données projet'!$B$10,Paramètres!$A$1:$I$89,3,0)*VLOOKUP('Données projet'!$B$10,Paramètres!$A$1:$I$89,5,0)</f>
        <v>287.95260000000047</v>
      </c>
      <c r="AK102" s="13">
        <f t="shared" si="89"/>
        <v>68.6448727389173</v>
      </c>
      <c r="AL102" s="20">
        <f t="shared" si="58"/>
        <v>621.07393168694841</v>
      </c>
      <c r="AM102" s="59">
        <f t="shared" si="59"/>
        <v>914.40726502028178</v>
      </c>
      <c r="AN102" s="59">
        <f ca="1">AVERAGE(OFFSET($AM$3,0,0,'Données projet'!$E$10+1,1))-AVERAGE(OFFSET($H$3,0,0,'Données projet'!$E$10+1,1))</f>
        <v>282.13645166362238</v>
      </c>
      <c r="AO102" s="59">
        <f t="shared" si="90"/>
        <v>210.5345332979457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48.019230769230766</v>
      </c>
      <c r="AR102" s="16">
        <f>IF(ISNA(VLOOKUP(A102,'Données projet'!$A$61:$I$81,5,0)),0%,VLOOKUP(A102,'Données projet'!$A$61:$I$81,5,0)*VLOOKUP('Données projet'!$B$10,Paramètres!$A$1:$I$89,7,0))</f>
        <v>0.30099999999999999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49.144454416035025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49.144454416035025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254.6443970237226</v>
      </c>
      <c r="BJ102" s="59">
        <f t="shared" si="92"/>
        <v>231.81667808018062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118.51654691804049</v>
      </c>
      <c r="BQ102" s="21">
        <f>EXP(-LN(2)/25)*BQ101+(1-EXP(-LN(2)/25))/(LN(2)/25)*Calculateur!BL102*Calculateur!BN102*VLOOKUP('Données projet'!$B$11,Paramètres!$A$1:$I$89,3,0)*0.475*44/12</f>
        <v>24.805582554740855</v>
      </c>
      <c r="BR102" s="21">
        <f>EXP(-LN(2)/2)*BR101+(1-EXP(-LN(2)/2))/(LN(2)/2)*BL102*BO102*VLOOKUP('Données projet'!$B$11,Paramètres!$A$1:$I$89,3,0)*0.475*44/12</f>
        <v>1.7190998586858518E-3</v>
      </c>
      <c r="BS102" s="22">
        <f t="shared" si="63"/>
        <v>143.32384857264003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5.2583333333333373</v>
      </c>
      <c r="BY102" s="12">
        <f>IF('Données projet'!$A$114&gt;35,BY101+BX102-CG101,IF(A102&lt;'Données projet'!$A$114,$BV$205^A102,IF(A102='Données projet'!$A$114,'Données projet'!$B$114,BY101+BX102-CG101)))</f>
        <v>213.73589743589716</v>
      </c>
      <c r="BZ102" s="13">
        <f>BY102*VLOOKUP('Données projet'!$B$12,Paramètres!$A$1:$I$89,3,0)*VLOOKUP('Données projet'!$B$12,Paramètres!$A$1:$I$89,5,0)</f>
        <v>216.72819999999976</v>
      </c>
      <c r="CA102" s="13">
        <f t="shared" si="93"/>
        <v>53.403157228900795</v>
      </c>
      <c r="CB102" s="20">
        <f t="shared" si="64"/>
        <v>470.47878050700183</v>
      </c>
      <c r="CC102" s="59">
        <f t="shared" si="65"/>
        <v>763.81211384033509</v>
      </c>
      <c r="CD102" s="59">
        <f ca="1">AVERAGE(OFFSET($CC$3,0,0,'Données projet'!$E$12+1,1))-AVERAGE(OFFSET($H$3,0,0,'Données projet'!$E$12+1,1))</f>
        <v>264.08050363622294</v>
      </c>
      <c r="CE102" s="59">
        <f t="shared" si="94"/>
        <v>164.48884512322883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24.293341714402292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24.293341714402292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194.7221767407824</v>
      </c>
      <c r="CZ102" s="59">
        <f t="shared" si="96"/>
        <v>177.6550559568646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93.710758028218081</v>
      </c>
      <c r="DG102" s="21">
        <f>EXP(-LN(2)/25)*DG101+(1-EXP(-LN(2)/25))/(LN(2)/25)*Calculateur!DB102*Calculateur!DD102*VLOOKUP('Données projet'!$B$13,Paramètres!$A$1:$I$89,3,0)*0.475*44/12</f>
        <v>19.613716438632316</v>
      </c>
      <c r="DH102" s="21">
        <f>EXP(-LN(2)/2)*DH101+(1-EXP(-LN(2)/2))/(LN(2)/2)*DB102*DE102*VLOOKUP('Données projet'!$B$13,Paramètres!$A$1:$I$89,3,0)*0.475*44/12</f>
        <v>1.3592882603562573E-3</v>
      </c>
      <c r="DI102" s="22">
        <f t="shared" si="69"/>
        <v>113.32583375511076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7.5015384615384617</v>
      </c>
      <c r="DO102" s="12">
        <f>IF('Données projet'!$A$166&gt;35,DO101+DN102-DW101,IF(A102&lt;'Données projet'!$A$166,$DL$205^A102,IF(A102='Données projet'!$A$166,'Données projet'!$B$166,DO101+DN102-DW101)))</f>
        <v>264.70615384615411</v>
      </c>
      <c r="DP102" s="17">
        <f>DO102*VLOOKUP('Données projet'!$B$14,Paramètres!$A$1:$I$89,3,0)*VLOOKUP('Données projet'!$B$14,Paramètres!$A$1:$I$89,5,0)</f>
        <v>123.88248000000011</v>
      </c>
      <c r="DQ102" s="13">
        <f t="shared" si="97"/>
        <v>32.578839075986679</v>
      </c>
      <c r="DR102" s="20">
        <f t="shared" si="70"/>
        <v>272.50346405734365</v>
      </c>
      <c r="DS102" s="59">
        <f t="shared" si="71"/>
        <v>565.83679739067702</v>
      </c>
      <c r="DT102" s="59">
        <f ca="1">AVERAGE(OFFSET($DS$3,0,0,'Données projet'!$E$14+1,1))-AVERAGE(OFFSET($H$3,0,0,'Données projet'!$E$14+1,1))</f>
        <v>207.25176714718668</v>
      </c>
      <c r="DU102" s="59">
        <f t="shared" si="98"/>
        <v>191.53228014642559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113.96045306503584</v>
      </c>
      <c r="EB102" s="21">
        <f>EXP(-LN(2)/25)*EB101+(1-EXP(-LN(2)/25))/(LN(2)/25)*Calculateur!DW102*Calculateur!DY102*VLOOKUP('Données projet'!$B$14,Paramètres!$A$1:$I$89,3,0)*0.475*44/12</f>
        <v>30.970764393272255</v>
      </c>
      <c r="EC102" s="21">
        <f>EXP(-LN(2)/2)*EC101+(1-EXP(-LN(2)/2))/(LN(2)/2)*DW102*DZ102*VLOOKUP('Données projet'!$B$14,Paramètres!$A$1:$I$89,3,0)*0.475*44/12</f>
        <v>4.189328460656963</v>
      </c>
      <c r="ED102" s="22">
        <f t="shared" si="72"/>
        <v>149.12054591896504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-2.8421709430404007E-13</v>
      </c>
      <c r="EK102" s="17">
        <f>EJ102*VLOOKUP('Données projet'!$B$15,Paramètres!$A$1:$I$89,3,0)*VLOOKUP('Données projet'!$B$15,Paramètres!$A$1:$I$89,5,0)</f>
        <v>-1.69961822393816E-13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200.15574321350221</v>
      </c>
      <c r="EP102" s="59">
        <f t="shared" si="100"/>
        <v>200.70728852570426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59.921172153933625</v>
      </c>
      <c r="EW102" s="21">
        <f>EXP(-LN(2)/25)*EW101+(1-EXP(-LN(2)/25))/(LN(2)/25)*Calculateur!ER102*Calculateur!ET102*VLOOKUP('Données projet'!$B$15,Paramètres!$A$1:$I$89,3,0)*0.475*44/12</f>
        <v>12.256303865817616</v>
      </c>
      <c r="EX102" s="21">
        <f>EXP(-LN(2)/2)*EX101+(1-EXP(-LN(2)/2))/(LN(2)/2)*ER102*EU102*VLOOKUP('Données projet'!$B$15,Paramètres!$A$1:$I$89,3,0)*0.475*44/12</f>
        <v>4.3108266665080711E-5</v>
      </c>
      <c r="EY102" s="22">
        <f t="shared" si="75"/>
        <v>72.177519128017906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>
        <f>VLOOKUP(A102,'Données projet'!$A$217:$I$237,2,0)</f>
        <v>318.25</v>
      </c>
      <c r="FC102" s="12">
        <f>VLOOKUP(A102,'Données projet'!$A$217:$I$237,9,0)</f>
        <v>7.1782051282051267</v>
      </c>
      <c r="FD102" s="12">
        <f t="array" ref="FD102">INDEX(FC:FC,MIN(IF(ISNUMBER(FC102:FC298),ROW(FC102:FC298),"")))</f>
        <v>7.1782051282051267</v>
      </c>
      <c r="FE102" s="12">
        <f>IF('Données projet'!$A$218&gt;35,FE101+FD102-FM101,IF(A102&lt;'Données projet'!$A$218,$FB$205^A102,IF(A102='Données projet'!$A$218,'Données projet'!$B$218,FE101+FD102-FM101)))</f>
        <v>318.25000000000051</v>
      </c>
      <c r="FF102" s="17">
        <f>FE102*VLOOKUP('Données projet'!$B$16,Paramètres!$A$1:$I$89,3,0)*VLOOKUP('Données projet'!$B$16,Paramètres!$A$1:$I$89,5,0)</f>
        <v>342.56430000000057</v>
      </c>
      <c r="FG102" s="13">
        <f t="shared" si="101"/>
        <v>80.029515132551893</v>
      </c>
      <c r="FH102" s="20">
        <f t="shared" si="76"/>
        <v>736.01756135586209</v>
      </c>
      <c r="FI102" s="59">
        <f t="shared" si="77"/>
        <v>1029.3508946891955</v>
      </c>
      <c r="FJ102" s="59">
        <f ca="1">AVERAGE(OFFSET($FI$3,0,0,'Données projet'!$E$16+1,1))-AVERAGE(OFFSET($H$3,0,0,'Données projet'!$E$16+1,1))</f>
        <v>347.17049316703486</v>
      </c>
      <c r="FK102" s="59">
        <f t="shared" si="102"/>
        <v>255.45365487683489</v>
      </c>
      <c r="FL102" s="15">
        <f>IF(ISNA(VLOOKUP(A102,'Données projet'!$A$217:$I$237,3,0)),0,VLOOKUP(A102,'Données projet'!$A$217:$I$237,3,0))</f>
        <v>9</v>
      </c>
      <c r="FM102" s="15">
        <f>IF(ISNA(VLOOKUP(A102,'Données projet'!$A$217:$I$237,4,0)),0,VLOOKUP(A102,'Données projet'!$A$217:$I$237,4,0))</f>
        <v>48.019230769230766</v>
      </c>
      <c r="FN102" s="16">
        <f>IF(ISNA(VLOOKUP(A102,'Données projet'!$A$217:$I$237,5,0)),0%,VLOOKUP(A102,'Données projet'!$A$217:$I$237,5,0)*VLOOKUP('Données projet'!$B$16,Paramètres!$A$1:$I$89,7,0))</f>
        <v>0.30099999999999999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58.46495439148994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58.46495439148994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7">
        <f t="shared" si="56"/>
        <v>398.85080034119505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266.02599413192075</v>
      </c>
      <c r="T103" s="59">
        <f t="shared" si="88"/>
        <v>332.94146254783254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6.9935897435897401</v>
      </c>
      <c r="AI103" s="13">
        <f>IF('Données projet'!$A$62&gt;35,AI102+AH103-AQ102,IF(A103&lt;'Données projet'!$A$62,$AF$205^A103,IF(A103='Données projet'!$A$62,'Données projet'!$B$62,AI102+AH103-AQ102)))</f>
        <v>277.22435897435946</v>
      </c>
      <c r="AJ103" s="13">
        <f>AI103*VLOOKUP('Données projet'!$B$10,Paramètres!$A$1:$I$89,3,0)*VLOOKUP('Données projet'!$B$10,Paramètres!$A$1:$I$89,5,0)</f>
        <v>250.83260000000041</v>
      </c>
      <c r="AK103" s="13">
        <f t="shared" si="89"/>
        <v>60.764195096344402</v>
      </c>
      <c r="AL103" s="20">
        <f t="shared" si="58"/>
        <v>542.69775145946721</v>
      </c>
      <c r="AM103" s="59">
        <f t="shared" si="59"/>
        <v>836.03108479280058</v>
      </c>
      <c r="AN103" s="59">
        <f ca="1">AVERAGE(OFFSET($AM$3,0,0,'Données projet'!$E$10+1,1))-AVERAGE(OFFSET($H$3,0,0,'Données projet'!$E$10+1,1))</f>
        <v>282.13645166362238</v>
      </c>
      <c r="AO103" s="59">
        <f t="shared" si="90"/>
        <v>210.5345332979457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48.180761640093969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48.180761640093969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254.6443970237226</v>
      </c>
      <c r="BJ103" s="59">
        <f t="shared" si="92"/>
        <v>231.81667808018062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116.19250972093349</v>
      </c>
      <c r="BQ103" s="21">
        <f>EXP(-LN(2)/25)*BQ102+(1-EXP(-LN(2)/25))/(LN(2)/25)*Calculateur!BL103*Calculateur!BN103*VLOOKUP('Données projet'!$B$11,Paramètres!$A$1:$I$89,3,0)*0.475*44/12</f>
        <v>24.127272595312576</v>
      </c>
      <c r="BR103" s="21">
        <f>EXP(-LN(2)/2)*BR102+(1-EXP(-LN(2)/2))/(LN(2)/2)*BL103*BO103*VLOOKUP('Données projet'!$B$11,Paramètres!$A$1:$I$89,3,0)*0.475*44/12</f>
        <v>1.2155871676136013E-3</v>
      </c>
      <c r="BS103" s="22">
        <f t="shared" si="63"/>
        <v>140.32099790341368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5.2583333333333373</v>
      </c>
      <c r="BY103" s="12">
        <f>IF('Données projet'!$A$114&gt;35,BY102+BX103-CG102,IF(A103&lt;'Données projet'!$A$114,$BV$205^A103,IF(A103='Données projet'!$A$114,'Données projet'!$B$114,BY102+BX103-CG102)))</f>
        <v>218.99423076923048</v>
      </c>
      <c r="BZ103" s="13">
        <f>BY103*VLOOKUP('Données projet'!$B$12,Paramètres!$A$1:$I$89,3,0)*VLOOKUP('Données projet'!$B$12,Paramètres!$A$1:$I$89,5,0)</f>
        <v>222.06014999999974</v>
      </c>
      <c r="CA103" s="13">
        <f t="shared" si="93"/>
        <v>54.562405957952684</v>
      </c>
      <c r="CB103" s="20">
        <f t="shared" si="64"/>
        <v>481.78428496010048</v>
      </c>
      <c r="CC103" s="59">
        <f t="shared" si="65"/>
        <v>775.11761829343379</v>
      </c>
      <c r="CD103" s="59">
        <f ca="1">AVERAGE(OFFSET($CC$3,0,0,'Données projet'!$E$12+1,1))-AVERAGE(OFFSET($H$3,0,0,'Données projet'!$E$12+1,1))</f>
        <v>264.08050363622294</v>
      </c>
      <c r="CE103" s="59">
        <f t="shared" si="94"/>
        <v>164.48884512322883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23.816964100858204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23.816964100858204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194.7221767407824</v>
      </c>
      <c r="CZ103" s="59">
        <f t="shared" si="96"/>
        <v>177.6550559568646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91.87314722120324</v>
      </c>
      <c r="DG103" s="21">
        <f>EXP(-LN(2)/25)*DG102+(1-EXP(-LN(2)/25))/(LN(2)/25)*Calculateur!DB103*Calculateur!DD103*VLOOKUP('Données projet'!$B$13,Paramètres!$A$1:$I$89,3,0)*0.475*44/12</f>
        <v>19.077378331177396</v>
      </c>
      <c r="DH103" s="21">
        <f>EXP(-LN(2)/2)*DH102+(1-EXP(-LN(2)/2))/(LN(2)/2)*DB103*DE103*VLOOKUP('Données projet'!$B$13,Paramètres!$A$1:$I$89,3,0)*0.475*44/12</f>
        <v>9.6116194648517494E-4</v>
      </c>
      <c r="DI103" s="22">
        <f t="shared" si="69"/>
        <v>110.95148671432713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7.5015384615384617</v>
      </c>
      <c r="DO103" s="12">
        <f>IF('Données projet'!$A$166&gt;35,DO102+DN103-DW102,IF(A103&lt;'Données projet'!$A$166,$DL$205^A103,IF(A103='Données projet'!$A$166,'Données projet'!$B$166,DO102+DN103-DW102)))</f>
        <v>272.20769230769258</v>
      </c>
      <c r="DP103" s="17">
        <f>DO103*VLOOKUP('Données projet'!$B$14,Paramètres!$A$1:$I$89,3,0)*VLOOKUP('Données projet'!$B$14,Paramètres!$A$1:$I$89,5,0)</f>
        <v>127.39320000000012</v>
      </c>
      <c r="DQ103" s="13">
        <f t="shared" si="97"/>
        <v>33.393296112922592</v>
      </c>
      <c r="DR103" s="20">
        <f t="shared" si="70"/>
        <v>280.03648073000704</v>
      </c>
      <c r="DS103" s="59">
        <f t="shared" si="71"/>
        <v>573.3698140633403</v>
      </c>
      <c r="DT103" s="59">
        <f ca="1">AVERAGE(OFFSET($DS$3,0,0,'Données projet'!$E$14+1,1))-AVERAGE(OFFSET($H$3,0,0,'Données projet'!$E$14+1,1))</f>
        <v>207.25176714718668</v>
      </c>
      <c r="DU103" s="59">
        <f t="shared" si="98"/>
        <v>191.53228014642559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111.7257580894434</v>
      </c>
      <c r="EB103" s="21">
        <f>EXP(-LN(2)/25)*EB102+(1-EXP(-LN(2)/25))/(LN(2)/25)*Calculateur!DW103*Calculateur!DY103*VLOOKUP('Données projet'!$B$14,Paramètres!$A$1:$I$89,3,0)*0.475*44/12</f>
        <v>30.12386721225651</v>
      </c>
      <c r="EC103" s="21">
        <f>EXP(-LN(2)/2)*EC102+(1-EXP(-LN(2)/2))/(LN(2)/2)*DW103*DZ103*VLOOKUP('Données projet'!$B$14,Paramètres!$A$1:$I$89,3,0)*0.475*44/12</f>
        <v>2.9623025631483393</v>
      </c>
      <c r="ED103" s="22">
        <f t="shared" si="72"/>
        <v>144.81192786484826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-2.8421709430404007E-13</v>
      </c>
      <c r="EK103" s="17">
        <f>EJ103*VLOOKUP('Données projet'!$B$15,Paramètres!$A$1:$I$89,3,0)*VLOOKUP('Données projet'!$B$15,Paramètres!$A$1:$I$89,5,0)</f>
        <v>-1.69961822393816E-13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200.15574321350221</v>
      </c>
      <c r="EP103" s="59">
        <f t="shared" si="100"/>
        <v>200.70728852570426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58.746154516301154</v>
      </c>
      <c r="EW103" s="21">
        <f>EXP(-LN(2)/25)*EW102+(1-EXP(-LN(2)/25))/(LN(2)/25)*Calculateur!ER103*Calculateur!ET103*VLOOKUP('Données projet'!$B$15,Paramètres!$A$1:$I$89,3,0)*0.475*44/12</f>
        <v>11.921154592075824</v>
      </c>
      <c r="EX103" s="21">
        <f>EXP(-LN(2)/2)*EX102+(1-EXP(-LN(2)/2))/(LN(2)/2)*ER103*EU103*VLOOKUP('Données projet'!$B$15,Paramètres!$A$1:$I$89,3,0)*0.475*44/12</f>
        <v>3.0482147684076571E-5</v>
      </c>
      <c r="EY103" s="22">
        <f t="shared" si="75"/>
        <v>70.667339590524662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6.9935897435897401</v>
      </c>
      <c r="FE103" s="12">
        <f>IF('Données projet'!$A$218&gt;35,FE102+FD103-FM102,IF(A103&lt;'Données projet'!$A$218,$FB$205^A103,IF(A103='Données projet'!$A$218,'Données projet'!$B$218,FE102+FD103-FM102)))</f>
        <v>277.22435897435946</v>
      </c>
      <c r="FF103" s="17">
        <f>FE103*VLOOKUP('Données projet'!$B$16,Paramètres!$A$1:$I$89,3,0)*VLOOKUP('Données projet'!$B$16,Paramètres!$A$1:$I$89,5,0)</f>
        <v>298.40430000000055</v>
      </c>
      <c r="FG103" s="13">
        <f t="shared" si="101"/>
        <v>70.841839702665226</v>
      </c>
      <c r="FH103" s="20">
        <f t="shared" si="76"/>
        <v>643.10369331547633</v>
      </c>
      <c r="FI103" s="59">
        <f t="shared" si="77"/>
        <v>936.43702664880971</v>
      </c>
      <c r="FJ103" s="59">
        <f ca="1">AVERAGE(OFFSET($FI$3,0,0,'Données projet'!$E$16+1,1))-AVERAGE(OFFSET($H$3,0,0,'Données projet'!$E$16+1,1))</f>
        <v>347.17049316703486</v>
      </c>
      <c r="FK103" s="59">
        <f t="shared" si="102"/>
        <v>255.45365487683489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57.318492295973861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57.318492295973861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7">
        <f t="shared" si="56"/>
        <v>399.87790731704769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266.02599413192075</v>
      </c>
      <c r="T104" s="59">
        <f t="shared" si="88"/>
        <v>332.94146254783254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6.9935897435897401</v>
      </c>
      <c r="AI104" s="13">
        <f>IF('Données projet'!$A$62&gt;35,AI103+AH104-AQ103,IF(A104&lt;'Données projet'!$A$62,$AF$205^A104,IF(A104='Données projet'!$A$62,'Données projet'!$B$62,AI103+AH104-AQ103)))</f>
        <v>284.21794871794918</v>
      </c>
      <c r="AJ104" s="13">
        <f>AI104*VLOOKUP('Données projet'!$B$10,Paramètres!$A$1:$I$89,3,0)*VLOOKUP('Données projet'!$B$10,Paramètres!$A$1:$I$89,5,0)</f>
        <v>257.16040000000038</v>
      </c>
      <c r="AK104" s="13">
        <f t="shared" si="89"/>
        <v>62.116703672873726</v>
      </c>
      <c r="AL104" s="20">
        <f t="shared" si="58"/>
        <v>556.07428889692233</v>
      </c>
      <c r="AM104" s="59">
        <f t="shared" si="59"/>
        <v>849.40762223025558</v>
      </c>
      <c r="AN104" s="59">
        <f ca="1">AVERAGE(OFFSET($AM$3,0,0,'Données projet'!$E$10+1,1))-AVERAGE(OFFSET($H$3,0,0,'Données projet'!$E$10+1,1))</f>
        <v>282.13645166362238</v>
      </c>
      <c r="AO104" s="59">
        <f t="shared" si="90"/>
        <v>210.5345332979457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47.235966291694567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47.235966291694567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254.6443970237226</v>
      </c>
      <c r="BJ104" s="59">
        <f t="shared" si="92"/>
        <v>231.81667808018062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113.91404547573903</v>
      </c>
      <c r="BQ104" s="21">
        <f>EXP(-LN(2)/25)*BQ103+(1-EXP(-LN(2)/25))/(LN(2)/25)*Calculateur!BL104*Calculateur!BN104*VLOOKUP('Données projet'!$B$11,Paramètres!$A$1:$I$89,3,0)*0.475*44/12</f>
        <v>23.46751105739563</v>
      </c>
      <c r="BR104" s="21">
        <f>EXP(-LN(2)/2)*BR103+(1-EXP(-LN(2)/2))/(LN(2)/2)*BL104*BO104*VLOOKUP('Données projet'!$B$11,Paramètres!$A$1:$I$89,3,0)*0.475*44/12</f>
        <v>8.5954992934292589E-4</v>
      </c>
      <c r="BS104" s="22">
        <f t="shared" si="63"/>
        <v>137.38241608306402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5.2583333333333373</v>
      </c>
      <c r="BY104" s="12">
        <f>IF('Données projet'!$A$114&gt;35,BY103+BX104-CG103,IF(A104&lt;'Données projet'!$A$114,$BV$205^A104,IF(A104='Données projet'!$A$114,'Données projet'!$B$114,BY103+BX104-CG103)))</f>
        <v>224.25256410256381</v>
      </c>
      <c r="BZ104" s="13">
        <f>BY104*VLOOKUP('Données projet'!$B$12,Paramètres!$A$1:$I$89,3,0)*VLOOKUP('Données projet'!$B$12,Paramètres!$A$1:$I$89,5,0)</f>
        <v>227.39209999999972</v>
      </c>
      <c r="CA104" s="13">
        <f t="shared" si="93"/>
        <v>55.718418881655332</v>
      </c>
      <c r="CB104" s="20">
        <f t="shared" si="64"/>
        <v>493.08415371888253</v>
      </c>
      <c r="CC104" s="59">
        <f t="shared" si="65"/>
        <v>786.41748705221585</v>
      </c>
      <c r="CD104" s="59">
        <f ca="1">AVERAGE(OFFSET($CC$3,0,0,'Données projet'!$E$12+1,1))-AVERAGE(OFFSET($H$3,0,0,'Données projet'!$E$12+1,1))</f>
        <v>264.08050363622294</v>
      </c>
      <c r="CE104" s="59">
        <f t="shared" si="94"/>
        <v>164.48884512322883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23.349927961754062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23.349927961754062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194.7221767407824</v>
      </c>
      <c r="CZ104" s="59">
        <f t="shared" si="96"/>
        <v>177.6550559568646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90.071570841282053</v>
      </c>
      <c r="DG104" s="21">
        <f>EXP(-LN(2)/25)*DG103+(1-EXP(-LN(2)/25))/(LN(2)/25)*Calculateur!DB104*Calculateur!DD104*VLOOKUP('Données projet'!$B$13,Paramètres!$A$1:$I$89,3,0)*0.475*44/12</f>
        <v>18.555706417475626</v>
      </c>
      <c r="DH104" s="21">
        <f>EXP(-LN(2)/2)*DH103+(1-EXP(-LN(2)/2))/(LN(2)/2)*DB104*DE104*VLOOKUP('Données projet'!$B$13,Paramètres!$A$1:$I$89,3,0)*0.475*44/12</f>
        <v>6.7964413017812877E-4</v>
      </c>
      <c r="DI104" s="22">
        <f t="shared" si="69"/>
        <v>108.62795690288786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7.5015384615384617</v>
      </c>
      <c r="DO104" s="12">
        <f>IF('Données projet'!$A$166&gt;35,DO103+DN104-DW103,IF(A104&lt;'Données projet'!$A$166,$DL$205^A104,IF(A104='Données projet'!$A$166,'Données projet'!$B$166,DO103+DN104-DW103)))</f>
        <v>279.70923076923106</v>
      </c>
      <c r="DP104" s="17">
        <f>DO104*VLOOKUP('Données projet'!$B$14,Paramètres!$A$1:$I$89,3,0)*VLOOKUP('Données projet'!$B$14,Paramètres!$A$1:$I$89,5,0)</f>
        <v>130.90392000000014</v>
      </c>
      <c r="DQ104" s="13">
        <f t="shared" si="97"/>
        <v>34.205144397668505</v>
      </c>
      <c r="DR104" s="20">
        <f t="shared" si="70"/>
        <v>287.56495382593954</v>
      </c>
      <c r="DS104" s="59">
        <f t="shared" si="71"/>
        <v>580.89828715927285</v>
      </c>
      <c r="DT104" s="59">
        <f ca="1">AVERAGE(OFFSET($DS$3,0,0,'Données projet'!$E$14+1,1))-AVERAGE(OFFSET($H$3,0,0,'Données projet'!$E$14+1,1))</f>
        <v>207.25176714718668</v>
      </c>
      <c r="DU104" s="59">
        <f t="shared" si="98"/>
        <v>191.53228014642559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109.534884119293</v>
      </c>
      <c r="EB104" s="21">
        <f>EXP(-LN(2)/25)*EB103+(1-EXP(-LN(2)/25))/(LN(2)/25)*Calculateur!DW104*Calculateur!DY104*VLOOKUP('Données projet'!$B$14,Paramètres!$A$1:$I$89,3,0)*0.475*44/12</f>
        <v>29.300128479192029</v>
      </c>
      <c r="EC104" s="21">
        <f>EXP(-LN(2)/2)*EC103+(1-EXP(-LN(2)/2))/(LN(2)/2)*DW104*DZ104*VLOOKUP('Données projet'!$B$14,Paramètres!$A$1:$I$89,3,0)*0.475*44/12</f>
        <v>2.0946642303284819</v>
      </c>
      <c r="ED104" s="22">
        <f t="shared" si="72"/>
        <v>140.92967682881351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-2.8421709430404007E-13</v>
      </c>
      <c r="EK104" s="17">
        <f>EJ104*VLOOKUP('Données projet'!$B$15,Paramètres!$A$1:$I$89,3,0)*VLOOKUP('Données projet'!$B$15,Paramètres!$A$1:$I$89,5,0)</f>
        <v>-1.69961822393816E-13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200.15574321350221</v>
      </c>
      <c r="EP104" s="59">
        <f t="shared" si="100"/>
        <v>200.70728852570426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57.594178257852661</v>
      </c>
      <c r="EW104" s="21">
        <f>EXP(-LN(2)/25)*EW103+(1-EXP(-LN(2)/25))/(LN(2)/25)*Calculateur!ER104*Calculateur!ET104*VLOOKUP('Données projet'!$B$15,Paramètres!$A$1:$I$89,3,0)*0.475*44/12</f>
        <v>11.595169992849238</v>
      </c>
      <c r="EX104" s="21">
        <f>EXP(-LN(2)/2)*EX103+(1-EXP(-LN(2)/2))/(LN(2)/2)*ER104*EU104*VLOOKUP('Données projet'!$B$15,Paramètres!$A$1:$I$89,3,0)*0.475*44/12</f>
        <v>2.1554133332540359E-5</v>
      </c>
      <c r="EY104" s="22">
        <f t="shared" si="75"/>
        <v>69.189369804835223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6.9935897435897401</v>
      </c>
      <c r="FE104" s="12">
        <f>IF('Données projet'!$A$218&gt;35,FE103+FD104-FM103,IF(A104&lt;'Données projet'!$A$218,$FB$205^A104,IF(A104='Données projet'!$A$218,'Données projet'!$B$218,FE103+FD104-FM103)))</f>
        <v>284.21794871794918</v>
      </c>
      <c r="FF104" s="17">
        <f>FE104*VLOOKUP('Données projet'!$B$16,Paramètres!$A$1:$I$89,3,0)*VLOOKUP('Données projet'!$B$16,Paramètres!$A$1:$I$89,5,0)</f>
        <v>305.93220000000048</v>
      </c>
      <c r="FG104" s="13">
        <f t="shared" si="101"/>
        <v>72.418659664207595</v>
      </c>
      <c r="FH104" s="20">
        <f t="shared" si="76"/>
        <v>658.96108058182915</v>
      </c>
      <c r="FI104" s="59">
        <f t="shared" si="77"/>
        <v>952.29441391516252</v>
      </c>
      <c r="FJ104" s="59">
        <f ca="1">AVERAGE(OFFSET($FI$3,0,0,'Données projet'!$E$16+1,1))-AVERAGE(OFFSET($H$3,0,0,'Données projet'!$E$16+1,1))</f>
        <v>347.17049316703486</v>
      </c>
      <c r="FK104" s="59">
        <f t="shared" si="102"/>
        <v>255.45365487683489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56.194511622878018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56.194511622878018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7">
        <f t="shared" si="56"/>
        <v>400.90477009662845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266.02599413192075</v>
      </c>
      <c r="T105" s="59">
        <f t="shared" si="88"/>
        <v>332.94146254783254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6.9935897435897401</v>
      </c>
      <c r="AI105" s="13">
        <f>IF('Données projet'!$A$62&gt;35,AI104+AH105-AQ104,IF(A105&lt;'Données projet'!$A$62,$AF$205^A105,IF(A105='Données projet'!$A$62,'Données projet'!$B$62,AI104+AH105-AQ104)))</f>
        <v>291.21153846153891</v>
      </c>
      <c r="AJ105" s="13">
        <f>AI105*VLOOKUP('Données projet'!$B$10,Paramètres!$A$1:$I$89,3,0)*VLOOKUP('Données projet'!$B$10,Paramètres!$A$1:$I$89,5,0)</f>
        <v>263.4882000000004</v>
      </c>
      <c r="AK105" s="13">
        <f t="shared" si="89"/>
        <v>63.465343539396919</v>
      </c>
      <c r="AL105" s="20">
        <f t="shared" si="58"/>
        <v>569.44408833111697</v>
      </c>
      <c r="AM105" s="59">
        <f t="shared" si="59"/>
        <v>862.77742166445023</v>
      </c>
      <c r="AN105" s="59">
        <f ca="1">AVERAGE(OFFSET($AM$3,0,0,'Données projet'!$E$10+1,1))-AVERAGE(OFFSET($H$3,0,0,'Données projet'!$E$10+1,1))</f>
        <v>282.13645166362238</v>
      </c>
      <c r="AO105" s="59">
        <f t="shared" si="90"/>
        <v>210.5345332979457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46.309697803809016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46.309697803809016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254.6443970237226</v>
      </c>
      <c r="BJ105" s="59">
        <f t="shared" si="92"/>
        <v>231.81667808018062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111.68026052466688</v>
      </c>
      <c r="BQ105" s="21">
        <f>EXP(-LN(2)/25)*BQ104+(1-EXP(-LN(2)/25))/(LN(2)/25)*Calculateur!BL105*Calculateur!BN105*VLOOKUP('Données projet'!$B$11,Paramètres!$A$1:$I$89,3,0)*0.475*44/12</f>
        <v>22.825790733428374</v>
      </c>
      <c r="BR105" s="21">
        <f>EXP(-LN(2)/2)*BR104+(1-EXP(-LN(2)/2))/(LN(2)/2)*BL105*BO105*VLOOKUP('Données projet'!$B$11,Paramètres!$A$1:$I$89,3,0)*0.475*44/12</f>
        <v>6.0779358380680067E-4</v>
      </c>
      <c r="BS105" s="22">
        <f t="shared" si="63"/>
        <v>134.50665905167907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5.2583333333333373</v>
      </c>
      <c r="BY105" s="12">
        <f>IF('Données projet'!$A$114&gt;35,BY104+BX105-CG104,IF(A105&lt;'Données projet'!$A$114,$BV$205^A105,IF(A105='Données projet'!$A$114,'Données projet'!$B$114,BY104+BX105-CG104)))</f>
        <v>229.51089743589714</v>
      </c>
      <c r="BZ105" s="13">
        <f>BY105*VLOOKUP('Données projet'!$B$12,Paramètres!$A$1:$I$89,3,0)*VLOOKUP('Données projet'!$B$12,Paramètres!$A$1:$I$89,5,0)</f>
        <v>232.72404999999969</v>
      </c>
      <c r="CA105" s="13">
        <f t="shared" si="93"/>
        <v>56.871280605943788</v>
      </c>
      <c r="CB105" s="20">
        <f t="shared" si="64"/>
        <v>504.37853413868493</v>
      </c>
      <c r="CC105" s="59">
        <f t="shared" si="65"/>
        <v>797.71186747201818</v>
      </c>
      <c r="CD105" s="59">
        <f ca="1">AVERAGE(OFFSET($CC$3,0,0,'Données projet'!$E$12+1,1))-AVERAGE(OFFSET($H$3,0,0,'Données projet'!$E$12+1,1))</f>
        <v>264.08050363622294</v>
      </c>
      <c r="CE105" s="59">
        <f t="shared" si="94"/>
        <v>164.48884512322883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22.892050116473836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22.892050116473836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194.7221767407824</v>
      </c>
      <c r="CZ105" s="59">
        <f t="shared" si="96"/>
        <v>177.6550559568646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88.305322275318019</v>
      </c>
      <c r="DG105" s="21">
        <f>EXP(-LN(2)/25)*DG104+(1-EXP(-LN(2)/25))/(LN(2)/25)*Calculateur!DB105*Calculateur!DD105*VLOOKUP('Données projet'!$B$13,Paramètres!$A$1:$I$89,3,0)*0.475*44/12</f>
        <v>18.048299649687564</v>
      </c>
      <c r="DH105" s="21">
        <f>EXP(-LN(2)/2)*DH104+(1-EXP(-LN(2)/2))/(LN(2)/2)*DB105*DE105*VLOOKUP('Données projet'!$B$13,Paramètres!$A$1:$I$89,3,0)*0.475*44/12</f>
        <v>4.8058097324258758E-4</v>
      </c>
      <c r="DI105" s="22">
        <f t="shared" si="69"/>
        <v>106.35410250597883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7.5015384615384617</v>
      </c>
      <c r="DO105" s="12">
        <f>IF('Données projet'!$A$166&gt;35,DO104+DN105-DW104,IF(A105&lt;'Données projet'!$A$166,$DL$205^A105,IF(A105='Données projet'!$A$166,'Données projet'!$B$166,DO104+DN105-DW104)))</f>
        <v>287.21076923076953</v>
      </c>
      <c r="DP105" s="17">
        <f>DO105*VLOOKUP('Données projet'!$B$14,Paramètres!$A$1:$I$89,3,0)*VLOOKUP('Données projet'!$B$14,Paramètres!$A$1:$I$89,5,0)</f>
        <v>134.41464000000013</v>
      </c>
      <c r="DQ105" s="13">
        <f t="shared" si="97"/>
        <v>35.014461935490388</v>
      </c>
      <c r="DR105" s="20">
        <f t="shared" si="70"/>
        <v>295.08901920431265</v>
      </c>
      <c r="DS105" s="59">
        <f t="shared" si="71"/>
        <v>588.42235253764602</v>
      </c>
      <c r="DT105" s="59">
        <f ca="1">AVERAGE(OFFSET($DS$3,0,0,'Données projet'!$E$14+1,1))-AVERAGE(OFFSET($H$3,0,0,'Données projet'!$E$14+1,1))</f>
        <v>207.25176714718668</v>
      </c>
      <c r="DU105" s="59">
        <f t="shared" si="98"/>
        <v>191.53228014642559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107.38697185139607</v>
      </c>
      <c r="EB105" s="21">
        <f>EXP(-LN(2)/25)*EB104+(1-EXP(-LN(2)/25))/(LN(2)/25)*Calculateur!DW105*Calculateur!DY105*VLOOKUP('Données projet'!$B$14,Paramètres!$A$1:$I$89,3,0)*0.475*44/12</f>
        <v>28.498914925101733</v>
      </c>
      <c r="EC105" s="21">
        <f>EXP(-LN(2)/2)*EC104+(1-EXP(-LN(2)/2))/(LN(2)/2)*DW105*DZ105*VLOOKUP('Données projet'!$B$14,Paramètres!$A$1:$I$89,3,0)*0.475*44/12</f>
        <v>1.4811512815741699</v>
      </c>
      <c r="ED105" s="22">
        <f t="shared" si="72"/>
        <v>137.36703805807198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-2.8421709430404007E-13</v>
      </c>
      <c r="EK105" s="17">
        <f>EJ105*VLOOKUP('Données projet'!$B$15,Paramètres!$A$1:$I$89,3,0)*VLOOKUP('Données projet'!$B$15,Paramètres!$A$1:$I$89,5,0)</f>
        <v>-1.69961822393816E-13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200.15574321350221</v>
      </c>
      <c r="EP105" s="59">
        <f t="shared" si="100"/>
        <v>200.70728852570426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56.464791551196207</v>
      </c>
      <c r="EW105" s="21">
        <f>EXP(-LN(2)/25)*EW104+(1-EXP(-LN(2)/25))/(LN(2)/25)*Calculateur!ER105*Calculateur!ET105*VLOOKUP('Données projet'!$B$15,Paramètres!$A$1:$I$89,3,0)*0.475*44/12</f>
        <v>11.278099459631287</v>
      </c>
      <c r="EX105" s="21">
        <f>EXP(-LN(2)/2)*EX104+(1-EXP(-LN(2)/2))/(LN(2)/2)*ER105*EU105*VLOOKUP('Données projet'!$B$15,Paramètres!$A$1:$I$89,3,0)*0.475*44/12</f>
        <v>1.5241073842038287E-5</v>
      </c>
      <c r="EY105" s="22">
        <f t="shared" si="75"/>
        <v>67.742906251901331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6.9935897435897401</v>
      </c>
      <c r="FE105" s="12">
        <f>IF('Données projet'!$A$218&gt;35,FE104+FD105-FM104,IF(A105&lt;'Données projet'!$A$218,$FB$205^A105,IF(A105='Données projet'!$A$218,'Données projet'!$B$218,FE104+FD105-FM104)))</f>
        <v>291.21153846153891</v>
      </c>
      <c r="FF105" s="17">
        <f>FE105*VLOOKUP('Données projet'!$B$16,Paramètres!$A$1:$I$89,3,0)*VLOOKUP('Données projet'!$B$16,Paramètres!$A$1:$I$89,5,0)</f>
        <v>313.46010000000047</v>
      </c>
      <c r="FG105" s="13">
        <f t="shared" si="101"/>
        <v>73.990969296374573</v>
      </c>
      <c r="FH105" s="20">
        <f t="shared" si="76"/>
        <v>674.81061235785319</v>
      </c>
      <c r="FI105" s="59">
        <f t="shared" si="77"/>
        <v>968.14394569118645</v>
      </c>
      <c r="FJ105" s="59">
        <f ca="1">AVERAGE(OFFSET($FI$3,0,0,'Données projet'!$E$16+1,1))-AVERAGE(OFFSET($H$3,0,0,'Données projet'!$E$16+1,1))</f>
        <v>347.17049316703486</v>
      </c>
      <c r="FK105" s="59">
        <f t="shared" si="102"/>
        <v>255.45365487683489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55.092571525221068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55.092571525221068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7">
        <f t="shared" si="56"/>
        <v>401.93139135125097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266.02599413192075</v>
      </c>
      <c r="T106" s="59">
        <f t="shared" si="88"/>
        <v>332.94146254783254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6.9935897435897401</v>
      </c>
      <c r="AI106" s="13">
        <f>IF('Données projet'!$A$62&gt;35,AI105+AH106-AQ105,IF(A106&lt;'Données projet'!$A$62,$AF$205^A106,IF(A106='Données projet'!$A$62,'Données projet'!$B$62,AI105+AH106-AQ105)))</f>
        <v>298.20512820512863</v>
      </c>
      <c r="AJ106" s="13">
        <f>AI106*VLOOKUP('Données projet'!$B$10,Paramètres!$A$1:$I$89,3,0)*VLOOKUP('Données projet'!$B$10,Paramètres!$A$1:$I$89,5,0)</f>
        <v>269.81600000000037</v>
      </c>
      <c r="AK106" s="13">
        <f t="shared" si="89"/>
        <v>64.810218294809729</v>
      </c>
      <c r="AL106" s="20">
        <f t="shared" si="58"/>
        <v>582.80733019679417</v>
      </c>
      <c r="AM106" s="59">
        <f t="shared" si="59"/>
        <v>876.14066353012754</v>
      </c>
      <c r="AN106" s="59">
        <f ca="1">AVERAGE(OFFSET($AM$3,0,0,'Données projet'!$E$10+1,1))-AVERAGE(OFFSET($H$3,0,0,'Données projet'!$E$10+1,1))</f>
        <v>282.13645166362238</v>
      </c>
      <c r="AO106" s="59">
        <f t="shared" si="90"/>
        <v>210.5345332979457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45.401592876002908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45.401592876002908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254.6443970237226</v>
      </c>
      <c r="BJ106" s="59">
        <f t="shared" si="92"/>
        <v>231.81667808018062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109.49027873401096</v>
      </c>
      <c r="BQ106" s="21">
        <f>EXP(-LN(2)/25)*BQ105+(1-EXP(-LN(2)/25))/(LN(2)/25)*Calculateur!BL106*Calculateur!BN106*VLOOKUP('Données projet'!$B$11,Paramètres!$A$1:$I$89,3,0)*0.475*44/12</f>
        <v>22.201618285466608</v>
      </c>
      <c r="BR106" s="21">
        <f>EXP(-LN(2)/2)*BR105+(1-EXP(-LN(2)/2))/(LN(2)/2)*BL106*BO106*VLOOKUP('Données projet'!$B$11,Paramètres!$A$1:$I$89,3,0)*0.475*44/12</f>
        <v>4.2977496467146295E-4</v>
      </c>
      <c r="BS106" s="22">
        <f t="shared" si="63"/>
        <v>131.69232679444221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234.76923076923077</v>
      </c>
      <c r="BW106" s="12">
        <f>VLOOKUP(A106,'Données projet'!$A$113:$I$133,9,0)</f>
        <v>5.2583333333333373</v>
      </c>
      <c r="BX106" s="12">
        <f t="array" ref="BX106">INDEX(BW:BW,MIN(IF(ISNUMBER(BW106:BW302),ROW(BW106:BW302),"")))</f>
        <v>5.2583333333333373</v>
      </c>
      <c r="BY106" s="12">
        <f>IF('Données projet'!$A$114&gt;35,BY105+BX106-CG105,IF(A106&lt;'Données projet'!$A$114,$BV$205^A106,IF(A106='Données projet'!$A$114,'Données projet'!$B$114,BY105+BX106-CG105)))</f>
        <v>234.76923076923046</v>
      </c>
      <c r="BZ106" s="13">
        <f>BY106*VLOOKUP('Données projet'!$B$12,Paramètres!$A$1:$I$89,3,0)*VLOOKUP('Données projet'!$B$12,Paramètres!$A$1:$I$89,5,0)</f>
        <v>238.0559999999997</v>
      </c>
      <c r="CA106" s="13">
        <f t="shared" si="93"/>
        <v>58.021071638689058</v>
      </c>
      <c r="CB106" s="20">
        <f t="shared" si="64"/>
        <v>515.6675664373829</v>
      </c>
      <c r="CC106" s="59">
        <f t="shared" si="65"/>
        <v>809.00089977071616</v>
      </c>
      <c r="CD106" s="59">
        <f ca="1">AVERAGE(OFFSET($CC$3,0,0,'Données projet'!$E$12+1,1))-AVERAGE(OFFSET($H$3,0,0,'Données projet'!$E$12+1,1))</f>
        <v>264.08050363622294</v>
      </c>
      <c r="CE106" s="59">
        <f t="shared" si="94"/>
        <v>164.48884512322883</v>
      </c>
      <c r="CF106" s="15">
        <f>IF(ISNA(VLOOKUP(A106,'Données projet'!$A$113:$I$133,3,0)),0,VLOOKUP(A106,'Données projet'!$A$113:$I$133,3,0))</f>
        <v>8</v>
      </c>
      <c r="CG106" s="15">
        <f>IF(ISNA(VLOOKUP(A106,'Données projet'!$A$113:$I$133,4,0)),0,VLOOKUP(A106,'Données projet'!$A$113:$I$133,4,0))</f>
        <v>39.512820512820511</v>
      </c>
      <c r="CH106" s="16">
        <f>IF(ISNA(VLOOKUP(A106,'Données projet'!$A$113:$I$133,5,0)),0%,VLOOKUP(A106,'Données projet'!$A$113:$I$133,5,0)*VLOOKUP('Données projet'!$B$12,Paramètres!$A$1:$I$89,7,0))</f>
        <v>0.30099999999999999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35.774975620598163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35.774975620598163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194.7221767407824</v>
      </c>
      <c r="CZ106" s="59">
        <f t="shared" si="96"/>
        <v>177.6550559568646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86.573708766427302</v>
      </c>
      <c r="DG106" s="21">
        <f>EXP(-LN(2)/25)*DG105+(1-EXP(-LN(2)/25))/(LN(2)/25)*Calculateur!DB106*Calculateur!DD106*VLOOKUP('Données projet'!$B$13,Paramètres!$A$1:$I$89,3,0)*0.475*44/12</f>
        <v>17.554767946648028</v>
      </c>
      <c r="DH106" s="21">
        <f>EXP(-LN(2)/2)*DH105+(1-EXP(-LN(2)/2))/(LN(2)/2)*DB106*DE106*VLOOKUP('Données projet'!$B$13,Paramètres!$A$1:$I$89,3,0)*0.475*44/12</f>
        <v>3.3982206508906444E-4</v>
      </c>
      <c r="DI106" s="22">
        <f t="shared" si="69"/>
        <v>104.12881653514042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7.5015384615384617</v>
      </c>
      <c r="DO106" s="12">
        <f>IF('Données projet'!$A$166&gt;35,DO105+DN106-DW105,IF(A106&lt;'Données projet'!$A$166,$DL$205^A106,IF(A106='Données projet'!$A$166,'Données projet'!$B$166,DO105+DN106-DW105)))</f>
        <v>294.712307692308</v>
      </c>
      <c r="DP106" s="17">
        <f>DO106*VLOOKUP('Données projet'!$B$14,Paramètres!$A$1:$I$89,3,0)*VLOOKUP('Données projet'!$B$14,Paramètres!$A$1:$I$89,5,0)</f>
        <v>137.92536000000015</v>
      </c>
      <c r="DQ106" s="13">
        <f t="shared" si="97"/>
        <v>35.82132242479814</v>
      </c>
      <c r="DR106" s="20">
        <f t="shared" si="70"/>
        <v>302.6088052231903</v>
      </c>
      <c r="DS106" s="59">
        <f t="shared" si="71"/>
        <v>595.94213855652356</v>
      </c>
      <c r="DT106" s="59">
        <f ca="1">AVERAGE(OFFSET($DS$3,0,0,'Données projet'!$E$14+1,1))-AVERAGE(OFFSET($H$3,0,0,'Données projet'!$E$14+1,1))</f>
        <v>207.25176714718668</v>
      </c>
      <c r="DU106" s="59">
        <f t="shared" si="98"/>
        <v>191.53228014642559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105.28117883297547</v>
      </c>
      <c r="EB106" s="21">
        <f>EXP(-LN(2)/25)*EB105+(1-EXP(-LN(2)/25))/(LN(2)/25)*Calculateur!DW106*Calculateur!DY106*VLOOKUP('Données projet'!$B$14,Paramètres!$A$1:$I$89,3,0)*0.475*44/12</f>
        <v>27.719610597782026</v>
      </c>
      <c r="EC106" s="21">
        <f>EXP(-LN(2)/2)*EC105+(1-EXP(-LN(2)/2))/(LN(2)/2)*DW106*DZ106*VLOOKUP('Données projet'!$B$14,Paramètres!$A$1:$I$89,3,0)*0.475*44/12</f>
        <v>1.047332115164241</v>
      </c>
      <c r="ED106" s="22">
        <f t="shared" si="72"/>
        <v>134.04812154592173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-2.8421709430404007E-13</v>
      </c>
      <c r="EK106" s="17">
        <f>EJ106*VLOOKUP('Données projet'!$B$15,Paramètres!$A$1:$I$89,3,0)*VLOOKUP('Données projet'!$B$15,Paramètres!$A$1:$I$89,5,0)</f>
        <v>-1.69961822393816E-13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200.15574321350221</v>
      </c>
      <c r="EP106" s="59">
        <f t="shared" si="100"/>
        <v>200.70728852570426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55.357551428999415</v>
      </c>
      <c r="EW106" s="21">
        <f>EXP(-LN(2)/25)*EW105+(1-EXP(-LN(2)/25))/(LN(2)/25)*Calculateur!ER106*Calculateur!ET106*VLOOKUP('Données projet'!$B$15,Paramètres!$A$1:$I$89,3,0)*0.475*44/12</f>
        <v>10.969699236818196</v>
      </c>
      <c r="EX106" s="21">
        <f>EXP(-LN(2)/2)*EX105+(1-EXP(-LN(2)/2))/(LN(2)/2)*ER106*EU106*VLOOKUP('Données projet'!$B$15,Paramètres!$A$1:$I$89,3,0)*0.475*44/12</f>
        <v>1.0777066666270181E-5</v>
      </c>
      <c r="EY106" s="22">
        <f t="shared" si="75"/>
        <v>66.327261442884279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6.9935897435897401</v>
      </c>
      <c r="FE106" s="12">
        <f>IF('Données projet'!$A$218&gt;35,FE105+FD106-FM105,IF(A106&lt;'Données projet'!$A$218,$FB$205^A106,IF(A106='Données projet'!$A$218,'Données projet'!$B$218,FE105+FD106-FM105)))</f>
        <v>298.20512820512863</v>
      </c>
      <c r="FF106" s="17">
        <f>FE106*VLOOKUP('Données projet'!$B$16,Paramètres!$A$1:$I$89,3,0)*VLOOKUP('Données projet'!$B$16,Paramètres!$A$1:$I$89,5,0)</f>
        <v>320.98800000000045</v>
      </c>
      <c r="FG106" s="13">
        <f t="shared" si="101"/>
        <v>75.558889379773333</v>
      </c>
      <c r="FH106" s="20">
        <f t="shared" si="76"/>
        <v>690.65249900310607</v>
      </c>
      <c r="FI106" s="59">
        <f t="shared" si="77"/>
        <v>983.98583233643944</v>
      </c>
      <c r="FJ106" s="59">
        <f ca="1">AVERAGE(OFFSET($FI$3,0,0,'Données projet'!$E$16+1,1))-AVERAGE(OFFSET($H$3,0,0,'Données projet'!$E$16+1,1))</f>
        <v>347.17049316703486</v>
      </c>
      <c r="FK106" s="59">
        <f t="shared" si="102"/>
        <v>255.45365487683489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54.012239800762075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54.012239800762075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7">
        <f t="shared" si="56"/>
        <v>402.95777369736822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266.02599413192075</v>
      </c>
      <c r="T107" s="59">
        <f t="shared" si="88"/>
        <v>332.94146254783254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6.9935897435897401</v>
      </c>
      <c r="AI107" s="13">
        <f>IF('Données projet'!$A$62&gt;35,AI106+AH107-AQ106,IF(A107&lt;'Données projet'!$A$62,$AF$205^A107,IF(A107='Données projet'!$A$62,'Données projet'!$B$62,AI106+AH107-AQ106)))</f>
        <v>305.19871794871835</v>
      </c>
      <c r="AJ107" s="13">
        <f>AI107*VLOOKUP('Données projet'!$B$10,Paramètres!$A$1:$I$89,3,0)*VLOOKUP('Données projet'!$B$10,Paramètres!$A$1:$I$89,5,0)</f>
        <v>276.14380000000034</v>
      </c>
      <c r="AK107" s="13">
        <f t="shared" si="89"/>
        <v>66.151426401533939</v>
      </c>
      <c r="AL107" s="20">
        <f t="shared" si="58"/>
        <v>596.16418598267205</v>
      </c>
      <c r="AM107" s="59">
        <f t="shared" si="59"/>
        <v>889.49751931600531</v>
      </c>
      <c r="AN107" s="59">
        <f ca="1">AVERAGE(OFFSET($AM$3,0,0,'Données projet'!$E$10+1,1))-AVERAGE(OFFSET($H$3,0,0,'Données projet'!$E$10+1,1))</f>
        <v>282.13645166362238</v>
      </c>
      <c r="AO107" s="59">
        <f t="shared" si="90"/>
        <v>210.5345332979457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44.511295331941767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44.511295331941767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254.6443970237226</v>
      </c>
      <c r="BJ107" s="59">
        <f t="shared" si="92"/>
        <v>231.81667808018062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107.34324115051281</v>
      </c>
      <c r="BQ107" s="21">
        <f>EXP(-LN(2)/25)*BQ106+(1-EXP(-LN(2)/25))/(LN(2)/25)*Calculateur!BL107*Calculateur!BN107*VLOOKUP('Données projet'!$B$11,Paramètres!$A$1:$I$89,3,0)*0.475*44/12</f>
        <v>21.594513865918159</v>
      </c>
      <c r="BR107" s="21">
        <f>EXP(-LN(2)/2)*BR106+(1-EXP(-LN(2)/2))/(LN(2)/2)*BL107*BO107*VLOOKUP('Données projet'!$B$11,Paramètres!$A$1:$I$89,3,0)*0.475*44/12</f>
        <v>3.0389679190340034E-4</v>
      </c>
      <c r="BS107" s="22">
        <f t="shared" si="63"/>
        <v>128.93805891322287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5.0961538461538449</v>
      </c>
      <c r="BY107" s="12">
        <f>IF('Données projet'!$A$114&gt;35,BY106+BX107-CG106,IF(A107&lt;'Données projet'!$A$114,$BV$205^A107,IF(A107='Données projet'!$A$114,'Données projet'!$B$114,BY106+BX107-CG106)))</f>
        <v>200.3525641025638</v>
      </c>
      <c r="BZ107" s="13">
        <f>BY107*VLOOKUP('Données projet'!$B$12,Paramètres!$A$1:$I$89,3,0)*VLOOKUP('Données projet'!$B$12,Paramètres!$A$1:$I$89,5,0)</f>
        <v>203.15749999999971</v>
      </c>
      <c r="CA107" s="13">
        <f t="shared" si="93"/>
        <v>50.437456773365234</v>
      </c>
      <c r="CB107" s="20">
        <f t="shared" si="64"/>
        <v>441.67788304694392</v>
      </c>
      <c r="CC107" s="59">
        <f t="shared" si="65"/>
        <v>735.01121638027723</v>
      </c>
      <c r="CD107" s="59">
        <f ca="1">AVERAGE(OFFSET($CC$3,0,0,'Données projet'!$E$12+1,1))-AVERAGE(OFFSET($H$3,0,0,'Données projet'!$E$12+1,1))</f>
        <v>264.08050363622294</v>
      </c>
      <c r="CE107" s="59">
        <f t="shared" si="94"/>
        <v>164.48884512322883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35.073450169258756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35.073450169258756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194.7221767407824</v>
      </c>
      <c r="CZ107" s="59">
        <f t="shared" si="96"/>
        <v>177.6550559568646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84.876051142265979</v>
      </c>
      <c r="DG107" s="21">
        <f>EXP(-LN(2)/25)*DG106+(1-EXP(-LN(2)/25))/(LN(2)/25)*Calculateur!DB107*Calculateur!DD107*VLOOKUP('Données projet'!$B$13,Paramètres!$A$1:$I$89,3,0)*0.475*44/12</f>
        <v>17.074731893981813</v>
      </c>
      <c r="DH107" s="21">
        <f>EXP(-LN(2)/2)*DH106+(1-EXP(-LN(2)/2))/(LN(2)/2)*DB107*DE107*VLOOKUP('Données projet'!$B$13,Paramètres!$A$1:$I$89,3,0)*0.475*44/12</f>
        <v>2.4029048662129382E-4</v>
      </c>
      <c r="DI107" s="22">
        <f t="shared" si="69"/>
        <v>101.95102332673441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7.5015384615384617</v>
      </c>
      <c r="DO107" s="12">
        <f>IF('Données projet'!$A$166&gt;35,DO106+DN107-DW106,IF(A107&lt;'Données projet'!$A$166,$DL$205^A107,IF(A107='Données projet'!$A$166,'Données projet'!$B$166,DO106+DN107-DW106)))</f>
        <v>302.21384615384648</v>
      </c>
      <c r="DP107" s="17">
        <f>DO107*VLOOKUP('Données projet'!$B$14,Paramètres!$A$1:$I$89,3,0)*VLOOKUP('Données projet'!$B$14,Paramètres!$A$1:$I$89,5,0)</f>
        <v>141.43608000000015</v>
      </c>
      <c r="DQ107" s="13">
        <f t="shared" si="97"/>
        <v>36.625795598426585</v>
      </c>
      <c r="DR107" s="20">
        <f t="shared" si="70"/>
        <v>310.12443333392656</v>
      </c>
      <c r="DS107" s="59">
        <f t="shared" si="71"/>
        <v>603.45776666725988</v>
      </c>
      <c r="DT107" s="59">
        <f ca="1">AVERAGE(OFFSET($DS$3,0,0,'Données projet'!$E$14+1,1))-AVERAGE(OFFSET($H$3,0,0,'Données projet'!$E$14+1,1))</f>
        <v>207.25176714718668</v>
      </c>
      <c r="DU107" s="59">
        <f t="shared" si="98"/>
        <v>191.53228014642559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103.21667913123919</v>
      </c>
      <c r="EB107" s="21">
        <f>EXP(-LN(2)/25)*EB106+(1-EXP(-LN(2)/25))/(LN(2)/25)*Calculateur!DW107*Calculateur!DY107*VLOOKUP('Données projet'!$B$14,Paramètres!$A$1:$I$89,3,0)*0.475*44/12</f>
        <v>26.96161638827471</v>
      </c>
      <c r="EC107" s="21">
        <f>EXP(-LN(2)/2)*EC106+(1-EXP(-LN(2)/2))/(LN(2)/2)*DW107*DZ107*VLOOKUP('Données projet'!$B$14,Paramètres!$A$1:$I$89,3,0)*0.475*44/12</f>
        <v>0.74057564078708493</v>
      </c>
      <c r="ED107" s="22">
        <f t="shared" si="72"/>
        <v>130.91887116030099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-2.8421709430404007E-13</v>
      </c>
      <c r="EK107" s="17">
        <f>EJ107*VLOOKUP('Données projet'!$B$15,Paramètres!$A$1:$I$89,3,0)*VLOOKUP('Données projet'!$B$15,Paramètres!$A$1:$I$89,5,0)</f>
        <v>-1.69961822393816E-13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200.15574321350221</v>
      </c>
      <c r="EP107" s="59">
        <f t="shared" si="100"/>
        <v>200.70728852570426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54.272023610249114</v>
      </c>
      <c r="EW107" s="21">
        <f>EXP(-LN(2)/25)*EW106+(1-EXP(-LN(2)/25))/(LN(2)/25)*Calculateur!ER107*Calculateur!ET107*VLOOKUP('Données projet'!$B$15,Paramètres!$A$1:$I$89,3,0)*0.475*44/12</f>
        <v>10.66973223431599</v>
      </c>
      <c r="EX107" s="21">
        <f>EXP(-LN(2)/2)*EX106+(1-EXP(-LN(2)/2))/(LN(2)/2)*ER107*EU107*VLOOKUP('Données projet'!$B$15,Paramètres!$A$1:$I$89,3,0)*0.475*44/12</f>
        <v>7.6205369210191443E-6</v>
      </c>
      <c r="EY107" s="22">
        <f t="shared" si="75"/>
        <v>64.941763465102028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6.9935897435897401</v>
      </c>
      <c r="FE107" s="12">
        <f>IF('Données projet'!$A$218&gt;35,FE106+FD107-FM106,IF(A107&lt;'Données projet'!$A$218,$FB$205^A107,IF(A107='Données projet'!$A$218,'Données projet'!$B$218,FE106+FD107-FM106)))</f>
        <v>305.19871794871835</v>
      </c>
      <c r="FF107" s="17">
        <f>FE107*VLOOKUP('Données projet'!$B$16,Paramètres!$A$1:$I$89,3,0)*VLOOKUP('Données projet'!$B$16,Paramètres!$A$1:$I$89,5,0)</f>
        <v>328.51590000000044</v>
      </c>
      <c r="FG107" s="13">
        <f t="shared" si="101"/>
        <v>77.122534706660645</v>
      </c>
      <c r="FH107" s="20">
        <f t="shared" si="76"/>
        <v>706.48694044743468</v>
      </c>
      <c r="FI107" s="59">
        <f t="shared" si="77"/>
        <v>999.82027378076805</v>
      </c>
      <c r="FJ107" s="59">
        <f ca="1">AVERAGE(OFFSET($FI$3,0,0,'Données projet'!$E$16+1,1))-AVERAGE(OFFSET($H$3,0,0,'Données projet'!$E$16+1,1))</f>
        <v>347.17049316703486</v>
      </c>
      <c r="FK107" s="59">
        <f t="shared" si="102"/>
        <v>255.45365487683489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52.953092722482438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52.953092722482438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7">
        <f t="shared" si="56"/>
        <v>403.98391969821591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266.02599413192075</v>
      </c>
      <c r="T108" s="59">
        <f t="shared" si="88"/>
        <v>332.94146254783254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6.9935897435897401</v>
      </c>
      <c r="AI108" s="13">
        <f>IF('Données projet'!$A$62&gt;35,AI107+AH108-AQ107,IF(A108&lt;'Données projet'!$A$62,$AF$205^A108,IF(A108='Données projet'!$A$62,'Données projet'!$B$62,AI107+AH108-AQ107)))</f>
        <v>312.19230769230808</v>
      </c>
      <c r="AJ108" s="13">
        <f>AI108*VLOOKUP('Données projet'!$B$10,Paramètres!$A$1:$I$89,3,0)*VLOOKUP('Données projet'!$B$10,Paramètres!$A$1:$I$89,5,0)</f>
        <v>282.47160000000031</v>
      </c>
      <c r="AK108" s="13">
        <f t="shared" si="89"/>
        <v>67.489061551962138</v>
      </c>
      <c r="AL108" s="20">
        <f t="shared" si="58"/>
        <v>609.51481886966792</v>
      </c>
      <c r="AM108" s="59">
        <f t="shared" si="59"/>
        <v>902.84815220300129</v>
      </c>
      <c r="AN108" s="59">
        <f ca="1">AVERAGE(OFFSET($AM$3,0,0,'Données projet'!$E$10+1,1))-AVERAGE(OFFSET($H$3,0,0,'Données projet'!$E$10+1,1))</f>
        <v>282.13645166362238</v>
      </c>
      <c r="AO108" s="59">
        <f t="shared" si="90"/>
        <v>210.5345332979457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43.638455979691777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43.638455979691777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254.6443970237226</v>
      </c>
      <c r="BJ108" s="59">
        <f t="shared" si="92"/>
        <v>231.81667808018062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105.23830566446344</v>
      </c>
      <c r="BQ108" s="21">
        <f>EXP(-LN(2)/25)*BQ107+(1-EXP(-LN(2)/25))/(LN(2)/25)*Calculateur!BL108*Calculateur!BN108*VLOOKUP('Données projet'!$B$11,Paramètres!$A$1:$I$89,3,0)*0.475*44/12</f>
        <v>21.004010748648497</v>
      </c>
      <c r="BR108" s="21">
        <f>EXP(-LN(2)/2)*BR107+(1-EXP(-LN(2)/2))/(LN(2)/2)*BL108*BO108*VLOOKUP('Données projet'!$B$11,Paramètres!$A$1:$I$89,3,0)*0.475*44/12</f>
        <v>2.1488748233573147E-4</v>
      </c>
      <c r="BS108" s="22">
        <f t="shared" si="63"/>
        <v>126.24253130059427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5.0961538461538449</v>
      </c>
      <c r="BY108" s="12">
        <f>IF('Données projet'!$A$114&gt;35,BY107+BX108-CG107,IF(A108&lt;'Données projet'!$A$114,$BV$205^A108,IF(A108='Données projet'!$A$114,'Données projet'!$B$114,BY107+BX108-CG107)))</f>
        <v>205.44871794871764</v>
      </c>
      <c r="BZ108" s="13">
        <f>BY108*VLOOKUP('Données projet'!$B$12,Paramètres!$A$1:$I$89,3,0)*VLOOKUP('Données projet'!$B$12,Paramètres!$A$1:$I$89,5,0)</f>
        <v>208.32499999999973</v>
      </c>
      <c r="CA108" s="13">
        <f t="shared" si="93"/>
        <v>51.569385633240543</v>
      </c>
      <c r="CB108" s="20">
        <f t="shared" si="64"/>
        <v>452.64938831122686</v>
      </c>
      <c r="CC108" s="59">
        <f t="shared" si="65"/>
        <v>745.98272164456012</v>
      </c>
      <c r="CD108" s="59">
        <f ca="1">AVERAGE(OFFSET($CC$3,0,0,'Données projet'!$E$12+1,1))-AVERAGE(OFFSET($H$3,0,0,'Données projet'!$E$12+1,1))</f>
        <v>264.08050363622294</v>
      </c>
      <c r="CE108" s="59">
        <f t="shared" si="94"/>
        <v>164.48884512322883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34.385681204131842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34.385681204131842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194.7221767407824</v>
      </c>
      <c r="CZ108" s="59">
        <f t="shared" si="96"/>
        <v>177.6550559568646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83.211683548645553</v>
      </c>
      <c r="DG108" s="21">
        <f>EXP(-LN(2)/25)*DG107+(1-EXP(-LN(2)/25))/(LN(2)/25)*Calculateur!DB108*Calculateur!DD108*VLOOKUP('Données projet'!$B$13,Paramètres!$A$1:$I$89,3,0)*0.475*44/12</f>
        <v>16.607822452419754</v>
      </c>
      <c r="DH108" s="21">
        <f>EXP(-LN(2)/2)*DH107+(1-EXP(-LN(2)/2))/(LN(2)/2)*DB108*DE108*VLOOKUP('Données projet'!$B$13,Paramètres!$A$1:$I$89,3,0)*0.475*44/12</f>
        <v>1.6991103254453225E-4</v>
      </c>
      <c r="DI108" s="22">
        <f t="shared" si="69"/>
        <v>99.81967591209785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309.71538461538461</v>
      </c>
      <c r="DM108" s="12">
        <f>VLOOKUP(A108,'Données projet'!$A$165:$I$185,9,0)</f>
        <v>7.5015384615384617</v>
      </c>
      <c r="DN108" s="12">
        <f t="array" ref="DN108">INDEX(DM:DM,MIN(IF(ISNUMBER(DM108:DM304),ROW(DM108:DM304),"")))</f>
        <v>7.5015384615384617</v>
      </c>
      <c r="DO108" s="12">
        <f>IF('Données projet'!$A$166&gt;35,DO107+DN108-DW107,IF(A108&lt;'Données projet'!$A$166,$DL$205^A108,IF(A108='Données projet'!$A$166,'Données projet'!$B$166,DO107+DN108-DW107)))</f>
        <v>309.71538461538495</v>
      </c>
      <c r="DP108" s="17">
        <f>DO108*VLOOKUP('Données projet'!$B$14,Paramètres!$A$1:$I$89,3,0)*VLOOKUP('Données projet'!$B$14,Paramètres!$A$1:$I$89,5,0)</f>
        <v>144.94680000000017</v>
      </c>
      <c r="DQ108" s="13">
        <f t="shared" si="97"/>
        <v>37.427947530076956</v>
      </c>
      <c r="DR108" s="20">
        <f t="shared" si="70"/>
        <v>317.63601861488428</v>
      </c>
      <c r="DS108" s="59">
        <f t="shared" si="71"/>
        <v>610.96935194821754</v>
      </c>
      <c r="DT108" s="59">
        <f ca="1">AVERAGE(OFFSET($DS$3,0,0,'Données projet'!$E$14+1,1))-AVERAGE(OFFSET($H$3,0,0,'Données projet'!$E$14+1,1))</f>
        <v>207.25176714718668</v>
      </c>
      <c r="DU108" s="59">
        <f t="shared" si="98"/>
        <v>191.53228014642559</v>
      </c>
      <c r="DV108" s="15">
        <f>IF(ISNA(VLOOKUP(A108,'Données projet'!$A$165:$I$185,3,0)),0,VLOOKUP(A108,'Données projet'!$A$165:$I$185,3,0))</f>
        <v>9</v>
      </c>
      <c r="DW108" s="15">
        <f>IF(ISNA(VLOOKUP(A108,'Données projet'!$A$165:$I$185,4,0)),0,VLOOKUP(A108,'Données projet'!$A$165:$I$185,4,0))</f>
        <v>309.71538461538461</v>
      </c>
      <c r="DX108" s="16">
        <f>IF(ISNA(VLOOKUP(A108,'Données projet'!$A$165:$I$185,5,0)),0%,VLOOKUP(A108,'Données projet'!$A$165:$I$185,5,0)*VLOOKUP('Données projet'!$B$14,Paramètres!$A$1:$I$89,7,0))</f>
        <v>0.38500000000000001</v>
      </c>
      <c r="DY108" s="16">
        <f>IF(ISNA(VLOOKUP(A108,'Données projet'!$A$165:$I$185,6,0)),0%,VLOOKUP(A108,'Données projet'!$A$165:$I$185,6,0)*VLOOKUP('Données projet'!$B$14,Paramètres!$A$1:$I$89,7,0))</f>
        <v>9.240000000000001E-2</v>
      </c>
      <c r="DZ108" s="16">
        <f>IF(ISNA(VLOOKUP(A108,'Données projet'!$A$165:$I$185,7,0)),0%,VLOOKUP(A108,'Données projet'!$A$165:$I$185,7,0))</f>
        <v>0.13200000000000001</v>
      </c>
      <c r="EA108" s="21">
        <f>EXP(-LN(2)/35)*EA107+(1-EXP(-LN(2)/35))/(LN(2)/35)*DW108*DX108*VLOOKUP('Données projet'!$B$14,Paramètres!$A$1:$I$89,3,0)*0.475*44/12</f>
        <v>175.22095304116948</v>
      </c>
      <c r="EB108" s="21">
        <f>EXP(-LN(2)/25)*EB107+(1-EXP(-LN(2)/25))/(LN(2)/25)*Calculateur!DW108*Calculateur!DY108*VLOOKUP('Données projet'!$B$14,Paramètres!$A$1:$I$89,3,0)*0.475*44/12</f>
        <v>43.921184557541437</v>
      </c>
      <c r="EC108" s="21">
        <f>EXP(-LN(2)/2)*EC107+(1-EXP(-LN(2)/2))/(LN(2)/2)*DW108*DZ108*VLOOKUP('Données projet'!$B$14,Paramètres!$A$1:$I$89,3,0)*0.475*44/12</f>
        <v>22.186641244152522</v>
      </c>
      <c r="ED108" s="22">
        <f t="shared" si="72"/>
        <v>241.32877884286344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-2.8421709430404007E-13</v>
      </c>
      <c r="EK108" s="17">
        <f>EJ108*VLOOKUP('Données projet'!$B$15,Paramètres!$A$1:$I$89,3,0)*VLOOKUP('Données projet'!$B$15,Paramètres!$A$1:$I$89,5,0)</f>
        <v>-1.69961822393816E-13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200.15574321350221</v>
      </c>
      <c r="EP108" s="59">
        <f t="shared" si="100"/>
        <v>200.70728852570426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53.207782329917912</v>
      </c>
      <c r="EW108" s="21">
        <f>EXP(-LN(2)/25)*EW107+(1-EXP(-LN(2)/25))/(LN(2)/25)*Calculateur!ER108*Calculateur!ET108*VLOOKUP('Données projet'!$B$15,Paramètres!$A$1:$I$89,3,0)*0.475*44/12</f>
        <v>10.377967845271787</v>
      </c>
      <c r="EX108" s="21">
        <f>EXP(-LN(2)/2)*EX107+(1-EXP(-LN(2)/2))/(LN(2)/2)*ER108*EU108*VLOOKUP('Données projet'!$B$15,Paramètres!$A$1:$I$89,3,0)*0.475*44/12</f>
        <v>5.3885333331350914E-6</v>
      </c>
      <c r="EY108" s="22">
        <f t="shared" si="75"/>
        <v>63.585755563723033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6.9935897435897401</v>
      </c>
      <c r="FE108" s="12">
        <f>IF('Données projet'!$A$218&gt;35,FE107+FD108-FM107,IF(A108&lt;'Données projet'!$A$218,$FB$205^A108,IF(A108='Données projet'!$A$218,'Données projet'!$B$218,FE107+FD108-FM107)))</f>
        <v>312.19230769230808</v>
      </c>
      <c r="FF108" s="17">
        <f>FE108*VLOOKUP('Données projet'!$B$16,Paramètres!$A$1:$I$89,3,0)*VLOOKUP('Données projet'!$B$16,Paramètres!$A$1:$I$89,5,0)</f>
        <v>336.04380000000043</v>
      </c>
      <c r="FG108" s="13">
        <f t="shared" si="101"/>
        <v>78.682014508162851</v>
      </c>
      <c r="FH108" s="20">
        <f t="shared" si="76"/>
        <v>722.31412693505092</v>
      </c>
      <c r="FI108" s="59">
        <f t="shared" si="77"/>
        <v>1015.6474602683843</v>
      </c>
      <c r="FJ108" s="59">
        <f ca="1">AVERAGE(OFFSET($FI$3,0,0,'Données projet'!$E$16+1,1))-AVERAGE(OFFSET($H$3,0,0,'Données projet'!$E$16+1,1))</f>
        <v>347.17049316703486</v>
      </c>
      <c r="FK108" s="59">
        <f t="shared" si="102"/>
        <v>255.45365487683489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51.914714872391933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51.914714872391933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7">
        <f t="shared" si="56"/>
        <v>405.00983186539088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266.02599413192075</v>
      </c>
      <c r="T109" s="59">
        <f t="shared" si="88"/>
        <v>332.94146254783254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6.9935897435897401</v>
      </c>
      <c r="AI109" s="13">
        <f>IF('Données projet'!$A$62&gt;35,AI108+AH109-AQ108,IF(A109&lt;'Données projet'!$A$62,$AF$205^A109,IF(A109='Données projet'!$A$62,'Données projet'!$B$62,AI108+AH109-AQ108)))</f>
        <v>319.1858974358978</v>
      </c>
      <c r="AJ109" s="13">
        <f>AI109*VLOOKUP('Données projet'!$B$10,Paramètres!$A$1:$I$89,3,0)*VLOOKUP('Données projet'!$B$10,Paramètres!$A$1:$I$89,5,0)</f>
        <v>288.79940000000033</v>
      </c>
      <c r="AK109" s="13">
        <f t="shared" si="89"/>
        <v>68.82321300114252</v>
      </c>
      <c r="AL109" s="20">
        <f t="shared" si="58"/>
        <v>622.85938431032366</v>
      </c>
      <c r="AM109" s="59">
        <f t="shared" si="59"/>
        <v>916.19271764365703</v>
      </c>
      <c r="AN109" s="59">
        <f ca="1">AVERAGE(OFFSET($AM$3,0,0,'Données projet'!$E$10+1,1))-AVERAGE(OFFSET($H$3,0,0,'Données projet'!$E$10+1,1))</f>
        <v>282.13645166362238</v>
      </c>
      <c r="AO109" s="59">
        <f t="shared" si="90"/>
        <v>210.5345332979457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42.782732474759975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42.782732474759975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254.6443970237226</v>
      </c>
      <c r="BJ109" s="59">
        <f t="shared" si="92"/>
        <v>231.81667808018062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103.17464667941162</v>
      </c>
      <c r="BQ109" s="21">
        <f>EXP(-LN(2)/25)*BQ108+(1-EXP(-LN(2)/25))/(LN(2)/25)*Calculateur!BL109*Calculateur!BN109*VLOOKUP('Données projet'!$B$11,Paramètres!$A$1:$I$89,3,0)*0.475*44/12</f>
        <v>20.429654970173782</v>
      </c>
      <c r="BR109" s="21">
        <f>EXP(-LN(2)/2)*BR108+(1-EXP(-LN(2)/2))/(LN(2)/2)*BL109*BO109*VLOOKUP('Données projet'!$B$11,Paramètres!$A$1:$I$89,3,0)*0.475*44/12</f>
        <v>1.5194839595170017E-4</v>
      </c>
      <c r="BS109" s="22">
        <f t="shared" si="63"/>
        <v>123.60445359798136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5.0961538461538449</v>
      </c>
      <c r="BY109" s="12">
        <f>IF('Données projet'!$A$114&gt;35,BY108+BX109-CG108,IF(A109&lt;'Données projet'!$A$114,$BV$205^A109,IF(A109='Données projet'!$A$114,'Données projet'!$B$114,BY108+BX109-CG108)))</f>
        <v>210.54487179487148</v>
      </c>
      <c r="BZ109" s="13">
        <f>BY109*VLOOKUP('Données projet'!$B$12,Paramètres!$A$1:$I$89,3,0)*VLOOKUP('Données projet'!$B$12,Paramètres!$A$1:$I$89,5,0)</f>
        <v>213.49249999999969</v>
      </c>
      <c r="CA109" s="13">
        <f t="shared" si="93"/>
        <v>52.698050633588259</v>
      </c>
      <c r="CB109" s="20">
        <f t="shared" si="64"/>
        <v>463.61520902016565</v>
      </c>
      <c r="CC109" s="59">
        <f t="shared" si="65"/>
        <v>756.94854235349896</v>
      </c>
      <c r="CD109" s="59">
        <f ca="1">AVERAGE(OFFSET($CC$3,0,0,'Données projet'!$E$12+1,1))-AVERAGE(OFFSET($H$3,0,0,'Données projet'!$E$12+1,1))</f>
        <v>264.08050363622294</v>
      </c>
      <c r="CE109" s="59">
        <f t="shared" si="94"/>
        <v>164.48884512322883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33.711398968913421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33.711398968913421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194.7221767407824</v>
      </c>
      <c r="CZ109" s="59">
        <f t="shared" si="96"/>
        <v>177.6550559568646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81.579953188372031</v>
      </c>
      <c r="DG109" s="21">
        <f>EXP(-LN(2)/25)*DG108+(1-EXP(-LN(2)/25))/(LN(2)/25)*Calculateur!DB109*Calculateur!DD109*VLOOKUP('Données projet'!$B$13,Paramètres!$A$1:$I$89,3,0)*0.475*44/12</f>
        <v>16.153680674090911</v>
      </c>
      <c r="DH109" s="21">
        <f>EXP(-LN(2)/2)*DH108+(1-EXP(-LN(2)/2))/(LN(2)/2)*DB109*DE109*VLOOKUP('Données projet'!$B$13,Paramètres!$A$1:$I$89,3,0)*0.475*44/12</f>
        <v>1.2014524331064692E-4</v>
      </c>
      <c r="DI109" s="22">
        <f t="shared" si="69"/>
        <v>97.733754007706253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3.4106051316484809E-13</v>
      </c>
      <c r="DP109" s="17">
        <f>DO109*VLOOKUP('Données projet'!$B$14,Paramètres!$A$1:$I$89,3,0)*VLOOKUP('Données projet'!$B$14,Paramètres!$A$1:$I$89,5,0)</f>
        <v>1.5961632016114892E-13</v>
      </c>
      <c r="DQ109" s="13">
        <f t="shared" si="97"/>
        <v>2.2708641912150958E-12</v>
      </c>
      <c r="DR109" s="20">
        <f t="shared" si="70"/>
        <v>4.2330868906469593E-12</v>
      </c>
      <c r="DS109" s="59">
        <f t="shared" si="71"/>
        <v>293.33333333333752</v>
      </c>
      <c r="DT109" s="59">
        <f ca="1">AVERAGE(OFFSET($DS$3,0,0,'Données projet'!$E$14+1,1))-AVERAGE(OFFSET($H$3,0,0,'Données projet'!$E$14+1,1))</f>
        <v>207.25176714718668</v>
      </c>
      <c r="DU109" s="59">
        <f t="shared" si="98"/>
        <v>191.53228014642559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171.78497702626055</v>
      </c>
      <c r="EB109" s="21">
        <f>EXP(-LN(2)/25)*EB108+(1-EXP(-LN(2)/25))/(LN(2)/25)*Calculateur!DW109*Calculateur!DY109*VLOOKUP('Données projet'!$B$14,Paramètres!$A$1:$I$89,3,0)*0.475*44/12</f>
        <v>42.72015745610075</v>
      </c>
      <c r="EC109" s="21">
        <f>EXP(-LN(2)/2)*EC108+(1-EXP(-LN(2)/2))/(LN(2)/2)*DW109*DZ109*VLOOKUP('Données projet'!$B$14,Paramètres!$A$1:$I$89,3,0)*0.475*44/12</f>
        <v>15.688324475493388</v>
      </c>
      <c r="ED109" s="22">
        <f t="shared" si="72"/>
        <v>230.19345895785472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-2.8421709430404007E-13</v>
      </c>
      <c r="EK109" s="17">
        <f>EJ109*VLOOKUP('Données projet'!$B$15,Paramètres!$A$1:$I$89,3,0)*VLOOKUP('Données projet'!$B$15,Paramètres!$A$1:$I$89,5,0)</f>
        <v>-1.69961822393816E-13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200.15574321350221</v>
      </c>
      <c r="EP109" s="59">
        <f t="shared" si="100"/>
        <v>200.70728852570426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52.164410171970921</v>
      </c>
      <c r="EW109" s="21">
        <f>EXP(-LN(2)/25)*EW108+(1-EXP(-LN(2)/25))/(LN(2)/25)*Calculateur!ER109*Calculateur!ET109*VLOOKUP('Données projet'!$B$15,Paramètres!$A$1:$I$89,3,0)*0.475*44/12</f>
        <v>10.09418176878922</v>
      </c>
      <c r="EX109" s="21">
        <f>EXP(-LN(2)/2)*EX108+(1-EXP(-LN(2)/2))/(LN(2)/2)*ER109*EU109*VLOOKUP('Données projet'!$B$15,Paramètres!$A$1:$I$89,3,0)*0.475*44/12</f>
        <v>3.810268460509573E-6</v>
      </c>
      <c r="EY109" s="22">
        <f t="shared" si="75"/>
        <v>62.258595751028601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6.9935897435897401</v>
      </c>
      <c r="FE109" s="12">
        <f>IF('Données projet'!$A$218&gt;35,FE108+FD109-FM108,IF(A109&lt;'Données projet'!$A$218,$FB$205^A109,IF(A109='Données projet'!$A$218,'Données projet'!$B$218,FE108+FD109-FM108)))</f>
        <v>319.1858974358978</v>
      </c>
      <c r="FF109" s="17">
        <f>FE109*VLOOKUP('Données projet'!$B$16,Paramètres!$A$1:$I$89,3,0)*VLOOKUP('Données projet'!$B$16,Paramètres!$A$1:$I$89,5,0)</f>
        <v>343.57170000000042</v>
      </c>
      <c r="FG109" s="13">
        <f t="shared" si="101"/>
        <v>80.237432842134936</v>
      </c>
      <c r="FH109" s="20">
        <f t="shared" si="76"/>
        <v>738.13423970005249</v>
      </c>
      <c r="FI109" s="59">
        <f t="shared" si="77"/>
        <v>1031.4675730333859</v>
      </c>
      <c r="FJ109" s="59">
        <f ca="1">AVERAGE(OFFSET($FI$3,0,0,'Données projet'!$E$16+1,1))-AVERAGE(OFFSET($H$3,0,0,'Données projet'!$E$16+1,1))</f>
        <v>347.17049316703486</v>
      </c>
      <c r="FK109" s="59">
        <f t="shared" si="102"/>
        <v>255.45365487683489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50.896698978593754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50.896698978593754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7">
        <f t="shared" si="56"/>
        <v>406.03551266036857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266.02599413192075</v>
      </c>
      <c r="T110" s="59">
        <f t="shared" si="88"/>
        <v>332.94146254783254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6.9935897435897401</v>
      </c>
      <c r="AI110" s="13">
        <f>IF('Données projet'!$A$62&gt;35,AI109+AH110-AQ109,IF(A110&lt;'Données projet'!$A$62,$AF$205^A110,IF(A110='Données projet'!$A$62,'Données projet'!$B$62,AI109+AH110-AQ109)))</f>
        <v>326.17948717948752</v>
      </c>
      <c r="AJ110" s="13">
        <f>AI110*VLOOKUP('Données projet'!$B$10,Paramètres!$A$1:$I$89,3,0)*VLOOKUP('Données projet'!$B$10,Paramètres!$A$1:$I$89,5,0)</f>
        <v>295.1272000000003</v>
      </c>
      <c r="AK110" s="13">
        <f t="shared" si="89"/>
        <v>70.153965869482519</v>
      </c>
      <c r="AL110" s="20">
        <f t="shared" si="58"/>
        <v>636.19803055601596</v>
      </c>
      <c r="AM110" s="59">
        <f t="shared" si="59"/>
        <v>929.53136388934922</v>
      </c>
      <c r="AN110" s="59">
        <f ca="1">AVERAGE(OFFSET($AM$3,0,0,'Données projet'!$E$10+1,1))-AVERAGE(OFFSET($H$3,0,0,'Données projet'!$E$10+1,1))</f>
        <v>282.13645166362238</v>
      </c>
      <c r="AO110" s="59">
        <f t="shared" si="90"/>
        <v>210.5345332979457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41.943789185820087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41.943789185820087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254.6443970237226</v>
      </c>
      <c r="BJ110" s="59">
        <f t="shared" si="92"/>
        <v>231.81667808018062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101.15145478834899</v>
      </c>
      <c r="BQ110" s="21">
        <f>EXP(-LN(2)/25)*BQ109+(1-EXP(-LN(2)/25))/(LN(2)/25)*Calculateur!BL110*Calculateur!BN110*VLOOKUP('Données projet'!$B$11,Paramètres!$A$1:$I$89,3,0)*0.475*44/12</f>
        <v>19.871004980665518</v>
      </c>
      <c r="BR110" s="21">
        <f>EXP(-LN(2)/2)*BR109+(1-EXP(-LN(2)/2))/(LN(2)/2)*BL110*BO110*VLOOKUP('Données projet'!$B$11,Paramètres!$A$1:$I$89,3,0)*0.475*44/12</f>
        <v>1.0744374116786574E-4</v>
      </c>
      <c r="BS110" s="22">
        <f t="shared" si="63"/>
        <v>121.02256721275567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5.0961538461538449</v>
      </c>
      <c r="BY110" s="12">
        <f>IF('Données projet'!$A$114&gt;35,BY109+BX110-CG109,IF(A110&lt;'Données projet'!$A$114,$BV$205^A110,IF(A110='Données projet'!$A$114,'Données projet'!$B$114,BY109+BX110-CG109)))</f>
        <v>215.64102564102532</v>
      </c>
      <c r="BZ110" s="13">
        <f>BY110*VLOOKUP('Données projet'!$B$12,Paramètres!$A$1:$I$89,3,0)*VLOOKUP('Données projet'!$B$12,Paramètres!$A$1:$I$89,5,0)</f>
        <v>218.65999999999968</v>
      </c>
      <c r="CA110" s="13">
        <f t="shared" si="93"/>
        <v>53.823539863729678</v>
      </c>
      <c r="CB110" s="20">
        <f t="shared" si="64"/>
        <v>474.57549859599521</v>
      </c>
      <c r="CC110" s="59">
        <f t="shared" si="65"/>
        <v>767.90883192932847</v>
      </c>
      <c r="CD110" s="59">
        <f ca="1">AVERAGE(OFFSET($CC$3,0,0,'Données projet'!$E$12+1,1))-AVERAGE(OFFSET($H$3,0,0,'Données projet'!$E$12+1,1))</f>
        <v>264.08050363622294</v>
      </c>
      <c r="CE110" s="59">
        <f t="shared" si="94"/>
        <v>164.48884512322883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33.05033899705608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33.05033899705608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194.7221767407824</v>
      </c>
      <c r="CZ110" s="59">
        <f t="shared" si="96"/>
        <v>177.6550559568646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79.980220065206225</v>
      </c>
      <c r="DG110" s="21">
        <f>EXP(-LN(2)/25)*DG109+(1-EXP(-LN(2)/25))/(LN(2)/25)*Calculateur!DB110*Calculateur!DD110*VLOOKUP('Données projet'!$B$13,Paramètres!$A$1:$I$89,3,0)*0.475*44/12</f>
        <v>15.711957426572749</v>
      </c>
      <c r="DH110" s="21">
        <f>EXP(-LN(2)/2)*DH109+(1-EXP(-LN(2)/2))/(LN(2)/2)*DB110*DE110*VLOOKUP('Données projet'!$B$13,Paramètres!$A$1:$I$89,3,0)*0.475*44/12</f>
        <v>8.4955516272266137E-5</v>
      </c>
      <c r="DI110" s="22">
        <f t="shared" si="69"/>
        <v>95.692262447295249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3.4106051316484809E-13</v>
      </c>
      <c r="DP110" s="17">
        <f>DO110*VLOOKUP('Données projet'!$B$14,Paramètres!$A$1:$I$89,3,0)*VLOOKUP('Données projet'!$B$14,Paramètres!$A$1:$I$89,5,0)</f>
        <v>1.5961632016114892E-13</v>
      </c>
      <c r="DQ110" s="13">
        <f t="shared" si="97"/>
        <v>2.2708641912150958E-12</v>
      </c>
      <c r="DR110" s="20">
        <f t="shared" si="70"/>
        <v>4.2330868906469593E-12</v>
      </c>
      <c r="DS110" s="59">
        <f t="shared" si="71"/>
        <v>293.33333333333752</v>
      </c>
      <c r="DT110" s="59">
        <f ca="1">AVERAGE(OFFSET($DS$3,0,0,'Données projet'!$E$14+1,1))-AVERAGE(OFFSET($H$3,0,0,'Données projet'!$E$14+1,1))</f>
        <v>207.25176714718668</v>
      </c>
      <c r="DU110" s="59">
        <f t="shared" si="98"/>
        <v>191.53228014642559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168.41637840526556</v>
      </c>
      <c r="EB110" s="21">
        <f>EXP(-LN(2)/25)*EB109+(1-EXP(-LN(2)/25))/(LN(2)/25)*Calculateur!DW110*Calculateur!DY110*VLOOKUP('Données projet'!$B$14,Paramètres!$A$1:$I$89,3,0)*0.475*44/12</f>
        <v>41.551972503908232</v>
      </c>
      <c r="EC110" s="21">
        <f>EXP(-LN(2)/2)*EC109+(1-EXP(-LN(2)/2))/(LN(2)/2)*DW110*DZ110*VLOOKUP('Données projet'!$B$14,Paramètres!$A$1:$I$89,3,0)*0.475*44/12</f>
        <v>11.093320622076263</v>
      </c>
      <c r="ED110" s="22">
        <f t="shared" si="72"/>
        <v>221.06167153125006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-2.8421709430404007E-13</v>
      </c>
      <c r="EK110" s="17">
        <f>EJ110*VLOOKUP('Données projet'!$B$15,Paramètres!$A$1:$I$89,3,0)*VLOOKUP('Données projet'!$B$15,Paramètres!$A$1:$I$89,5,0)</f>
        <v>-1.69961822393816E-13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200.15574321350221</v>
      </c>
      <c r="EP110" s="59">
        <f t="shared" si="100"/>
        <v>200.70728852570426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51.141497905647093</v>
      </c>
      <c r="EW110" s="21">
        <f>EXP(-LN(2)/25)*EW109+(1-EXP(-LN(2)/25))/(LN(2)/25)*Calculateur!ER110*Calculateur!ET110*VLOOKUP('Données projet'!$B$15,Paramètres!$A$1:$I$89,3,0)*0.475*44/12</f>
        <v>9.8181558374917302</v>
      </c>
      <c r="EX110" s="21">
        <f>EXP(-LN(2)/2)*EX109+(1-EXP(-LN(2)/2))/(LN(2)/2)*ER110*EU110*VLOOKUP('Données projet'!$B$15,Paramètres!$A$1:$I$89,3,0)*0.475*44/12</f>
        <v>2.6942666665675461E-6</v>
      </c>
      <c r="EY110" s="22">
        <f t="shared" si="75"/>
        <v>60.959656437405492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6.9935897435897401</v>
      </c>
      <c r="FE110" s="12">
        <f>IF('Données projet'!$A$218&gt;35,FE109+FD110-FM109,IF(A110&lt;'Données projet'!$A$218,$FB$205^A110,IF(A110='Données projet'!$A$218,'Données projet'!$B$218,FE109+FD110-FM109)))</f>
        <v>326.17948717948752</v>
      </c>
      <c r="FF110" s="17">
        <f>FE110*VLOOKUP('Données projet'!$B$16,Paramètres!$A$1:$I$89,3,0)*VLOOKUP('Données projet'!$B$16,Paramètres!$A$1:$I$89,5,0)</f>
        <v>351.09960000000035</v>
      </c>
      <c r="FG110" s="13">
        <f t="shared" si="101"/>
        <v>81.788888946068113</v>
      </c>
      <c r="FH110" s="20">
        <f t="shared" si="76"/>
        <v>753.94745158106923</v>
      </c>
      <c r="FI110" s="59">
        <f t="shared" si="77"/>
        <v>1047.2807849144026</v>
      </c>
      <c r="FJ110" s="59">
        <f ca="1">AVERAGE(OFFSET($FI$3,0,0,'Données projet'!$E$16+1,1))-AVERAGE(OFFSET($H$3,0,0,'Données projet'!$E$16+1,1))</f>
        <v>347.17049316703486</v>
      </c>
      <c r="FK110" s="59">
        <f t="shared" si="102"/>
        <v>255.45365487683489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49.898645755544578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49.898645755544578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7">
        <f t="shared" si="56"/>
        <v>407.06096449596231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266.02599413192075</v>
      </c>
      <c r="T111" s="59">
        <f t="shared" si="88"/>
        <v>332.94146254783254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6.9935897435897401</v>
      </c>
      <c r="AI111" s="13">
        <f>IF('Données projet'!$A$62&gt;35,AI110+AH111-AQ110,IF(A111&lt;'Données projet'!$A$62,$AF$205^A111,IF(A111='Données projet'!$A$62,'Données projet'!$B$62,AI110+AH111-AQ110)))</f>
        <v>333.17307692307725</v>
      </c>
      <c r="AJ111" s="13">
        <f>AI111*VLOOKUP('Données projet'!$B$10,Paramètres!$A$1:$I$89,3,0)*VLOOKUP('Données projet'!$B$10,Paramètres!$A$1:$I$89,5,0)</f>
        <v>301.45500000000027</v>
      </c>
      <c r="AK111" s="13">
        <f t="shared" si="89"/>
        <v>71.481401418760342</v>
      </c>
      <c r="AL111" s="20">
        <f t="shared" si="58"/>
        <v>649.53089913767474</v>
      </c>
      <c r="AM111" s="59">
        <f t="shared" si="59"/>
        <v>942.86423247100811</v>
      </c>
      <c r="AN111" s="59">
        <f ca="1">AVERAGE(OFFSET($AM$3,0,0,'Données projet'!$E$10+1,1))-AVERAGE(OFFSET($H$3,0,0,'Données projet'!$E$10+1,1))</f>
        <v>282.13645166362238</v>
      </c>
      <c r="AO111" s="59">
        <f t="shared" si="90"/>
        <v>210.5345332979457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41.121297063071431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41.121297063071431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254.6443970237226</v>
      </c>
      <c r="BJ111" s="59">
        <f t="shared" si="92"/>
        <v>231.81667808018062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99.167936456244874</v>
      </c>
      <c r="BQ111" s="21">
        <f>EXP(-LN(2)/25)*BQ110+(1-EXP(-LN(2)/25))/(LN(2)/25)*Calculateur!BL111*Calculateur!BN111*VLOOKUP('Données projet'!$B$11,Paramètres!$A$1:$I$89,3,0)*0.475*44/12</f>
        <v>19.327631304498482</v>
      </c>
      <c r="BR111" s="21">
        <f>EXP(-LN(2)/2)*BR110+(1-EXP(-LN(2)/2))/(LN(2)/2)*BL111*BO111*VLOOKUP('Données projet'!$B$11,Paramètres!$A$1:$I$89,3,0)*0.475*44/12</f>
        <v>7.5974197975850084E-5</v>
      </c>
      <c r="BS111" s="22">
        <f t="shared" si="63"/>
        <v>118.49564373494132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5.0961538461538449</v>
      </c>
      <c r="BY111" s="12">
        <f>IF('Données projet'!$A$114&gt;35,BY110+BX111-CG110,IF(A111&lt;'Données projet'!$A$114,$BV$205^A111,IF(A111='Données projet'!$A$114,'Données projet'!$B$114,BY110+BX111-CG110)))</f>
        <v>220.73717948717916</v>
      </c>
      <c r="BZ111" s="13">
        <f>BY111*VLOOKUP('Données projet'!$B$12,Paramètres!$A$1:$I$89,3,0)*VLOOKUP('Données projet'!$B$12,Paramètres!$A$1:$I$89,5,0)</f>
        <v>223.82749999999967</v>
      </c>
      <c r="CA111" s="13">
        <f t="shared" si="93"/>
        <v>54.94593701193218</v>
      </c>
      <c r="CB111" s="20">
        <f t="shared" si="64"/>
        <v>485.53040279578119</v>
      </c>
      <c r="CC111" s="59">
        <f t="shared" si="65"/>
        <v>778.8637361291145</v>
      </c>
      <c r="CD111" s="59">
        <f ca="1">AVERAGE(OFFSET($CC$3,0,0,'Données projet'!$E$12+1,1))-AVERAGE(OFFSET($H$3,0,0,'Données projet'!$E$12+1,1))</f>
        <v>264.08050363622294</v>
      </c>
      <c r="CE111" s="59">
        <f t="shared" si="94"/>
        <v>164.48884512322883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32.402242008040091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32.402242008040091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194.7221767407824</v>
      </c>
      <c r="CZ111" s="59">
        <f t="shared" si="96"/>
        <v>177.6550559568646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78.411856732844839</v>
      </c>
      <c r="DG111" s="21">
        <f>EXP(-LN(2)/25)*DG110+(1-EXP(-LN(2)/25))/(LN(2)/25)*Calculateur!DB111*Calculateur!DD111*VLOOKUP('Données projet'!$B$13,Paramètres!$A$1:$I$89,3,0)*0.475*44/12</f>
        <v>15.282313124487185</v>
      </c>
      <c r="DH111" s="21">
        <f>EXP(-LN(2)/2)*DH110+(1-EXP(-LN(2)/2))/(LN(2)/2)*DB111*DE111*VLOOKUP('Données projet'!$B$13,Paramètres!$A$1:$I$89,3,0)*0.475*44/12</f>
        <v>6.0072621655323474E-5</v>
      </c>
      <c r="DI111" s="22">
        <f t="shared" si="69"/>
        <v>93.694229929953678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3.4106051316484809E-13</v>
      </c>
      <c r="DP111" s="17">
        <f>DO111*VLOOKUP('Données projet'!$B$14,Paramètres!$A$1:$I$89,3,0)*VLOOKUP('Données projet'!$B$14,Paramètres!$A$1:$I$89,5,0)</f>
        <v>1.5961632016114892E-13</v>
      </c>
      <c r="DQ111" s="13">
        <f t="shared" si="97"/>
        <v>2.2708641912150958E-12</v>
      </c>
      <c r="DR111" s="20">
        <f t="shared" si="70"/>
        <v>4.2330868906469593E-12</v>
      </c>
      <c r="DS111" s="59">
        <f t="shared" si="71"/>
        <v>293.33333333333752</v>
      </c>
      <c r="DT111" s="59">
        <f ca="1">AVERAGE(OFFSET($DS$3,0,0,'Données projet'!$E$14+1,1))-AVERAGE(OFFSET($H$3,0,0,'Données projet'!$E$14+1,1))</f>
        <v>207.25176714718668</v>
      </c>
      <c r="DU111" s="59">
        <f t="shared" si="98"/>
        <v>191.53228014642559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165.113835948586</v>
      </c>
      <c r="EB111" s="21">
        <f>EXP(-LN(2)/25)*EB110+(1-EXP(-LN(2)/25))/(LN(2)/25)*Calculateur!DW111*Calculateur!DY111*VLOOKUP('Données projet'!$B$14,Paramètres!$A$1:$I$89,3,0)*0.475*44/12</f>
        <v>40.415731630665597</v>
      </c>
      <c r="EC111" s="21">
        <f>EXP(-LN(2)/2)*EC110+(1-EXP(-LN(2)/2))/(LN(2)/2)*DW111*DZ111*VLOOKUP('Données projet'!$B$14,Paramètres!$A$1:$I$89,3,0)*0.475*44/12</f>
        <v>7.844162237746696</v>
      </c>
      <c r="ED111" s="22">
        <f t="shared" si="72"/>
        <v>213.37372981699829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-2.8421709430404007E-13</v>
      </c>
      <c r="EK111" s="17">
        <f>EJ111*VLOOKUP('Données projet'!$B$15,Paramètres!$A$1:$I$89,3,0)*VLOOKUP('Données projet'!$B$15,Paramètres!$A$1:$I$89,5,0)</f>
        <v>-1.69961822393816E-13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200.15574321350221</v>
      </c>
      <c r="EP111" s="59">
        <f t="shared" si="100"/>
        <v>200.70728852570426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50.138644324951002</v>
      </c>
      <c r="EW111" s="21">
        <f>EXP(-LN(2)/25)*EW110+(1-EXP(-LN(2)/25))/(LN(2)/25)*Calculateur!ER111*Calculateur!ET111*VLOOKUP('Données projet'!$B$15,Paramètres!$A$1:$I$89,3,0)*0.475*44/12</f>
        <v>9.5496778498011423</v>
      </c>
      <c r="EX111" s="21">
        <f>EXP(-LN(2)/2)*EX110+(1-EXP(-LN(2)/2))/(LN(2)/2)*ER111*EU111*VLOOKUP('Données projet'!$B$15,Paramètres!$A$1:$I$89,3,0)*0.475*44/12</f>
        <v>1.9051342302547867E-6</v>
      </c>
      <c r="EY111" s="22">
        <f t="shared" si="75"/>
        <v>59.688324079886378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6.9935897435897401</v>
      </c>
      <c r="FE111" s="12">
        <f>IF('Données projet'!$A$218&gt;35,FE110+FD111-FM110,IF(A111&lt;'Données projet'!$A$218,$FB$205^A111,IF(A111='Données projet'!$A$218,'Données projet'!$B$218,FE110+FD111-FM110)))</f>
        <v>333.17307692307725</v>
      </c>
      <c r="FF111" s="17">
        <f>FE111*VLOOKUP('Données projet'!$B$16,Paramètres!$A$1:$I$89,3,0)*VLOOKUP('Données projet'!$B$16,Paramètres!$A$1:$I$89,5,0)</f>
        <v>358.62750000000034</v>
      </c>
      <c r="FG111" s="13">
        <f t="shared" si="101"/>
        <v>83.336477558876226</v>
      </c>
      <c r="FH111" s="20">
        <f t="shared" si="76"/>
        <v>769.75392758170995</v>
      </c>
      <c r="FI111" s="59">
        <f t="shared" si="77"/>
        <v>1063.0872609150433</v>
      </c>
      <c r="FJ111" s="59">
        <f ca="1">AVERAGE(OFFSET($FI$3,0,0,'Données projet'!$E$16+1,1))-AVERAGE(OFFSET($H$3,0,0,'Données projet'!$E$16+1,1))</f>
        <v>347.17049316703486</v>
      </c>
      <c r="FK111" s="59">
        <f t="shared" si="102"/>
        <v>255.45365487683489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48.920163747447035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48.920163747447035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7">
        <f t="shared" si="56"/>
        <v>408.08618973772667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266.02599413192075</v>
      </c>
      <c r="T112" s="59">
        <f t="shared" si="88"/>
        <v>332.94146254783254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340.16666666666663</v>
      </c>
      <c r="AG112" s="12">
        <f>VLOOKUP(A112,'Données projet'!$A$61:$I$81,9,0)</f>
        <v>6.9935897435897401</v>
      </c>
      <c r="AH112" s="12">
        <f t="array" ref="AH112">INDEX(AG:AG,MIN(IF(ISNUMBER(AG112:AG308),ROW(AG112:AG308),"")))</f>
        <v>6.9935897435897401</v>
      </c>
      <c r="AI112" s="13">
        <f>IF('Données projet'!$A$62&gt;35,AI111+AH112-AQ111,IF(A112&lt;'Données projet'!$A$62,$AF$205^A112,IF(A112='Données projet'!$A$62,'Données projet'!$B$62,AI111+AH112-AQ111)))</f>
        <v>340.16666666666697</v>
      </c>
      <c r="AJ112" s="13">
        <f>AI112*VLOOKUP('Données projet'!$B$10,Paramètres!$A$1:$I$89,3,0)*VLOOKUP('Données projet'!$B$10,Paramètres!$A$1:$I$89,5,0)</f>
        <v>307.78280000000024</v>
      </c>
      <c r="AK112" s="13">
        <f t="shared" si="89"/>
        <v>72.805597304306232</v>
      </c>
      <c r="AL112" s="20">
        <f t="shared" si="58"/>
        <v>662.85812530500039</v>
      </c>
      <c r="AM112" s="59">
        <f t="shared" si="59"/>
        <v>956.19145863833364</v>
      </c>
      <c r="AN112" s="59">
        <f ca="1">AVERAGE(OFFSET($AM$3,0,0,'Données projet'!$E$10+1,1))-AVERAGE(OFFSET($H$3,0,0,'Données projet'!$E$10+1,1))</f>
        <v>282.13645166362238</v>
      </c>
      <c r="AO112" s="59">
        <f t="shared" si="90"/>
        <v>210.5345332979457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51.28846153846154</v>
      </c>
      <c r="AR112" s="16">
        <f>IF(ISNA(VLOOKUP(A112,'Données projet'!$A$61:$I$81,5,0)),0%,VLOOKUP(A112,'Données projet'!$A$61:$I$81,5,0)*VLOOKUP('Données projet'!$B$10,Paramètres!$A$1:$I$89,7,0))</f>
        <v>0.38700000000000001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60.168125359190398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60.168125359190398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254.6443970237226</v>
      </c>
      <c r="BJ112" s="59">
        <f t="shared" si="92"/>
        <v>231.81667808018062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97.223313708806614</v>
      </c>
      <c r="BQ112" s="21">
        <f>EXP(-LN(2)/25)*BQ111+(1-EXP(-LN(2)/25))/(LN(2)/25)*Calculateur!BL112*Calculateur!BN112*VLOOKUP('Données projet'!$B$11,Paramètres!$A$1:$I$89,3,0)*0.475*44/12</f>
        <v>18.799116210081014</v>
      </c>
      <c r="BR112" s="21">
        <f>EXP(-LN(2)/2)*BR111+(1-EXP(-LN(2)/2))/(LN(2)/2)*BL112*BO112*VLOOKUP('Données projet'!$B$11,Paramètres!$A$1:$I$89,3,0)*0.475*44/12</f>
        <v>5.3721870583932868E-5</v>
      </c>
      <c r="BS112" s="22">
        <f t="shared" si="63"/>
        <v>116.02248364075821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5.0961538461538449</v>
      </c>
      <c r="BY112" s="12">
        <f>IF('Données projet'!$A$114&gt;35,BY111+BX112-CG111,IF(A112&lt;'Données projet'!$A$114,$BV$205^A112,IF(A112='Données projet'!$A$114,'Données projet'!$B$114,BY111+BX112-CG111)))</f>
        <v>225.833333333333</v>
      </c>
      <c r="BZ112" s="13">
        <f>BY112*VLOOKUP('Données projet'!$B$12,Paramètres!$A$1:$I$89,3,0)*VLOOKUP('Données projet'!$B$12,Paramètres!$A$1:$I$89,5,0)</f>
        <v>228.99499999999969</v>
      </c>
      <c r="CA112" s="13">
        <f t="shared" si="93"/>
        <v>56.065321681745388</v>
      </c>
      <c r="CB112" s="20">
        <f t="shared" si="64"/>
        <v>496.48006026237272</v>
      </c>
      <c r="CC112" s="59">
        <f t="shared" si="65"/>
        <v>789.81339359570597</v>
      </c>
      <c r="CD112" s="59">
        <f ca="1">AVERAGE(OFFSET($CC$3,0,0,'Données projet'!$E$12+1,1))-AVERAGE(OFFSET($H$3,0,0,'Données projet'!$E$12+1,1))</f>
        <v>264.08050363622294</v>
      </c>
      <c r="CE112" s="59">
        <f t="shared" si="94"/>
        <v>164.48884512322883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31.766853805678576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31.766853805678576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194.7221767407824</v>
      </c>
      <c r="CZ112" s="59">
        <f t="shared" si="96"/>
        <v>177.6550559568646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76.874248048823887</v>
      </c>
      <c r="DG112" s="21">
        <f>EXP(-LN(2)/25)*DG111+(1-EXP(-LN(2)/25))/(LN(2)/25)*Calculateur!DB112*Calculateur!DD112*VLOOKUP('Données projet'!$B$13,Paramètres!$A$1:$I$89,3,0)*0.475*44/12</f>
        <v>14.864417468436164</v>
      </c>
      <c r="DH112" s="21">
        <f>EXP(-LN(2)/2)*DH111+(1-EXP(-LN(2)/2))/(LN(2)/2)*DB112*DE112*VLOOKUP('Données projet'!$B$13,Paramètres!$A$1:$I$89,3,0)*0.475*44/12</f>
        <v>4.2477758136133076E-5</v>
      </c>
      <c r="DI112" s="22">
        <f t="shared" si="69"/>
        <v>91.738707995018189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3.4106051316484809E-13</v>
      </c>
      <c r="DP112" s="17">
        <f>DO112*VLOOKUP('Données projet'!$B$14,Paramètres!$A$1:$I$89,3,0)*VLOOKUP('Données projet'!$B$14,Paramètres!$A$1:$I$89,5,0)</f>
        <v>1.5961632016114892E-13</v>
      </c>
      <c r="DQ112" s="13">
        <f t="shared" si="97"/>
        <v>2.2708641912150958E-12</v>
      </c>
      <c r="DR112" s="20">
        <f t="shared" si="70"/>
        <v>4.2330868906469593E-12</v>
      </c>
      <c r="DS112" s="59">
        <f t="shared" si="71"/>
        <v>293.33333333333752</v>
      </c>
      <c r="DT112" s="59">
        <f ca="1">AVERAGE(OFFSET($DS$3,0,0,'Données projet'!$E$14+1,1))-AVERAGE(OFFSET($H$3,0,0,'Données projet'!$E$14+1,1))</f>
        <v>207.25176714718668</v>
      </c>
      <c r="DU112" s="59">
        <f t="shared" si="98"/>
        <v>191.53228014642559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161.87605433512991</v>
      </c>
      <c r="EB112" s="21">
        <f>EXP(-LN(2)/25)*EB111+(1-EXP(-LN(2)/25))/(LN(2)/25)*Calculateur!DW112*Calculateur!DY112*VLOOKUP('Données projet'!$B$14,Paramètres!$A$1:$I$89,3,0)*0.475*44/12</f>
        <v>39.310561323854088</v>
      </c>
      <c r="EC112" s="21">
        <f>EXP(-LN(2)/2)*EC111+(1-EXP(-LN(2)/2))/(LN(2)/2)*DW112*DZ112*VLOOKUP('Données projet'!$B$14,Paramètres!$A$1:$I$89,3,0)*0.475*44/12</f>
        <v>5.5466603110381323</v>
      </c>
      <c r="ED112" s="22">
        <f t="shared" si="72"/>
        <v>206.73327597002213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-2.8421709430404007E-13</v>
      </c>
      <c r="EK112" s="17">
        <f>EJ112*VLOOKUP('Données projet'!$B$15,Paramètres!$A$1:$I$89,3,0)*VLOOKUP('Données projet'!$B$15,Paramètres!$A$1:$I$89,5,0)</f>
        <v>-1.69961822393816E-13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200.15574321350221</v>
      </c>
      <c r="EP112" s="59">
        <f t="shared" si="100"/>
        <v>200.70728852570426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49.155456091292073</v>
      </c>
      <c r="EW112" s="21">
        <f>EXP(-LN(2)/25)*EW111+(1-EXP(-LN(2)/25))/(LN(2)/25)*Calculateur!ER112*Calculateur!ET112*VLOOKUP('Données projet'!$B$15,Paramètres!$A$1:$I$89,3,0)*0.475*44/12</f>
        <v>9.2885414068025973</v>
      </c>
      <c r="EX112" s="21">
        <f>EXP(-LN(2)/2)*EX111+(1-EXP(-LN(2)/2))/(LN(2)/2)*ER112*EU112*VLOOKUP('Données projet'!$B$15,Paramètres!$A$1:$I$89,3,0)*0.475*44/12</f>
        <v>1.3471333332837733E-6</v>
      </c>
      <c r="EY112" s="22">
        <f t="shared" si="75"/>
        <v>58.443998845228009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>
        <f>VLOOKUP(A112,'Données projet'!$A$217:$I$237,2,0)</f>
        <v>340.16666666666663</v>
      </c>
      <c r="FC112" s="12">
        <f>VLOOKUP(A112,'Données projet'!$A$217:$I$237,9,0)</f>
        <v>6.9935897435897401</v>
      </c>
      <c r="FD112" s="12">
        <f t="array" ref="FD112">INDEX(FC:FC,MIN(IF(ISNUMBER(FC112:FC308),ROW(FC112:FC308),"")))</f>
        <v>6.9935897435897401</v>
      </c>
      <c r="FE112" s="12">
        <f>IF('Données projet'!$A$218&gt;35,FE111+FD112-FM111,IF(A112&lt;'Données projet'!$A$218,$FB$205^A112,IF(A112='Données projet'!$A$218,'Données projet'!$B$218,FE111+FD112-FM111)))</f>
        <v>340.16666666666697</v>
      </c>
      <c r="FF112" s="17">
        <f>FE112*VLOOKUP('Données projet'!$B$16,Paramètres!$A$1:$I$89,3,0)*VLOOKUP('Données projet'!$B$16,Paramètres!$A$1:$I$89,5,0)</f>
        <v>366.15540000000033</v>
      </c>
      <c r="FG112" s="13">
        <f t="shared" si="101"/>
        <v>84.880289214902248</v>
      </c>
      <c r="FH112" s="20">
        <f t="shared" si="76"/>
        <v>785.55382538262199</v>
      </c>
      <c r="FI112" s="59">
        <f t="shared" si="77"/>
        <v>1078.8871587159554</v>
      </c>
      <c r="FJ112" s="59">
        <f ca="1">AVERAGE(OFFSET($FI$3,0,0,'Données projet'!$E$16+1,1))-AVERAGE(OFFSET($H$3,0,0,'Données projet'!$E$16+1,1))</f>
        <v>347.17049316703486</v>
      </c>
      <c r="FK112" s="59">
        <f t="shared" si="102"/>
        <v>255.45365487683489</v>
      </c>
      <c r="FL112" s="15">
        <f>IF(ISNA(VLOOKUP(A112,'Données projet'!$A$217:$I$237,3,0)),0,VLOOKUP(A112,'Données projet'!$A$217:$I$237,3,0))</f>
        <v>10</v>
      </c>
      <c r="FM112" s="15">
        <f>IF(ISNA(VLOOKUP(A112,'Données projet'!$A$217:$I$237,4,0)),0,VLOOKUP(A112,'Données projet'!$A$217:$I$237,4,0))</f>
        <v>51.28846153846154</v>
      </c>
      <c r="FN112" s="16">
        <f>IF(ISNA(VLOOKUP(A112,'Données projet'!$A$217:$I$237,5,0)),0%,VLOOKUP(A112,'Données projet'!$A$217:$I$237,5,0)*VLOOKUP('Données projet'!$B$16,Paramètres!$A$1:$I$89,7,0))</f>
        <v>0.38700000000000001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71.579321548002355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71.579321548002355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7">
        <f t="shared" si="56"/>
        <v>409.11119070530799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266.02599413192075</v>
      </c>
      <c r="T113" s="59">
        <f t="shared" si="88"/>
        <v>332.94146254783254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6.8461538461538511</v>
      </c>
      <c r="AI113" s="13">
        <f>IF('Données projet'!$A$62&gt;35,AI112+AH113-AQ112,IF(A113&lt;'Données projet'!$A$62,$AF$205^A113,IF(A113='Données projet'!$A$62,'Données projet'!$B$62,AI112+AH113-AQ112)))</f>
        <v>295.72435897435929</v>
      </c>
      <c r="AJ113" s="13">
        <f>AI113*VLOOKUP('Données projet'!$B$10,Paramètres!$A$1:$I$89,3,0)*VLOOKUP('Données projet'!$B$10,Paramètres!$A$1:$I$89,5,0)</f>
        <v>267.57140000000027</v>
      </c>
      <c r="AK113" s="13">
        <f t="shared" si="89"/>
        <v>64.333588350286504</v>
      </c>
      <c r="AL113" s="20">
        <f t="shared" si="58"/>
        <v>578.06785471008277</v>
      </c>
      <c r="AM113" s="59">
        <f t="shared" si="59"/>
        <v>871.40118804341614</v>
      </c>
      <c r="AN113" s="59">
        <f ca="1">AVERAGE(OFFSET($AM$3,0,0,'Données projet'!$E$10+1,1))-AVERAGE(OFFSET($H$3,0,0,'Données projet'!$E$10+1,1))</f>
        <v>282.13645166362238</v>
      </c>
      <c r="AO113" s="59">
        <f t="shared" si="90"/>
        <v>210.5345332979457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58.988265119829428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58.988265119829428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254.6443970237226</v>
      </c>
      <c r="BJ113" s="59">
        <f t="shared" si="92"/>
        <v>231.81667808018062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95.316823827342859</v>
      </c>
      <c r="BQ113" s="21">
        <f>EXP(-LN(2)/25)*BQ112+(1-EXP(-LN(2)/25))/(LN(2)/25)*Calculateur!BL113*Calculateur!BN113*VLOOKUP('Données projet'!$B$11,Paramètres!$A$1:$I$89,3,0)*0.475*44/12</f>
        <v>18.285053388713791</v>
      </c>
      <c r="BR113" s="21">
        <f>EXP(-LN(2)/2)*BR112+(1-EXP(-LN(2)/2))/(LN(2)/2)*BL113*BO113*VLOOKUP('Données projet'!$B$11,Paramètres!$A$1:$I$89,3,0)*0.475*44/12</f>
        <v>3.7987098987925042E-5</v>
      </c>
      <c r="BS113" s="22">
        <f t="shared" si="63"/>
        <v>113.60191520315564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5.0961538461538449</v>
      </c>
      <c r="BY113" s="12">
        <f>IF('Données projet'!$A$114&gt;35,BY112+BX113-CG112,IF(A113&lt;'Données projet'!$A$114,$BV$205^A113,IF(A113='Données projet'!$A$114,'Données projet'!$B$114,BY112+BX113-CG112)))</f>
        <v>230.92948717948684</v>
      </c>
      <c r="BZ113" s="13">
        <f>BY113*VLOOKUP('Données projet'!$B$12,Paramètres!$A$1:$I$89,3,0)*VLOOKUP('Données projet'!$B$12,Paramètres!$A$1:$I$89,5,0)</f>
        <v>234.16249999999968</v>
      </c>
      <c r="CA113" s="13">
        <f t="shared" si="93"/>
        <v>57.181769678978526</v>
      </c>
      <c r="CB113" s="20">
        <f t="shared" si="64"/>
        <v>507.42460302422029</v>
      </c>
      <c r="CC113" s="59">
        <f t="shared" si="65"/>
        <v>800.7579363575536</v>
      </c>
      <c r="CD113" s="59">
        <f ca="1">AVERAGE(OFFSET($CC$3,0,0,'Données projet'!$E$12+1,1))-AVERAGE(OFFSET($H$3,0,0,'Données projet'!$E$12+1,1))</f>
        <v>264.08050363622294</v>
      </c>
      <c r="CE113" s="59">
        <f t="shared" si="94"/>
        <v>164.48884512322883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31.143925178416833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31.143925178416833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194.7221767407824</v>
      </c>
      <c r="CZ113" s="59">
        <f t="shared" si="96"/>
        <v>177.6550559568646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75.366790933247884</v>
      </c>
      <c r="DG113" s="21">
        <f>EXP(-LN(2)/25)*DG112+(1-EXP(-LN(2)/25))/(LN(2)/25)*Calculateur!DB113*Calculateur!DD113*VLOOKUP('Données projet'!$B$13,Paramètres!$A$1:$I$89,3,0)*0.475*44/12</f>
        <v>14.457949191076036</v>
      </c>
      <c r="DH113" s="21">
        <f>EXP(-LN(2)/2)*DH112+(1-EXP(-LN(2)/2))/(LN(2)/2)*DB113*DE113*VLOOKUP('Données projet'!$B$13,Paramètres!$A$1:$I$89,3,0)*0.475*44/12</f>
        <v>3.0036310827661741E-5</v>
      </c>
      <c r="DI113" s="22">
        <f t="shared" si="69"/>
        <v>89.824770160634756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3.4106051316484809E-13</v>
      </c>
      <c r="DP113" s="17">
        <f>DO113*VLOOKUP('Données projet'!$B$14,Paramètres!$A$1:$I$89,3,0)*VLOOKUP('Données projet'!$B$14,Paramètres!$A$1:$I$89,5,0)</f>
        <v>1.5961632016114892E-13</v>
      </c>
      <c r="DQ113" s="13">
        <f t="shared" si="97"/>
        <v>2.2708641912150958E-12</v>
      </c>
      <c r="DR113" s="20">
        <f t="shared" si="70"/>
        <v>4.2330868906469593E-12</v>
      </c>
      <c r="DS113" s="59">
        <f t="shared" si="71"/>
        <v>293.33333333333752</v>
      </c>
      <c r="DT113" s="59">
        <f ca="1">AVERAGE(OFFSET($DS$3,0,0,'Données projet'!$E$14+1,1))-AVERAGE(OFFSET($H$3,0,0,'Données projet'!$E$14+1,1))</f>
        <v>207.25176714718668</v>
      </c>
      <c r="DU113" s="59">
        <f t="shared" si="98"/>
        <v>191.53228014642559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158.70176364426192</v>
      </c>
      <c r="EB113" s="21">
        <f>EXP(-LN(2)/25)*EB112+(1-EXP(-LN(2)/25))/(LN(2)/25)*Calculateur!DW113*Calculateur!DY113*VLOOKUP('Données projet'!$B$14,Paramètres!$A$1:$I$89,3,0)*0.475*44/12</f>
        <v>38.235611957200724</v>
      </c>
      <c r="EC113" s="21">
        <f>EXP(-LN(2)/2)*EC112+(1-EXP(-LN(2)/2))/(LN(2)/2)*DW113*DZ113*VLOOKUP('Données projet'!$B$14,Paramètres!$A$1:$I$89,3,0)*0.475*44/12</f>
        <v>3.9220811188733484</v>
      </c>
      <c r="ED113" s="22">
        <f t="shared" si="72"/>
        <v>200.85945672033597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-2.8421709430404007E-13</v>
      </c>
      <c r="EK113" s="17">
        <f>EJ113*VLOOKUP('Données projet'!$B$15,Paramètres!$A$1:$I$89,3,0)*VLOOKUP('Données projet'!$B$15,Paramètres!$A$1:$I$89,5,0)</f>
        <v>-1.69961822393816E-13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200.15574321350221</v>
      </c>
      <c r="EP113" s="59">
        <f t="shared" si="100"/>
        <v>200.70728852570426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48.19154757920959</v>
      </c>
      <c r="EW113" s="21">
        <f>EXP(-LN(2)/25)*EW112+(1-EXP(-LN(2)/25))/(LN(2)/25)*Calculateur!ER113*Calculateur!ET113*VLOOKUP('Données projet'!$B$15,Paramètres!$A$1:$I$89,3,0)*0.475*44/12</f>
        <v>9.0345457535704163</v>
      </c>
      <c r="EX113" s="21">
        <f>EXP(-LN(2)/2)*EX112+(1-EXP(-LN(2)/2))/(LN(2)/2)*ER113*EU113*VLOOKUP('Données projet'!$B$15,Paramètres!$A$1:$I$89,3,0)*0.475*44/12</f>
        <v>9.5256711512739357E-7</v>
      </c>
      <c r="EY113" s="22">
        <f t="shared" si="75"/>
        <v>57.226094285347124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6.8461538461538511</v>
      </c>
      <c r="FE113" s="12">
        <f>IF('Données projet'!$A$218&gt;35,FE112+FD113-FM112,IF(A113&lt;'Données projet'!$A$218,$FB$205^A113,IF(A113='Données projet'!$A$218,'Données projet'!$B$218,FE112+FD113-FM112)))</f>
        <v>295.72435897435929</v>
      </c>
      <c r="FF113" s="17">
        <f>FE113*VLOOKUP('Données projet'!$B$16,Paramètres!$A$1:$I$89,3,0)*VLOOKUP('Données projet'!$B$16,Paramètres!$A$1:$I$89,5,0)</f>
        <v>318.31770000000034</v>
      </c>
      <c r="FG113" s="13">
        <f t="shared" si="101"/>
        <v>75.003211120991622</v>
      </c>
      <c r="FH113" s="20">
        <f t="shared" si="76"/>
        <v>685.03392020239437</v>
      </c>
      <c r="FI113" s="59">
        <f t="shared" si="77"/>
        <v>978.36725353572774</v>
      </c>
      <c r="FJ113" s="59">
        <f ca="1">AVERAGE(OFFSET($FI$3,0,0,'Données projet'!$E$16+1,1))-AVERAGE(OFFSET($H$3,0,0,'Données projet'!$E$16+1,1))</f>
        <v>347.17049316703486</v>
      </c>
      <c r="FK113" s="59">
        <f t="shared" si="102"/>
        <v>255.45365487683489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70.175694711521203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70.175694711521203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7">
        <f t="shared" si="56"/>
        <v>410.13596967374434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266.02599413192075</v>
      </c>
      <c r="T114" s="59">
        <f t="shared" si="88"/>
        <v>332.94146254783254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6.8461538461538511</v>
      </c>
      <c r="AI114" s="13">
        <f>IF('Données projet'!$A$62&gt;35,AI113+AH114-AQ113,IF(A114&lt;'Données projet'!$A$62,$AF$205^A114,IF(A114='Données projet'!$A$62,'Données projet'!$B$62,AI113+AH114-AQ113)))</f>
        <v>302.57051282051316</v>
      </c>
      <c r="AJ114" s="13">
        <f>AI114*VLOOKUP('Données projet'!$B$10,Paramètres!$A$1:$I$89,3,0)*VLOOKUP('Données projet'!$B$10,Paramètres!$A$1:$I$89,5,0)</f>
        <v>273.7658000000003</v>
      </c>
      <c r="AK114" s="13">
        <f t="shared" si="89"/>
        <v>65.647821692657914</v>
      </c>
      <c r="AL114" s="20">
        <f t="shared" si="58"/>
        <v>591.14539111471311</v>
      </c>
      <c r="AM114" s="59">
        <f t="shared" si="59"/>
        <v>884.47872444804648</v>
      </c>
      <c r="AN114" s="59">
        <f ca="1">AVERAGE(OFFSET($AM$3,0,0,'Données projet'!$E$10+1,1))-AVERAGE(OFFSET($H$3,0,0,'Données projet'!$E$10+1,1))</f>
        <v>282.13645166362238</v>
      </c>
      <c r="AO114" s="59">
        <f t="shared" si="90"/>
        <v>210.5345332979457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57.831541220118638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57.831541220118638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254.6443970237226</v>
      </c>
      <c r="BJ114" s="59">
        <f t="shared" si="92"/>
        <v>231.81667808018062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93.447719049610598</v>
      </c>
      <c r="BQ114" s="21">
        <f>EXP(-LN(2)/25)*BQ113+(1-EXP(-LN(2)/25))/(LN(2)/25)*Calculateur!BL114*Calculateur!BN114*VLOOKUP('Données projet'!$B$11,Paramètres!$A$1:$I$89,3,0)*0.475*44/12</f>
        <v>17.785047642230246</v>
      </c>
      <c r="BR114" s="21">
        <f>EXP(-LN(2)/2)*BR113+(1-EXP(-LN(2)/2))/(LN(2)/2)*BL114*BO114*VLOOKUP('Données projet'!$B$11,Paramètres!$A$1:$I$89,3,0)*0.475*44/12</f>
        <v>2.6860935291966434E-5</v>
      </c>
      <c r="BS114" s="22">
        <f t="shared" si="63"/>
        <v>111.23279355277614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5.0961538461538449</v>
      </c>
      <c r="BY114" s="12">
        <f>IF('Données projet'!$A$114&gt;35,BY113+BX114-CG113,IF(A114&lt;'Données projet'!$A$114,$BV$205^A114,IF(A114='Données projet'!$A$114,'Données projet'!$B$114,BY113+BX114-CG113)))</f>
        <v>236.02564102564068</v>
      </c>
      <c r="BZ114" s="13">
        <f>BY114*VLOOKUP('Données projet'!$B$12,Paramètres!$A$1:$I$89,3,0)*VLOOKUP('Données projet'!$B$12,Paramètres!$A$1:$I$89,5,0)</f>
        <v>239.32999999999967</v>
      </c>
      <c r="CA114" s="13">
        <f t="shared" si="93"/>
        <v>58.295353272631196</v>
      </c>
      <c r="CB114" s="20">
        <f t="shared" si="64"/>
        <v>518.36415694983214</v>
      </c>
      <c r="CC114" s="59">
        <f t="shared" si="65"/>
        <v>811.69749028316551</v>
      </c>
      <c r="CD114" s="59">
        <f ca="1">AVERAGE(OFFSET($CC$3,0,0,'Données projet'!$E$12+1,1))-AVERAGE(OFFSET($H$3,0,0,'Données projet'!$E$12+1,1))</f>
        <v>264.08050363622294</v>
      </c>
      <c r="CE114" s="59">
        <f t="shared" si="94"/>
        <v>164.48884512322883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30.533211801586745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30.533211801586745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194.7221767407824</v>
      </c>
      <c r="CZ114" s="59">
        <f t="shared" si="96"/>
        <v>177.6550559568646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73.888894132250286</v>
      </c>
      <c r="DG114" s="21">
        <f>EXP(-LN(2)/25)*DG113+(1-EXP(-LN(2)/25))/(LN(2)/25)*Calculateur!DB114*Calculateur!DD114*VLOOKUP('Données projet'!$B$13,Paramètres!$A$1:$I$89,3,0)*0.475*44/12</f>
        <v>14.062595810135559</v>
      </c>
      <c r="DH114" s="21">
        <f>EXP(-LN(2)/2)*DH113+(1-EXP(-LN(2)/2))/(LN(2)/2)*DB114*DE114*VLOOKUP('Données projet'!$B$13,Paramètres!$A$1:$I$89,3,0)*0.475*44/12</f>
        <v>2.1238879068066541E-5</v>
      </c>
      <c r="DI114" s="22">
        <f t="shared" si="69"/>
        <v>87.95151118126492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3.4106051316484809E-13</v>
      </c>
      <c r="DP114" s="17">
        <f>DO114*VLOOKUP('Données projet'!$B$14,Paramètres!$A$1:$I$89,3,0)*VLOOKUP('Données projet'!$B$14,Paramètres!$A$1:$I$89,5,0)</f>
        <v>1.5961632016114892E-13</v>
      </c>
      <c r="DQ114" s="13">
        <f t="shared" si="97"/>
        <v>2.2708641912150958E-12</v>
      </c>
      <c r="DR114" s="20">
        <f t="shared" si="70"/>
        <v>4.2330868906469593E-12</v>
      </c>
      <c r="DS114" s="59">
        <f t="shared" si="71"/>
        <v>293.33333333333752</v>
      </c>
      <c r="DT114" s="59">
        <f ca="1">AVERAGE(OFFSET($DS$3,0,0,'Données projet'!$E$14+1,1))-AVERAGE(OFFSET($H$3,0,0,'Données projet'!$E$14+1,1))</f>
        <v>207.25176714718668</v>
      </c>
      <c r="DU114" s="59">
        <f t="shared" si="98"/>
        <v>191.53228014642559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155.5897188577157</v>
      </c>
      <c r="EB114" s="21">
        <f>EXP(-LN(2)/25)*EB113+(1-EXP(-LN(2)/25))/(LN(2)/25)*Calculateur!DW114*Calculateur!DY114*VLOOKUP('Données projet'!$B$14,Paramètres!$A$1:$I$89,3,0)*0.475*44/12</f>
        <v>37.19005713750763</v>
      </c>
      <c r="EC114" s="21">
        <f>EXP(-LN(2)/2)*EC113+(1-EXP(-LN(2)/2))/(LN(2)/2)*DW114*DZ114*VLOOKUP('Données projet'!$B$14,Paramètres!$A$1:$I$89,3,0)*0.475*44/12</f>
        <v>2.7733301555190666</v>
      </c>
      <c r="ED114" s="22">
        <f t="shared" si="72"/>
        <v>195.55310615074239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-2.8421709430404007E-13</v>
      </c>
      <c r="EK114" s="17">
        <f>EJ114*VLOOKUP('Données projet'!$B$15,Paramètres!$A$1:$I$89,3,0)*VLOOKUP('Données projet'!$B$15,Paramètres!$A$1:$I$89,5,0)</f>
        <v>-1.69961822393816E-13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200.15574321350221</v>
      </c>
      <c r="EP114" s="59">
        <f t="shared" si="100"/>
        <v>200.70728852570426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47.246540725122905</v>
      </c>
      <c r="EW114" s="21">
        <f>EXP(-LN(2)/25)*EW113+(1-EXP(-LN(2)/25))/(LN(2)/25)*Calculateur!ER114*Calculateur!ET114*VLOOKUP('Données projet'!$B$15,Paramètres!$A$1:$I$89,3,0)*0.475*44/12</f>
        <v>8.7874956248329212</v>
      </c>
      <c r="EX114" s="21">
        <f>EXP(-LN(2)/2)*EX113+(1-EXP(-LN(2)/2))/(LN(2)/2)*ER114*EU114*VLOOKUP('Données projet'!$B$15,Paramètres!$A$1:$I$89,3,0)*0.475*44/12</f>
        <v>6.7356666664188675E-7</v>
      </c>
      <c r="EY114" s="22">
        <f t="shared" si="75"/>
        <v>56.034037023522494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6.8461538461538511</v>
      </c>
      <c r="FE114" s="12">
        <f>IF('Données projet'!$A$218&gt;35,FE113+FD114-FM113,IF(A114&lt;'Données projet'!$A$218,$FB$205^A114,IF(A114='Données projet'!$A$218,'Données projet'!$B$218,FE113+FD114-FM113)))</f>
        <v>302.57051282051316</v>
      </c>
      <c r="FF114" s="17">
        <f>FE114*VLOOKUP('Données projet'!$B$16,Paramètres!$A$1:$I$89,3,0)*VLOOKUP('Données projet'!$B$16,Paramètres!$A$1:$I$89,5,0)</f>
        <v>325.68690000000038</v>
      </c>
      <c r="FG114" s="13">
        <f t="shared" si="101"/>
        <v>76.535407961985811</v>
      </c>
      <c r="FH114" s="20">
        <f t="shared" si="76"/>
        <v>700.53718636712586</v>
      </c>
      <c r="FI114" s="59">
        <f t="shared" si="77"/>
        <v>993.87051970045923</v>
      </c>
      <c r="FJ114" s="59">
        <f ca="1">AVERAGE(OFFSET($FI$3,0,0,'Données projet'!$E$16+1,1))-AVERAGE(OFFSET($H$3,0,0,'Données projet'!$E$16+1,1))</f>
        <v>347.17049316703486</v>
      </c>
      <c r="FK114" s="59">
        <f t="shared" si="102"/>
        <v>255.45365487683489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68.799592141175609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68.799592141175609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7">
        <f t="shared" si="56"/>
        <v>411.1605288747175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266.02599413192075</v>
      </c>
      <c r="T115" s="59">
        <f t="shared" si="88"/>
        <v>332.94146254783254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6.8461538461538511</v>
      </c>
      <c r="AI115" s="13">
        <f>IF('Données projet'!$A$62&gt;35,AI114+AH115-AQ114,IF(A115&lt;'Données projet'!$A$62,$AF$205^A115,IF(A115='Données projet'!$A$62,'Données projet'!$B$62,AI114+AH115-AQ114)))</f>
        <v>309.41666666666703</v>
      </c>
      <c r="AJ115" s="13">
        <f>AI115*VLOOKUP('Données projet'!$B$10,Paramètres!$A$1:$I$89,3,0)*VLOOKUP('Données projet'!$B$10,Paramètres!$A$1:$I$89,5,0)</f>
        <v>279.96020000000033</v>
      </c>
      <c r="AK115" s="13">
        <f t="shared" si="89"/>
        <v>66.958597927408931</v>
      </c>
      <c r="AL115" s="20">
        <f t="shared" si="58"/>
        <v>604.2169063902378</v>
      </c>
      <c r="AM115" s="59">
        <f t="shared" si="59"/>
        <v>897.55023972357117</v>
      </c>
      <c r="AN115" s="59">
        <f ca="1">AVERAGE(OFFSET($AM$3,0,0,'Données projet'!$E$10+1,1))-AVERAGE(OFFSET($H$3,0,0,'Données projet'!$E$10+1,1))</f>
        <v>282.13645166362238</v>
      </c>
      <c r="AO115" s="59">
        <f t="shared" si="90"/>
        <v>210.5345332979457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56.697499970549259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56.697499970549259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254.6443970237226</v>
      </c>
      <c r="BJ115" s="59">
        <f t="shared" si="92"/>
        <v>231.81667808018062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91.615266276528317</v>
      </c>
      <c r="BQ115" s="21">
        <f>EXP(-LN(2)/25)*BQ114+(1-EXP(-LN(2)/25))/(LN(2)/25)*Calculateur!BL115*Calculateur!BN115*VLOOKUP('Données projet'!$B$11,Paramètres!$A$1:$I$89,3,0)*0.475*44/12</f>
        <v>17.298714579178451</v>
      </c>
      <c r="BR115" s="21">
        <f>EXP(-LN(2)/2)*BR114+(1-EXP(-LN(2)/2))/(LN(2)/2)*BL115*BO115*VLOOKUP('Données projet'!$B$11,Paramètres!$A$1:$I$89,3,0)*0.475*44/12</f>
        <v>1.8993549493962521E-5</v>
      </c>
      <c r="BS115" s="22">
        <f t="shared" si="63"/>
        <v>108.91399984925626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5.0961538461538449</v>
      </c>
      <c r="BY115" s="12">
        <f>IF('Données projet'!$A$114&gt;35,BY114+BX115-CG114,IF(A115&lt;'Données projet'!$A$114,$BV$205^A115,IF(A115='Données projet'!$A$114,'Données projet'!$B$114,BY114+BX115-CG114)))</f>
        <v>241.12179487179452</v>
      </c>
      <c r="BZ115" s="13">
        <f>BY115*VLOOKUP('Données projet'!$B$12,Paramètres!$A$1:$I$89,3,0)*VLOOKUP('Données projet'!$B$12,Paramètres!$A$1:$I$89,5,0)</f>
        <v>244.49749999999963</v>
      </c>
      <c r="CA115" s="13">
        <f t="shared" si="93"/>
        <v>59.406141432653072</v>
      </c>
      <c r="CB115" s="20">
        <f t="shared" si="64"/>
        <v>529.29884216187008</v>
      </c>
      <c r="CC115" s="59">
        <f t="shared" si="65"/>
        <v>822.63217549520346</v>
      </c>
      <c r="CD115" s="59">
        <f ca="1">AVERAGE(OFFSET($CC$3,0,0,'Données projet'!$E$12+1,1))-AVERAGE(OFFSET($H$3,0,0,'Données projet'!$E$12+1,1))</f>
        <v>264.08050363622294</v>
      </c>
      <c r="CE115" s="59">
        <f t="shared" si="94"/>
        <v>164.48884512322883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29.934474141577919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29.934474141577919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194.7221767407824</v>
      </c>
      <c r="CZ115" s="59">
        <f t="shared" si="96"/>
        <v>177.6550559568646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72.439977986092202</v>
      </c>
      <c r="DG115" s="21">
        <f>EXP(-LN(2)/25)*DG114+(1-EXP(-LN(2)/25))/(LN(2)/25)*Calculateur!DB115*Calculateur!DD115*VLOOKUP('Données projet'!$B$13,Paramètres!$A$1:$I$89,3,0)*0.475*44/12</f>
        <v>13.678053388187628</v>
      </c>
      <c r="DH115" s="21">
        <f>EXP(-LN(2)/2)*DH114+(1-EXP(-LN(2)/2))/(LN(2)/2)*DB115*DE115*VLOOKUP('Données projet'!$B$13,Paramètres!$A$1:$I$89,3,0)*0.475*44/12</f>
        <v>1.5018155413830874E-5</v>
      </c>
      <c r="DI115" s="22">
        <f t="shared" si="69"/>
        <v>86.118046392435247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3.4106051316484809E-13</v>
      </c>
      <c r="DP115" s="17">
        <f>DO115*VLOOKUP('Données projet'!$B$14,Paramètres!$A$1:$I$89,3,0)*VLOOKUP('Données projet'!$B$14,Paramètres!$A$1:$I$89,5,0)</f>
        <v>1.5961632016114892E-13</v>
      </c>
      <c r="DQ115" s="13">
        <f t="shared" si="97"/>
        <v>2.2708641912150958E-12</v>
      </c>
      <c r="DR115" s="20">
        <f t="shared" si="70"/>
        <v>4.2330868906469593E-12</v>
      </c>
      <c r="DS115" s="59">
        <f t="shared" si="71"/>
        <v>293.33333333333752</v>
      </c>
      <c r="DT115" s="59">
        <f ca="1">AVERAGE(OFFSET($DS$3,0,0,'Données projet'!$E$14+1,1))-AVERAGE(OFFSET($H$3,0,0,'Données projet'!$E$14+1,1))</f>
        <v>207.25176714718668</v>
      </c>
      <c r="DU115" s="59">
        <f t="shared" si="98"/>
        <v>191.53228014642559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152.53869937127376</v>
      </c>
      <c r="EB115" s="21">
        <f>EXP(-LN(2)/25)*EB114+(1-EXP(-LN(2)/25))/(LN(2)/25)*Calculateur!DW115*Calculateur!DY115*VLOOKUP('Données projet'!$B$14,Paramètres!$A$1:$I$89,3,0)*0.475*44/12</f>
        <v>36.173093069342379</v>
      </c>
      <c r="EC115" s="21">
        <f>EXP(-LN(2)/2)*EC114+(1-EXP(-LN(2)/2))/(LN(2)/2)*DW115*DZ115*VLOOKUP('Données projet'!$B$14,Paramètres!$A$1:$I$89,3,0)*0.475*44/12</f>
        <v>1.9610405594366747</v>
      </c>
      <c r="ED115" s="22">
        <f t="shared" si="72"/>
        <v>190.6728330000528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-2.8421709430404007E-13</v>
      </c>
      <c r="EK115" s="17">
        <f>EJ115*VLOOKUP('Données projet'!$B$15,Paramètres!$A$1:$I$89,3,0)*VLOOKUP('Données projet'!$B$15,Paramètres!$A$1:$I$89,5,0)</f>
        <v>-1.69961822393816E-13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200.15574321350221</v>
      </c>
      <c r="EP115" s="59">
        <f t="shared" si="100"/>
        <v>200.70728852570426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46.320064879047592</v>
      </c>
      <c r="EW115" s="21">
        <f>EXP(-LN(2)/25)*EW114+(1-EXP(-LN(2)/25))/(LN(2)/25)*Calculateur!ER115*Calculateur!ET115*VLOOKUP('Données projet'!$B$15,Paramètres!$A$1:$I$89,3,0)*0.475*44/12</f>
        <v>8.5472010948575541</v>
      </c>
      <c r="EX115" s="21">
        <f>EXP(-LN(2)/2)*EX114+(1-EXP(-LN(2)/2))/(LN(2)/2)*ER115*EU115*VLOOKUP('Données projet'!$B$15,Paramètres!$A$1:$I$89,3,0)*0.475*44/12</f>
        <v>4.7628355756369684E-7</v>
      </c>
      <c r="EY115" s="22">
        <f t="shared" si="75"/>
        <v>54.867266450188708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6.8461538461538511</v>
      </c>
      <c r="FE115" s="12">
        <f>IF('Données projet'!$A$218&gt;35,FE114+FD115-FM114,IF(A115&lt;'Données projet'!$A$218,$FB$205^A115,IF(A115='Données projet'!$A$218,'Données projet'!$B$218,FE114+FD115-FM114)))</f>
        <v>309.41666666666703</v>
      </c>
      <c r="FF115" s="17">
        <f>FE115*VLOOKUP('Données projet'!$B$16,Paramètres!$A$1:$I$89,3,0)*VLOOKUP('Données projet'!$B$16,Paramètres!$A$1:$I$89,5,0)</f>
        <v>333.05610000000036</v>
      </c>
      <c r="FG115" s="13">
        <f t="shared" si="101"/>
        <v>78.063574339588101</v>
      </c>
      <c r="FH115" s="20">
        <f t="shared" si="76"/>
        <v>716.03343280811657</v>
      </c>
      <c r="FI115" s="59">
        <f t="shared" si="77"/>
        <v>1009.3667661414499</v>
      </c>
      <c r="FJ115" s="59">
        <f ca="1">AVERAGE(OFFSET($FI$3,0,0,'Données projet'!$E$16+1,1))-AVERAGE(OFFSET($H$3,0,0,'Données projet'!$E$16+1,1))</f>
        <v>347.17049316703486</v>
      </c>
      <c r="FK115" s="59">
        <f t="shared" si="102"/>
        <v>255.45365487683489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67.450474102894802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67.450474102894802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7">
        <f t="shared" si="56"/>
        <v>412.1848704977586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266.02599413192075</v>
      </c>
      <c r="T116" s="59">
        <f t="shared" si="88"/>
        <v>332.94146254783254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6.8461538461538511</v>
      </c>
      <c r="AI116" s="13">
        <f>IF('Données projet'!$A$62&gt;35,AI115+AH116-AQ115,IF(A116&lt;'Données projet'!$A$62,$AF$205^A116,IF(A116='Données projet'!$A$62,'Données projet'!$B$62,AI115+AH116-AQ115)))</f>
        <v>316.26282051282089</v>
      </c>
      <c r="AJ116" s="13">
        <f>AI116*VLOOKUP('Données projet'!$B$10,Paramètres!$A$1:$I$89,3,0)*VLOOKUP('Données projet'!$B$10,Paramètres!$A$1:$I$89,5,0)</f>
        <v>286.15460000000036</v>
      </c>
      <c r="AK116" s="13">
        <f t="shared" si="89"/>
        <v>68.266002354364261</v>
      </c>
      <c r="AL116" s="20">
        <f t="shared" si="58"/>
        <v>617.28254910051839</v>
      </c>
      <c r="AM116" s="59">
        <f t="shared" si="59"/>
        <v>910.61588243385177</v>
      </c>
      <c r="AN116" s="59">
        <f ca="1">AVERAGE(OFFSET($AM$3,0,0,'Données projet'!$E$10+1,1))-AVERAGE(OFFSET($H$3,0,0,'Données projet'!$E$10+1,1))</f>
        <v>282.13645166362238</v>
      </c>
      <c r="AO116" s="59">
        <f t="shared" si="90"/>
        <v>210.5345332979457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55.585696578187076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55.585696578187076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254.6443970237226</v>
      </c>
      <c r="BJ116" s="59">
        <f t="shared" si="92"/>
        <v>231.81667808018062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89.818746784640354</v>
      </c>
      <c r="BQ116" s="21">
        <f>EXP(-LN(2)/25)*BQ115+(1-EXP(-LN(2)/25))/(LN(2)/25)*Calculateur!BL116*Calculateur!BN116*VLOOKUP('Données projet'!$B$11,Paramètres!$A$1:$I$89,3,0)*0.475*44/12</f>
        <v>16.825680319310955</v>
      </c>
      <c r="BR116" s="21">
        <f>EXP(-LN(2)/2)*BR115+(1-EXP(-LN(2)/2))/(LN(2)/2)*BL116*BO116*VLOOKUP('Données projet'!$B$11,Paramètres!$A$1:$I$89,3,0)*0.475*44/12</f>
        <v>1.3430467645983217E-5</v>
      </c>
      <c r="BS116" s="22">
        <f t="shared" si="63"/>
        <v>106.64444053441895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246.21794871794873</v>
      </c>
      <c r="BW116" s="12">
        <f>VLOOKUP(A116,'Données projet'!$A$113:$I$133,9,0)</f>
        <v>5.0961538461538449</v>
      </c>
      <c r="BX116" s="12">
        <f t="array" ref="BX116">INDEX(BW:BW,MIN(IF(ISNUMBER(BW116:BW312),ROW(BW116:BW312),"")))</f>
        <v>5.0961538461538449</v>
      </c>
      <c r="BY116" s="12">
        <f>IF('Données projet'!$A$114&gt;35,BY115+BX116-CG115,IF(A116&lt;'Données projet'!$A$114,$BV$205^A116,IF(A116='Données projet'!$A$114,'Données projet'!$B$114,BY115+BX116-CG115)))</f>
        <v>246.21794871794836</v>
      </c>
      <c r="BZ116" s="13">
        <f>BY116*VLOOKUP('Données projet'!$B$12,Paramètres!$A$1:$I$89,3,0)*VLOOKUP('Données projet'!$B$12,Paramètres!$A$1:$I$89,5,0)</f>
        <v>249.66499999999965</v>
      </c>
      <c r="CA116" s="13">
        <f t="shared" si="93"/>
        <v>60.514200047035814</v>
      </c>
      <c r="CB116" s="20">
        <f t="shared" si="64"/>
        <v>540.22877341525339</v>
      </c>
      <c r="CC116" s="59">
        <f t="shared" si="65"/>
        <v>833.56210674858676</v>
      </c>
      <c r="CD116" s="59">
        <f ca="1">AVERAGE(OFFSET($CC$3,0,0,'Données projet'!$E$12+1,1))-AVERAGE(OFFSET($H$3,0,0,'Données projet'!$E$12+1,1))</f>
        <v>264.08050363622294</v>
      </c>
      <c r="CE116" s="59">
        <f t="shared" si="94"/>
        <v>164.48884512322883</v>
      </c>
      <c r="CF116" s="15">
        <f>IF(ISNA(VLOOKUP(A116,'Données projet'!$A$113:$I$133,3,0)),0,VLOOKUP(A116,'Données projet'!$A$113:$I$133,3,0))</f>
        <v>9</v>
      </c>
      <c r="CG116" s="15">
        <f>IF(ISNA(VLOOKUP(A116,'Données projet'!$A$113:$I$133,4,0)),0,VLOOKUP(A116,'Données projet'!$A$113:$I$133,4,0))</f>
        <v>31.602564102564099</v>
      </c>
      <c r="CH116" s="16">
        <f>IF(ISNA(VLOOKUP(A116,'Données projet'!$A$113:$I$133,5,0)),0%,VLOOKUP(A116,'Données projet'!$A$113:$I$133,5,0)*VLOOKUP('Données projet'!$B$12,Paramètres!$A$1:$I$89,7,0))</f>
        <v>0.30099999999999999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40.010341653840101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40.010341653840101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194.7221767407824</v>
      </c>
      <c r="CZ116" s="59">
        <f t="shared" si="96"/>
        <v>177.6550559568646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71.019474201808691</v>
      </c>
      <c r="DG116" s="21">
        <f>EXP(-LN(2)/25)*DG115+(1-EXP(-LN(2)/25))/(LN(2)/25)*Calculateur!DB116*Calculateur!DD116*VLOOKUP('Données projet'!$B$13,Paramètres!$A$1:$I$89,3,0)*0.475*44/12</f>
        <v>13.304026298990072</v>
      </c>
      <c r="DH116" s="21">
        <f>EXP(-LN(2)/2)*DH115+(1-EXP(-LN(2)/2))/(LN(2)/2)*DB116*DE116*VLOOKUP('Données projet'!$B$13,Paramètres!$A$1:$I$89,3,0)*0.475*44/12</f>
        <v>1.0619439534033272E-5</v>
      </c>
      <c r="DI116" s="22">
        <f t="shared" si="69"/>
        <v>84.323511120238294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3.4106051316484809E-13</v>
      </c>
      <c r="DP116" s="17">
        <f>DO116*VLOOKUP('Données projet'!$B$14,Paramètres!$A$1:$I$89,3,0)*VLOOKUP('Données projet'!$B$14,Paramètres!$A$1:$I$89,5,0)</f>
        <v>1.5961632016114892E-13</v>
      </c>
      <c r="DQ116" s="13">
        <f t="shared" si="97"/>
        <v>2.2708641912150958E-12</v>
      </c>
      <c r="DR116" s="20">
        <f t="shared" si="70"/>
        <v>4.2330868906469593E-12</v>
      </c>
      <c r="DS116" s="59">
        <f t="shared" si="71"/>
        <v>293.33333333333752</v>
      </c>
      <c r="DT116" s="59">
        <f ca="1">AVERAGE(OFFSET($DS$3,0,0,'Données projet'!$E$14+1,1))-AVERAGE(OFFSET($H$3,0,0,'Données projet'!$E$14+1,1))</f>
        <v>207.25176714718668</v>
      </c>
      <c r="DU116" s="59">
        <f t="shared" si="98"/>
        <v>191.53228014642559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149.54750851602282</v>
      </c>
      <c r="EB116" s="21">
        <f>EXP(-LN(2)/25)*EB115+(1-EXP(-LN(2)/25))/(LN(2)/25)*Calculateur!DW116*Calculateur!DY116*VLOOKUP('Données projet'!$B$14,Paramètres!$A$1:$I$89,3,0)*0.475*44/12</f>
        <v>35.183937937100922</v>
      </c>
      <c r="EC116" s="21">
        <f>EXP(-LN(2)/2)*EC115+(1-EXP(-LN(2)/2))/(LN(2)/2)*DW116*DZ116*VLOOKUP('Données projet'!$B$14,Paramètres!$A$1:$I$89,3,0)*0.475*44/12</f>
        <v>1.3866650777595335</v>
      </c>
      <c r="ED116" s="22">
        <f t="shared" si="72"/>
        <v>186.11811153088328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-2.8421709430404007E-13</v>
      </c>
      <c r="EK116" s="17">
        <f>EJ116*VLOOKUP('Données projet'!$B$15,Paramètres!$A$1:$I$89,3,0)*VLOOKUP('Données projet'!$B$15,Paramètres!$A$1:$I$89,5,0)</f>
        <v>-1.69961822393816E-13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200.15574321350221</v>
      </c>
      <c r="EP116" s="59">
        <f t="shared" si="100"/>
        <v>200.70728852570426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45.41175665921935</v>
      </c>
      <c r="EW116" s="21">
        <f>EXP(-LN(2)/25)*EW115+(1-EXP(-LN(2)/25))/(LN(2)/25)*Calculateur!ER116*Calculateur!ET116*VLOOKUP('Données projet'!$B$15,Paramètres!$A$1:$I$89,3,0)*0.475*44/12</f>
        <v>8.3134774314409032</v>
      </c>
      <c r="EX116" s="21">
        <f>EXP(-LN(2)/2)*EX115+(1-EXP(-LN(2)/2))/(LN(2)/2)*ER116*EU116*VLOOKUP('Données projet'!$B$15,Paramètres!$A$1:$I$89,3,0)*0.475*44/12</f>
        <v>3.3678333332094343E-7</v>
      </c>
      <c r="EY116" s="22">
        <f t="shared" si="75"/>
        <v>53.725234427443581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6.8461538461538511</v>
      </c>
      <c r="FE116" s="12">
        <f>IF('Données projet'!$A$218&gt;35,FE115+FD116-FM115,IF(A116&lt;'Données projet'!$A$218,$FB$205^A116,IF(A116='Données projet'!$A$218,'Données projet'!$B$218,FE115+FD116-FM115)))</f>
        <v>316.26282051282089</v>
      </c>
      <c r="FF116" s="17">
        <f>FE116*VLOOKUP('Données projet'!$B$16,Paramètres!$A$1:$I$89,3,0)*VLOOKUP('Données projet'!$B$16,Paramètres!$A$1:$I$89,5,0)</f>
        <v>340.42530000000039</v>
      </c>
      <c r="FG116" s="13">
        <f t="shared" si="101"/>
        <v>79.587809700462586</v>
      </c>
      <c r="FH116" s="20">
        <f t="shared" si="76"/>
        <v>731.5228327283063</v>
      </c>
      <c r="FI116" s="59">
        <f t="shared" si="77"/>
        <v>1024.8561660616397</v>
      </c>
      <c r="FJ116" s="59">
        <f ca="1">AVERAGE(OFFSET($FI$3,0,0,'Données projet'!$E$16+1,1))-AVERAGE(OFFSET($H$3,0,0,'Données projet'!$E$16+1,1))</f>
        <v>347.17049316703486</v>
      </c>
      <c r="FK116" s="59">
        <f t="shared" si="102"/>
        <v>255.45365487683489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66.127811446463923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66.127811446463923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7">
        <f t="shared" si="56"/>
        <v>413.20899669141011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266.02599413192075</v>
      </c>
      <c r="T117" s="59">
        <f t="shared" si="88"/>
        <v>332.94146254783254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6.8461538461538511</v>
      </c>
      <c r="AI117" s="13">
        <f>IF('Données projet'!$A$62&gt;35,AI116+AH117-AQ116,IF(A117&lt;'Données projet'!$A$62,$AF$205^A117,IF(A117='Données projet'!$A$62,'Données projet'!$B$62,AI116+AH117-AQ116)))</f>
        <v>323.10897435897476</v>
      </c>
      <c r="AJ117" s="13">
        <f>AI117*VLOOKUP('Données projet'!$B$10,Paramètres!$A$1:$I$89,3,0)*VLOOKUP('Données projet'!$B$10,Paramètres!$A$1:$I$89,5,0)</f>
        <v>292.34900000000033</v>
      </c>
      <c r="AK117" s="13">
        <f t="shared" si="89"/>
        <v>69.570116369442999</v>
      </c>
      <c r="AL117" s="20">
        <f t="shared" si="58"/>
        <v>630.34246101011377</v>
      </c>
      <c r="AM117" s="59">
        <f t="shared" si="59"/>
        <v>923.67579434344702</v>
      </c>
      <c r="AN117" s="59">
        <f ca="1">AVERAGE(OFFSET($AM$3,0,0,'Données projet'!$E$10+1,1))-AVERAGE(OFFSET($H$3,0,0,'Données projet'!$E$10+1,1))</f>
        <v>282.13645166362238</v>
      </c>
      <c r="AO117" s="59">
        <f t="shared" si="90"/>
        <v>210.5345332979457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54.495694972216008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54.495694972216008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254.6443970237226</v>
      </c>
      <c r="BJ117" s="59">
        <f t="shared" si="92"/>
        <v>231.81667808018062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88.057455944219626</v>
      </c>
      <c r="BQ117" s="21">
        <f>EXP(-LN(2)/25)*BQ116+(1-EXP(-LN(2)/25))/(LN(2)/25)*Calculateur!BL117*Calculateur!BN117*VLOOKUP('Données projet'!$B$11,Paramètres!$A$1:$I$89,3,0)*0.475*44/12</f>
        <v>16.365581206155323</v>
      </c>
      <c r="BR117" s="21">
        <f>EXP(-LN(2)/2)*BR116+(1-EXP(-LN(2)/2))/(LN(2)/2)*BL117*BO117*VLOOKUP('Données projet'!$B$11,Paramètres!$A$1:$I$89,3,0)*0.475*44/12</f>
        <v>9.4967747469812605E-6</v>
      </c>
      <c r="BS117" s="22">
        <f t="shared" si="63"/>
        <v>104.4230466471497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5.3066239316239274</v>
      </c>
      <c r="BY117" s="12">
        <f>IF('Données projet'!$A$114&gt;35,BY116+BX117-CG116,IF(A117&lt;'Données projet'!$A$114,$BV$205^A117,IF(A117='Données projet'!$A$114,'Données projet'!$B$114,BY116+BX117-CG116)))</f>
        <v>219.9220085470082</v>
      </c>
      <c r="BZ117" s="13">
        <f>BY117*VLOOKUP('Données projet'!$B$12,Paramètres!$A$1:$I$89,3,0)*VLOOKUP('Données projet'!$B$12,Paramètres!$A$1:$I$89,5,0)</f>
        <v>223.00091666666631</v>
      </c>
      <c r="CA117" s="13">
        <f t="shared" si="93"/>
        <v>54.766604945604634</v>
      </c>
      <c r="CB117" s="20">
        <f t="shared" si="64"/>
        <v>483.77843347470525</v>
      </c>
      <c r="CC117" s="59">
        <f t="shared" si="65"/>
        <v>777.11176680803851</v>
      </c>
      <c r="CD117" s="59">
        <f ca="1">AVERAGE(OFFSET($CC$3,0,0,'Données projet'!$E$12+1,1))-AVERAGE(OFFSET($H$3,0,0,'Données projet'!$E$12+1,1))</f>
        <v>264.08050363622294</v>
      </c>
      <c r="CE117" s="59">
        <f t="shared" si="94"/>
        <v>164.48884512322883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39.225763257907019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39.225763257907019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194.7221767407824</v>
      </c>
      <c r="CZ117" s="59">
        <f t="shared" si="96"/>
        <v>177.6550559568646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69.626825630313235</v>
      </c>
      <c r="DG117" s="21">
        <f>EXP(-LN(2)/25)*DG116+(1-EXP(-LN(2)/25))/(LN(2)/25)*Calculateur!DB117*Calculateur!DD117*VLOOKUP('Données projet'!$B$13,Paramètres!$A$1:$I$89,3,0)*0.475*44/12</f>
        <v>12.940227000215852</v>
      </c>
      <c r="DH117" s="21">
        <f>EXP(-LN(2)/2)*DH116+(1-EXP(-LN(2)/2))/(LN(2)/2)*DB117*DE117*VLOOKUP('Données projet'!$B$13,Paramètres!$A$1:$I$89,3,0)*0.475*44/12</f>
        <v>7.5090777069154377E-6</v>
      </c>
      <c r="DI117" s="22">
        <f t="shared" si="69"/>
        <v>82.567060139606795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3.4106051316484809E-13</v>
      </c>
      <c r="DP117" s="17">
        <f>DO117*VLOOKUP('Données projet'!$B$14,Paramètres!$A$1:$I$89,3,0)*VLOOKUP('Données projet'!$B$14,Paramètres!$A$1:$I$89,5,0)</f>
        <v>1.5961632016114892E-13</v>
      </c>
      <c r="DQ117" s="13">
        <f t="shared" si="97"/>
        <v>2.2708641912150958E-12</v>
      </c>
      <c r="DR117" s="20">
        <f t="shared" si="70"/>
        <v>4.2330868906469593E-12</v>
      </c>
      <c r="DS117" s="59">
        <f t="shared" si="71"/>
        <v>293.33333333333752</v>
      </c>
      <c r="DT117" s="59">
        <f ca="1">AVERAGE(OFFSET($DS$3,0,0,'Données projet'!$E$14+1,1))-AVERAGE(OFFSET($H$3,0,0,'Données projet'!$E$14+1,1))</f>
        <v>207.25176714718668</v>
      </c>
      <c r="DU117" s="59">
        <f t="shared" si="98"/>
        <v>191.53228014642559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146.61497308899706</v>
      </c>
      <c r="EB117" s="21">
        <f>EXP(-LN(2)/25)*EB116+(1-EXP(-LN(2)/25))/(LN(2)/25)*Calculateur!DW117*Calculateur!DY117*VLOOKUP('Données projet'!$B$14,Paramètres!$A$1:$I$89,3,0)*0.475*44/12</f>
        <v>34.221831303968017</v>
      </c>
      <c r="EC117" s="21">
        <f>EXP(-LN(2)/2)*EC116+(1-EXP(-LN(2)/2))/(LN(2)/2)*DW117*DZ117*VLOOKUP('Données projet'!$B$14,Paramètres!$A$1:$I$89,3,0)*0.475*44/12</f>
        <v>0.98052027971833744</v>
      </c>
      <c r="ED117" s="22">
        <f t="shared" si="72"/>
        <v>181.81732467268341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-2.8421709430404007E-13</v>
      </c>
      <c r="EK117" s="17">
        <f>EJ117*VLOOKUP('Données projet'!$B$15,Paramètres!$A$1:$I$89,3,0)*VLOOKUP('Données projet'!$B$15,Paramètres!$A$1:$I$89,5,0)</f>
        <v>-1.69961822393816E-13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200.15574321350221</v>
      </c>
      <c r="EP117" s="59">
        <f t="shared" si="100"/>
        <v>200.70728852570426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44.521259809568626</v>
      </c>
      <c r="EW117" s="21">
        <f>EXP(-LN(2)/25)*EW116+(1-EXP(-LN(2)/25))/(LN(2)/25)*Calculateur!ER117*Calculateur!ET117*VLOOKUP('Données projet'!$B$15,Paramètres!$A$1:$I$89,3,0)*0.475*44/12</f>
        <v>8.0861449538913739</v>
      </c>
      <c r="EX117" s="21">
        <f>EXP(-LN(2)/2)*EX116+(1-EXP(-LN(2)/2))/(LN(2)/2)*ER117*EU117*VLOOKUP('Données projet'!$B$15,Paramètres!$A$1:$I$89,3,0)*0.475*44/12</f>
        <v>2.3814177878184847E-7</v>
      </c>
      <c r="EY117" s="22">
        <f t="shared" si="75"/>
        <v>52.607405001601776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6.8461538461538511</v>
      </c>
      <c r="FE117" s="12">
        <f>IF('Données projet'!$A$218&gt;35,FE116+FD117-FM116,IF(A117&lt;'Données projet'!$A$218,$FB$205^A117,IF(A117='Données projet'!$A$218,'Données projet'!$B$218,FE116+FD117-FM116)))</f>
        <v>323.10897435897476</v>
      </c>
      <c r="FF117" s="17">
        <f>FE117*VLOOKUP('Données projet'!$B$16,Paramètres!$A$1:$I$89,3,0)*VLOOKUP('Données projet'!$B$16,Paramètres!$A$1:$I$89,5,0)</f>
        <v>347.79450000000043</v>
      </c>
      <c r="FG117" s="13">
        <f t="shared" si="101"/>
        <v>81.108208939911421</v>
      </c>
      <c r="FH117" s="20">
        <f t="shared" si="76"/>
        <v>747.00555140367976</v>
      </c>
      <c r="FI117" s="59">
        <f t="shared" si="77"/>
        <v>1040.3388847370131</v>
      </c>
      <c r="FJ117" s="59">
        <f ca="1">AVERAGE(OFFSET($FI$3,0,0,'Données projet'!$E$16+1,1))-AVERAGE(OFFSET($H$3,0,0,'Données projet'!$E$16+1,1))</f>
        <v>347.17049316703486</v>
      </c>
      <c r="FK117" s="59">
        <f t="shared" si="102"/>
        <v>255.45365487683489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64.831085397981099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64.831085397981099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7">
        <f t="shared" si="56"/>
        <v>414.2329095643459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266.02599413192075</v>
      </c>
      <c r="T118" s="59">
        <f t="shared" si="88"/>
        <v>332.94146254783254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6.8461538461538511</v>
      </c>
      <c r="AI118" s="13">
        <f>IF('Données projet'!$A$62&gt;35,AI117+AH118-AQ117,IF(A118&lt;'Données projet'!$A$62,$AF$205^A118,IF(A118='Données projet'!$A$62,'Données projet'!$B$62,AI117+AH118-AQ117)))</f>
        <v>329.95512820512863</v>
      </c>
      <c r="AJ118" s="13">
        <f>AI118*VLOOKUP('Données projet'!$B$10,Paramètres!$A$1:$I$89,3,0)*VLOOKUP('Données projet'!$B$10,Paramètres!$A$1:$I$89,5,0)</f>
        <v>298.54340000000036</v>
      </c>
      <c r="AK118" s="13">
        <f t="shared" si="89"/>
        <v>70.871017722198957</v>
      </c>
      <c r="AL118" s="20">
        <f t="shared" si="58"/>
        <v>643.39677753283047</v>
      </c>
      <c r="AM118" s="59">
        <f t="shared" si="59"/>
        <v>936.73011086616384</v>
      </c>
      <c r="AN118" s="59">
        <f ca="1">AVERAGE(OFFSET($AM$3,0,0,'Données projet'!$E$10+1,1))-AVERAGE(OFFSET($H$3,0,0,'Données projet'!$E$10+1,1))</f>
        <v>282.13645166362238</v>
      </c>
      <c r="AO118" s="59">
        <f t="shared" si="90"/>
        <v>210.5345332979457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53.427067632902698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53.427067632902698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254.6443970237226</v>
      </c>
      <c r="BJ118" s="59">
        <f t="shared" si="92"/>
        <v>231.81667808018062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86.330702942898213</v>
      </c>
      <c r="BQ118" s="21">
        <f>EXP(-LN(2)/25)*BQ117+(1-EXP(-LN(2)/25))/(LN(2)/25)*Calculateur!BL118*Calculateur!BN118*VLOOKUP('Données projet'!$B$11,Paramètres!$A$1:$I$89,3,0)*0.475*44/12</f>
        <v>15.918063527444493</v>
      </c>
      <c r="BR118" s="21">
        <f>EXP(-LN(2)/2)*BR117+(1-EXP(-LN(2)/2))/(LN(2)/2)*BL118*BO118*VLOOKUP('Données projet'!$B$11,Paramètres!$A$1:$I$89,3,0)*0.475*44/12</f>
        <v>6.7152338229916085E-6</v>
      </c>
      <c r="BS118" s="22">
        <f t="shared" si="63"/>
        <v>102.24877318557652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5.3066239316239274</v>
      </c>
      <c r="BY118" s="12">
        <f>IF('Données projet'!$A$114&gt;35,BY117+BX118-CG117,IF(A118&lt;'Données projet'!$A$114,$BV$205^A118,IF(A118='Données projet'!$A$114,'Données projet'!$B$114,BY117+BX118-CG117)))</f>
        <v>225.22863247863214</v>
      </c>
      <c r="BZ118" s="13">
        <f>BY118*VLOOKUP('Données projet'!$B$12,Paramètres!$A$1:$I$89,3,0)*VLOOKUP('Données projet'!$B$12,Paramètres!$A$1:$I$89,5,0)</f>
        <v>228.38183333333299</v>
      </c>
      <c r="CA118" s="13">
        <f t="shared" si="93"/>
        <v>55.932652422184837</v>
      </c>
      <c r="CB118" s="20">
        <f t="shared" si="64"/>
        <v>495.18106269086019</v>
      </c>
      <c r="CC118" s="59">
        <f t="shared" si="65"/>
        <v>788.5143960241935</v>
      </c>
      <c r="CD118" s="59">
        <f ca="1">AVERAGE(OFFSET($CC$3,0,0,'Données projet'!$E$12+1,1))-AVERAGE(OFFSET($H$3,0,0,'Données projet'!$E$12+1,1))</f>
        <v>264.08050363622294</v>
      </c>
      <c r="CE118" s="59">
        <f t="shared" si="94"/>
        <v>164.48884512322883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38.456569965772616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38.456569965772616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194.7221767407824</v>
      </c>
      <c r="CZ118" s="59">
        <f t="shared" si="96"/>
        <v>177.6550559568646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68.261486047873049</v>
      </c>
      <c r="DG118" s="21">
        <f>EXP(-LN(2)/25)*DG117+(1-EXP(-LN(2)/25))/(LN(2)/25)*Calculateur!DB118*Calculateur!DD118*VLOOKUP('Données projet'!$B$13,Paramètres!$A$1:$I$89,3,0)*0.475*44/12</f>
        <v>12.586375812397987</v>
      </c>
      <c r="DH118" s="21">
        <f>EXP(-LN(2)/2)*DH117+(1-EXP(-LN(2)/2))/(LN(2)/2)*DB118*DE118*VLOOKUP('Données projet'!$B$13,Paramètres!$A$1:$I$89,3,0)*0.475*44/12</f>
        <v>5.309719767016637E-6</v>
      </c>
      <c r="DI118" s="22">
        <f t="shared" si="69"/>
        <v>80.847867169990806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3.4106051316484809E-13</v>
      </c>
      <c r="DP118" s="17">
        <f>DO118*VLOOKUP('Données projet'!$B$14,Paramètres!$A$1:$I$89,3,0)*VLOOKUP('Données projet'!$B$14,Paramètres!$A$1:$I$89,5,0)</f>
        <v>1.5961632016114892E-13</v>
      </c>
      <c r="DQ118" s="13">
        <f t="shared" si="97"/>
        <v>2.2708641912150958E-12</v>
      </c>
      <c r="DR118" s="20">
        <f t="shared" si="70"/>
        <v>4.2330868906469593E-12</v>
      </c>
      <c r="DS118" s="59">
        <f t="shared" si="71"/>
        <v>293.33333333333752</v>
      </c>
      <c r="DT118" s="59">
        <f ca="1">AVERAGE(OFFSET($DS$3,0,0,'Données projet'!$E$14+1,1))-AVERAGE(OFFSET($H$3,0,0,'Données projet'!$E$14+1,1))</f>
        <v>207.25176714718668</v>
      </c>
      <c r="DU118" s="59">
        <f t="shared" si="98"/>
        <v>191.53228014642559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143.7399428930253</v>
      </c>
      <c r="EB118" s="21">
        <f>EXP(-LN(2)/25)*EB117+(1-EXP(-LN(2)/25))/(LN(2)/25)*Calculateur!DW118*Calculateur!DY118*VLOOKUP('Données projet'!$B$14,Paramètres!$A$1:$I$89,3,0)*0.475*44/12</f>
        <v>33.286033527313116</v>
      </c>
      <c r="EC118" s="21">
        <f>EXP(-LN(2)/2)*EC117+(1-EXP(-LN(2)/2))/(LN(2)/2)*DW118*DZ118*VLOOKUP('Données projet'!$B$14,Paramètres!$A$1:$I$89,3,0)*0.475*44/12</f>
        <v>0.69333253887976687</v>
      </c>
      <c r="ED118" s="22">
        <f t="shared" si="72"/>
        <v>177.71930895921818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-2.8421709430404007E-13</v>
      </c>
      <c r="EK118" s="17">
        <f>EJ118*VLOOKUP('Données projet'!$B$15,Paramètres!$A$1:$I$89,3,0)*VLOOKUP('Données projet'!$B$15,Paramètres!$A$1:$I$89,5,0)</f>
        <v>-1.69961822393816E-13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200.15574321350221</v>
      </c>
      <c r="EP118" s="59">
        <f t="shared" si="100"/>
        <v>200.70728852570426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43.648225059990111</v>
      </c>
      <c r="EW118" s="21">
        <f>EXP(-LN(2)/25)*EW117+(1-EXP(-LN(2)/25))/(LN(2)/25)*Calculateur!ER118*Calculateur!ET118*VLOOKUP('Données projet'!$B$15,Paramètres!$A$1:$I$89,3,0)*0.475*44/12</f>
        <v>7.8650288948953326</v>
      </c>
      <c r="EX118" s="21">
        <f>EXP(-LN(2)/2)*EX117+(1-EXP(-LN(2)/2))/(LN(2)/2)*ER118*EU118*VLOOKUP('Données projet'!$B$15,Paramètres!$A$1:$I$89,3,0)*0.475*44/12</f>
        <v>1.6839166666047174E-7</v>
      </c>
      <c r="EY118" s="22">
        <f t="shared" si="75"/>
        <v>51.513254123277108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6.8461538461538511</v>
      </c>
      <c r="FE118" s="12">
        <f>IF('Données projet'!$A$218&gt;35,FE117+FD118-FM117,IF(A118&lt;'Données projet'!$A$218,$FB$205^A118,IF(A118='Données projet'!$A$218,'Données projet'!$B$218,FE117+FD118-FM117)))</f>
        <v>329.95512820512863</v>
      </c>
      <c r="FF118" s="17">
        <f>FE118*VLOOKUP('Données projet'!$B$16,Paramètres!$A$1:$I$89,3,0)*VLOOKUP('Données projet'!$B$16,Paramètres!$A$1:$I$89,5,0)</f>
        <v>355.16370000000046</v>
      </c>
      <c r="FG118" s="13">
        <f t="shared" si="101"/>
        <v>82.624862702127828</v>
      </c>
      <c r="FH118" s="20">
        <f t="shared" si="76"/>
        <v>762.48174670620676</v>
      </c>
      <c r="FI118" s="59">
        <f t="shared" si="77"/>
        <v>1055.8150800395401</v>
      </c>
      <c r="FJ118" s="59">
        <f ca="1">AVERAGE(OFFSET($FI$3,0,0,'Données projet'!$E$16+1,1))-AVERAGE(OFFSET($H$3,0,0,'Données projet'!$E$16+1,1))</f>
        <v>347.17049316703486</v>
      </c>
      <c r="FK118" s="59">
        <f t="shared" si="102"/>
        <v>255.45365487683489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63.559787356384227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63.559787356384227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7">
        <f t="shared" si="56"/>
        <v>415.2566111864511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266.02599413192075</v>
      </c>
      <c r="T119" s="59">
        <f t="shared" si="88"/>
        <v>332.94146254783254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6.8461538461538511</v>
      </c>
      <c r="AI119" s="13">
        <f>IF('Données projet'!$A$62&gt;35,AI118+AH119-AQ118,IF(A119&lt;'Données projet'!$A$62,$AF$205^A119,IF(A119='Données projet'!$A$62,'Données projet'!$B$62,AI118+AH119-AQ118)))</f>
        <v>336.8012820512825</v>
      </c>
      <c r="AJ119" s="13">
        <f>AI119*VLOOKUP('Données projet'!$B$10,Paramètres!$A$1:$I$89,3,0)*VLOOKUP('Données projet'!$B$10,Paramètres!$A$1:$I$89,5,0)</f>
        <v>304.73780000000039</v>
      </c>
      <c r="AK119" s="13">
        <f t="shared" si="89"/>
        <v>72.168780751383139</v>
      </c>
      <c r="AL119" s="20">
        <f t="shared" si="58"/>
        <v>656.4456281419931</v>
      </c>
      <c r="AM119" s="59">
        <f t="shared" si="59"/>
        <v>949.77896147532647</v>
      </c>
      <c r="AN119" s="59">
        <f ca="1">AVERAGE(OFFSET($AM$3,0,0,'Données projet'!$E$10+1,1))-AVERAGE(OFFSET($H$3,0,0,'Données projet'!$E$10+1,1))</f>
        <v>282.13645166362238</v>
      </c>
      <c r="AO119" s="59">
        <f t="shared" si="90"/>
        <v>210.5345332979457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52.379395423915007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52.379395423915007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254.6443970237226</v>
      </c>
      <c r="BJ119" s="59">
        <f t="shared" si="92"/>
        <v>231.81667808018062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84.637810514717373</v>
      </c>
      <c r="BQ119" s="21">
        <f>EXP(-LN(2)/25)*BQ118+(1-EXP(-LN(2)/25))/(LN(2)/25)*Calculateur!BL119*Calculateur!BN119*VLOOKUP('Données projet'!$B$11,Paramètres!$A$1:$I$89,3,0)*0.475*44/12</f>
        <v>15.482783243191944</v>
      </c>
      <c r="BR119" s="21">
        <f>EXP(-LN(2)/2)*BR118+(1-EXP(-LN(2)/2))/(LN(2)/2)*BL119*BO119*VLOOKUP('Données projet'!$B$11,Paramètres!$A$1:$I$89,3,0)*0.475*44/12</f>
        <v>4.7483873734906303E-6</v>
      </c>
      <c r="BS119" s="22">
        <f t="shared" si="63"/>
        <v>100.12059850629669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5.3066239316239274</v>
      </c>
      <c r="BY119" s="12">
        <f>IF('Données projet'!$A$114&gt;35,BY118+BX119-CG118,IF(A119&lt;'Données projet'!$A$114,$BV$205^A119,IF(A119='Données projet'!$A$114,'Données projet'!$B$114,BY118+BX119-CG118)))</f>
        <v>230.53525641025607</v>
      </c>
      <c r="BZ119" s="13">
        <f>BY119*VLOOKUP('Données projet'!$B$12,Paramètres!$A$1:$I$89,3,0)*VLOOKUP('Données projet'!$B$12,Paramètres!$A$1:$I$89,5,0)</f>
        <v>233.76274999999964</v>
      </c>
      <c r="CA119" s="13">
        <f t="shared" si="93"/>
        <v>57.095506074599044</v>
      </c>
      <c r="CB119" s="20">
        <f t="shared" si="64"/>
        <v>506.57812932992596</v>
      </c>
      <c r="CC119" s="59">
        <f t="shared" si="65"/>
        <v>799.91146266325927</v>
      </c>
      <c r="CD119" s="59">
        <f ca="1">AVERAGE(OFFSET($CC$3,0,0,'Données projet'!$E$12+1,1))-AVERAGE(OFFSET($H$3,0,0,'Données projet'!$E$12+1,1))</f>
        <v>264.08050363622294</v>
      </c>
      <c r="CE119" s="59">
        <f t="shared" si="94"/>
        <v>164.48884512322883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37.702460084935389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37.702460084935389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194.7221767407824</v>
      </c>
      <c r="CZ119" s="59">
        <f t="shared" si="96"/>
        <v>177.6550559568646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66.922919941869594</v>
      </c>
      <c r="DG119" s="21">
        <f>EXP(-LN(2)/25)*DG118+(1-EXP(-LN(2)/25))/(LN(2)/25)*Calculateur!DB119*Calculateur!DD119*VLOOKUP('Données projet'!$B$13,Paramètres!$A$1:$I$89,3,0)*0.475*44/12</f>
        <v>12.242200703919227</v>
      </c>
      <c r="DH119" s="21">
        <f>EXP(-LN(2)/2)*DH118+(1-EXP(-LN(2)/2))/(LN(2)/2)*DB119*DE119*VLOOKUP('Données projet'!$B$13,Paramètres!$A$1:$I$89,3,0)*0.475*44/12</f>
        <v>3.7545388534577197E-6</v>
      </c>
      <c r="DI119" s="22">
        <f t="shared" si="69"/>
        <v>79.16512440032767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3.4106051316484809E-13</v>
      </c>
      <c r="DP119" s="17">
        <f>DO119*VLOOKUP('Données projet'!$B$14,Paramètres!$A$1:$I$89,3,0)*VLOOKUP('Données projet'!$B$14,Paramètres!$A$1:$I$89,5,0)</f>
        <v>1.5961632016114892E-13</v>
      </c>
      <c r="DQ119" s="13">
        <f t="shared" si="97"/>
        <v>2.2708641912150958E-12</v>
      </c>
      <c r="DR119" s="20">
        <f t="shared" si="70"/>
        <v>4.2330868906469593E-12</v>
      </c>
      <c r="DS119" s="59">
        <f t="shared" si="71"/>
        <v>293.33333333333752</v>
      </c>
      <c r="DT119" s="59">
        <f ca="1">AVERAGE(OFFSET($DS$3,0,0,'Données projet'!$E$14+1,1))-AVERAGE(OFFSET($H$3,0,0,'Données projet'!$E$14+1,1))</f>
        <v>207.25176714718668</v>
      </c>
      <c r="DU119" s="59">
        <f t="shared" si="98"/>
        <v>191.53228014642559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140.92129028560129</v>
      </c>
      <c r="EB119" s="21">
        <f>EXP(-LN(2)/25)*EB118+(1-EXP(-LN(2)/25))/(LN(2)/25)*Calculateur!DW119*Calculateur!DY119*VLOOKUP('Données projet'!$B$14,Paramètres!$A$1:$I$89,3,0)*0.475*44/12</f>
        <v>32.375825190072312</v>
      </c>
      <c r="EC119" s="21">
        <f>EXP(-LN(2)/2)*EC118+(1-EXP(-LN(2)/2))/(LN(2)/2)*DW119*DZ119*VLOOKUP('Données projet'!$B$14,Paramètres!$A$1:$I$89,3,0)*0.475*44/12</f>
        <v>0.49026013985916878</v>
      </c>
      <c r="ED119" s="22">
        <f t="shared" si="72"/>
        <v>173.78737561553277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-2.8421709430404007E-13</v>
      </c>
      <c r="EK119" s="17">
        <f>EJ119*VLOOKUP('Données projet'!$B$15,Paramètres!$A$1:$I$89,3,0)*VLOOKUP('Données projet'!$B$15,Paramètres!$A$1:$I$89,5,0)</f>
        <v>-1.69961822393816E-13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200.15574321350221</v>
      </c>
      <c r="EP119" s="59">
        <f t="shared" si="100"/>
        <v>200.70728852570426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42.792309989352212</v>
      </c>
      <c r="EW119" s="21">
        <f>EXP(-LN(2)/25)*EW118+(1-EXP(-LN(2)/25))/(LN(2)/25)*Calculateur!ER119*Calculateur!ET119*VLOOKUP('Données projet'!$B$15,Paramètres!$A$1:$I$89,3,0)*0.475*44/12</f>
        <v>7.6499592661605256</v>
      </c>
      <c r="EX119" s="21">
        <f>EXP(-LN(2)/2)*EX118+(1-EXP(-LN(2)/2))/(LN(2)/2)*ER119*EU119*VLOOKUP('Données projet'!$B$15,Paramètres!$A$1:$I$89,3,0)*0.475*44/12</f>
        <v>1.1907088939092425E-7</v>
      </c>
      <c r="EY119" s="22">
        <f t="shared" si="75"/>
        <v>50.442269374583631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6.8461538461538511</v>
      </c>
      <c r="FE119" s="12">
        <f>IF('Données projet'!$A$218&gt;35,FE118+FD119-FM118,IF(A119&lt;'Données projet'!$A$218,$FB$205^A119,IF(A119='Données projet'!$A$218,'Données projet'!$B$218,FE118+FD119-FM118)))</f>
        <v>336.8012820512825</v>
      </c>
      <c r="FF119" s="17">
        <f>FE119*VLOOKUP('Données projet'!$B$16,Paramètres!$A$1:$I$89,3,0)*VLOOKUP('Données projet'!$B$16,Paramètres!$A$1:$I$89,5,0)</f>
        <v>362.53290000000044</v>
      </c>
      <c r="FG119" s="13">
        <f t="shared" si="101"/>
        <v>84.13785765482551</v>
      </c>
      <c r="FH119" s="20">
        <f t="shared" si="76"/>
        <v>777.95156958215512</v>
      </c>
      <c r="FI119" s="59">
        <f t="shared" si="77"/>
        <v>1071.2849029154884</v>
      </c>
      <c r="FJ119" s="59">
        <f ca="1">AVERAGE(OFFSET($FI$3,0,0,'Données projet'!$E$16+1,1))-AVERAGE(OFFSET($H$3,0,0,'Données projet'!$E$16+1,1))</f>
        <v>347.17049316703486</v>
      </c>
      <c r="FK119" s="59">
        <f t="shared" si="102"/>
        <v>255.45365487683489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62.313418693967833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62.313418693967833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7">
        <f t="shared" si="56"/>
        <v>416.28010358986359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266.02599413192075</v>
      </c>
      <c r="T120" s="59">
        <f t="shared" si="88"/>
        <v>332.94146254783254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6.8461538461538511</v>
      </c>
      <c r="AI120" s="13">
        <f>IF('Données projet'!$A$62&gt;35,AI119+AH120-AQ119,IF(A120&lt;'Données projet'!$A$62,$AF$205^A120,IF(A120='Données projet'!$A$62,'Données projet'!$B$62,AI119+AH120-AQ119)))</f>
        <v>343.64743589743637</v>
      </c>
      <c r="AJ120" s="13">
        <f>AI120*VLOOKUP('Données projet'!$B$10,Paramètres!$A$1:$I$89,3,0)*VLOOKUP('Données projet'!$B$10,Paramètres!$A$1:$I$89,5,0)</f>
        <v>310.93220000000042</v>
      </c>
      <c r="AK120" s="13">
        <f t="shared" si="89"/>
        <v>73.463476600811546</v>
      </c>
      <c r="AL120" s="20">
        <f t="shared" si="58"/>
        <v>669.48913674641415</v>
      </c>
      <c r="AM120" s="59">
        <f t="shared" si="59"/>
        <v>962.82247007974752</v>
      </c>
      <c r="AN120" s="59">
        <f ca="1">AVERAGE(OFFSET($AM$3,0,0,'Données projet'!$E$10+1,1))-AVERAGE(OFFSET($H$3,0,0,'Données projet'!$E$10+1,1))</f>
        <v>282.13645166362238</v>
      </c>
      <c r="AO120" s="59">
        <f t="shared" si="90"/>
        <v>210.5345332979457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51.352267427928609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51.352267427928609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254.6443970237226</v>
      </c>
      <c r="BJ120" s="59">
        <f t="shared" si="92"/>
        <v>231.81667808018062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82.97811467449074</v>
      </c>
      <c r="BQ120" s="21">
        <f>EXP(-LN(2)/25)*BQ119+(1-EXP(-LN(2)/25))/(LN(2)/25)*Calculateur!BL120*Calculateur!BN120*VLOOKUP('Données projet'!$B$11,Paramètres!$A$1:$I$89,3,0)*0.475*44/12</f>
        <v>15.059405721202676</v>
      </c>
      <c r="BR120" s="21">
        <f>EXP(-LN(2)/2)*BR119+(1-EXP(-LN(2)/2))/(LN(2)/2)*BL120*BO120*VLOOKUP('Données projet'!$B$11,Paramètres!$A$1:$I$89,3,0)*0.475*44/12</f>
        <v>3.3576169114958043E-6</v>
      </c>
      <c r="BS120" s="22">
        <f t="shared" si="63"/>
        <v>98.037523753310325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5.3066239316239274</v>
      </c>
      <c r="BY120" s="12">
        <f>IF('Données projet'!$A$114&gt;35,BY119+BX120-CG119,IF(A120&lt;'Données projet'!$A$114,$BV$205^A120,IF(A120='Données projet'!$A$114,'Données projet'!$B$114,BY119+BX120-CG119)))</f>
        <v>235.84188034188</v>
      </c>
      <c r="BZ120" s="13">
        <f>BY120*VLOOKUP('Données projet'!$B$12,Paramètres!$A$1:$I$89,3,0)*VLOOKUP('Données projet'!$B$12,Paramètres!$A$1:$I$89,5,0)</f>
        <v>239.14366666666635</v>
      </c>
      <c r="CA120" s="13">
        <f t="shared" si="93"/>
        <v>58.255247882792112</v>
      </c>
      <c r="CB120" s="20">
        <f t="shared" si="64"/>
        <v>517.96977617364007</v>
      </c>
      <c r="CC120" s="59">
        <f t="shared" si="65"/>
        <v>811.30310950697344</v>
      </c>
      <c r="CD120" s="59">
        <f ca="1">AVERAGE(OFFSET($CC$3,0,0,'Données projet'!$E$12+1,1))-AVERAGE(OFFSET($H$3,0,0,'Données projet'!$E$12+1,1))</f>
        <v>264.08050363622294</v>
      </c>
      <c r="CE120" s="59">
        <f t="shared" si="94"/>
        <v>164.48884512322883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36.963137838899769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36.963137838899769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194.7221767407824</v>
      </c>
      <c r="CZ120" s="59">
        <f t="shared" si="96"/>
        <v>177.6550559568646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65.610602300760164</v>
      </c>
      <c r="DG120" s="21">
        <f>EXP(-LN(2)/25)*DG119+(1-EXP(-LN(2)/25))/(LN(2)/25)*Calculateur!DB120*Calculateur!DD120*VLOOKUP('Données projet'!$B$13,Paramètres!$A$1:$I$89,3,0)*0.475*44/12</f>
        <v>11.9074370818812</v>
      </c>
      <c r="DH120" s="21">
        <f>EXP(-LN(2)/2)*DH119+(1-EXP(-LN(2)/2))/(LN(2)/2)*DB120*DE120*VLOOKUP('Données projet'!$B$13,Paramètres!$A$1:$I$89,3,0)*0.475*44/12</f>
        <v>2.6548598835083189E-6</v>
      </c>
      <c r="DI120" s="22">
        <f t="shared" si="69"/>
        <v>77.518042037501246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3.4106051316484809E-13</v>
      </c>
      <c r="DP120" s="17">
        <f>DO120*VLOOKUP('Données projet'!$B$14,Paramètres!$A$1:$I$89,3,0)*VLOOKUP('Données projet'!$B$14,Paramètres!$A$1:$I$89,5,0)</f>
        <v>1.5961632016114892E-13</v>
      </c>
      <c r="DQ120" s="13">
        <f t="shared" si="97"/>
        <v>2.2708641912150958E-12</v>
      </c>
      <c r="DR120" s="20">
        <f t="shared" si="70"/>
        <v>4.2330868906469593E-12</v>
      </c>
      <c r="DS120" s="59">
        <f t="shared" si="71"/>
        <v>293.33333333333752</v>
      </c>
      <c r="DT120" s="59">
        <f ca="1">AVERAGE(OFFSET($DS$3,0,0,'Données projet'!$E$14+1,1))-AVERAGE(OFFSET($H$3,0,0,'Données projet'!$E$14+1,1))</f>
        <v>207.25176714718668</v>
      </c>
      <c r="DU120" s="59">
        <f t="shared" si="98"/>
        <v>191.53228014642559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138.15790973660052</v>
      </c>
      <c r="EB120" s="21">
        <f>EXP(-LN(2)/25)*EB119+(1-EXP(-LN(2)/25))/(LN(2)/25)*Calculateur!DW120*Calculateur!DY120*VLOOKUP('Données projet'!$B$14,Paramètres!$A$1:$I$89,3,0)*0.475*44/12</f>
        <v>31.490506547679136</v>
      </c>
      <c r="EC120" s="21">
        <f>EXP(-LN(2)/2)*EC119+(1-EXP(-LN(2)/2))/(LN(2)/2)*DW120*DZ120*VLOOKUP('Données projet'!$B$14,Paramètres!$A$1:$I$89,3,0)*0.475*44/12</f>
        <v>0.34666626943988349</v>
      </c>
      <c r="ED120" s="22">
        <f t="shared" si="72"/>
        <v>169.99508255371953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-2.8421709430404007E-13</v>
      </c>
      <c r="EK120" s="17">
        <f>EJ120*VLOOKUP('Données projet'!$B$15,Paramètres!$A$1:$I$89,3,0)*VLOOKUP('Données projet'!$B$15,Paramètres!$A$1:$I$89,5,0)</f>
        <v>-1.69961822393816E-13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200.15574321350221</v>
      </c>
      <c r="EP120" s="59">
        <f t="shared" si="100"/>
        <v>200.70728852570426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41.953178891192877</v>
      </c>
      <c r="EW120" s="21">
        <f>EXP(-LN(2)/25)*EW119+(1-EXP(-LN(2)/25))/(LN(2)/25)*Calculateur!ER120*Calculateur!ET120*VLOOKUP('Données projet'!$B$15,Paramètres!$A$1:$I$89,3,0)*0.475*44/12</f>
        <v>7.4407707277334927</v>
      </c>
      <c r="EX120" s="21">
        <f>EXP(-LN(2)/2)*EX119+(1-EXP(-LN(2)/2))/(LN(2)/2)*ER120*EU120*VLOOKUP('Données projet'!$B$15,Paramètres!$A$1:$I$89,3,0)*0.475*44/12</f>
        <v>8.4195833330235883E-8</v>
      </c>
      <c r="EY120" s="22">
        <f t="shared" si="75"/>
        <v>49.393949703122203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6.8461538461538511</v>
      </c>
      <c r="FE120" s="12">
        <f>IF('Données projet'!$A$218&gt;35,FE119+FD120-FM119,IF(A120&lt;'Données projet'!$A$218,$FB$205^A120,IF(A120='Données projet'!$A$218,'Données projet'!$B$218,FE119+FD120-FM119)))</f>
        <v>343.64743589743637</v>
      </c>
      <c r="FF120" s="17">
        <f>FE120*VLOOKUP('Données projet'!$B$16,Paramètres!$A$1:$I$89,3,0)*VLOOKUP('Données projet'!$B$16,Paramètres!$A$1:$I$89,5,0)</f>
        <v>369.90210000000053</v>
      </c>
      <c r="FG120" s="13">
        <f t="shared" si="101"/>
        <v>85.647276740908836</v>
      </c>
      <c r="FH120" s="20">
        <f t="shared" si="76"/>
        <v>793.41516449041717</v>
      </c>
      <c r="FI120" s="59">
        <f t="shared" si="77"/>
        <v>1086.7484978237505</v>
      </c>
      <c r="FJ120" s="59">
        <f ca="1">AVERAGE(OFFSET($FI$3,0,0,'Données projet'!$E$16+1,1))-AVERAGE(OFFSET($H$3,0,0,'Données projet'!$E$16+1,1))</f>
        <v>347.17049316703486</v>
      </c>
      <c r="FK120" s="59">
        <f t="shared" si="102"/>
        <v>255.45365487683489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61.091490560811607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61.091490560811607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7">
        <f t="shared" si="56"/>
        <v>417.30338876997916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266.02599413192075</v>
      </c>
      <c r="T121" s="59">
        <f t="shared" si="88"/>
        <v>332.94146254783254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6.8461538461538511</v>
      </c>
      <c r="AI121" s="13">
        <f>IF('Données projet'!$A$62&gt;35,AI120+AH121-AQ120,IF(A121&lt;'Données projet'!$A$62,$AF$205^A121,IF(A121='Données projet'!$A$62,'Données projet'!$B$62,AI120+AH121-AQ120)))</f>
        <v>350.49358974359023</v>
      </c>
      <c r="AJ121" s="13">
        <f>AI121*VLOOKUP('Données projet'!$B$10,Paramètres!$A$1:$I$89,3,0)*VLOOKUP('Données projet'!$B$10,Paramètres!$A$1:$I$89,5,0)</f>
        <v>317.12660000000039</v>
      </c>
      <c r="AK121" s="13">
        <f t="shared" si="89"/>
        <v>74.755173417545677</v>
      </c>
      <c r="AL121" s="20">
        <f t="shared" si="58"/>
        <v>682.52742203555931</v>
      </c>
      <c r="AM121" s="59">
        <f t="shared" si="59"/>
        <v>975.86075536889257</v>
      </c>
      <c r="AN121" s="59">
        <f ca="1">AVERAGE(OFFSET($AM$3,0,0,'Données projet'!$E$10+1,1))-AVERAGE(OFFSET($H$3,0,0,'Données projet'!$E$10+1,1))</f>
        <v>282.13645166362238</v>
      </c>
      <c r="AO121" s="59">
        <f t="shared" si="90"/>
        <v>210.5345332979457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50.345280785457291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50.345280785457291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254.6443970237226</v>
      </c>
      <c r="BJ121" s="59">
        <f t="shared" si="92"/>
        <v>231.81667808018062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81.350964457376449</v>
      </c>
      <c r="BQ121" s="21">
        <f>EXP(-LN(2)/25)*BQ120+(1-EXP(-LN(2)/25))/(LN(2)/25)*Calculateur!BL121*Calculateur!BN121*VLOOKUP('Données projet'!$B$11,Paramètres!$A$1:$I$89,3,0)*0.475*44/12</f>
        <v>14.647605479816662</v>
      </c>
      <c r="BR121" s="21">
        <f>EXP(-LN(2)/2)*BR120+(1-EXP(-LN(2)/2))/(LN(2)/2)*BL121*BO121*VLOOKUP('Données projet'!$B$11,Paramètres!$A$1:$I$89,3,0)*0.475*44/12</f>
        <v>2.3741936867453151E-6</v>
      </c>
      <c r="BS121" s="22">
        <f t="shared" si="63"/>
        <v>95.998572311386795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5.3066239316239274</v>
      </c>
      <c r="BY121" s="12">
        <f>IF('Données projet'!$A$114&gt;35,BY120+BX121-CG120,IF(A121&lt;'Données projet'!$A$114,$BV$205^A121,IF(A121='Données projet'!$A$114,'Données projet'!$B$114,BY120+BX121-CG120)))</f>
        <v>241.14850427350393</v>
      </c>
      <c r="BZ121" s="13">
        <f>BY121*VLOOKUP('Données projet'!$B$12,Paramètres!$A$1:$I$89,3,0)*VLOOKUP('Données projet'!$B$12,Paramètres!$A$1:$I$89,5,0)</f>
        <v>244.52458333333303</v>
      </c>
      <c r="CA121" s="13">
        <f t="shared" si="93"/>
        <v>59.41195592689057</v>
      </c>
      <c r="CB121" s="20">
        <f t="shared" si="64"/>
        <v>529.35613921155607</v>
      </c>
      <c r="CC121" s="59">
        <f t="shared" si="65"/>
        <v>822.68947254488944</v>
      </c>
      <c r="CD121" s="59">
        <f ca="1">AVERAGE(OFFSET($CC$3,0,0,'Données projet'!$E$12+1,1))-AVERAGE(OFFSET($H$3,0,0,'Données projet'!$E$12+1,1))</f>
        <v>264.08050363622294</v>
      </c>
      <c r="CE121" s="59">
        <f t="shared" si="94"/>
        <v>164.48884512322883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36.238313251166865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36.238313251166865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194.7221767407824</v>
      </c>
      <c r="CZ121" s="59">
        <f t="shared" si="96"/>
        <v>177.6550559568646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64.324018408158153</v>
      </c>
      <c r="DG121" s="21">
        <f>EXP(-LN(2)/25)*DG120+(1-EXP(-LN(2)/25))/(LN(2)/25)*Calculateur!DB121*Calculateur!DD121*VLOOKUP('Données projet'!$B$13,Paramètres!$A$1:$I$89,3,0)*0.475*44/12</f>
        <v>11.581827588692258</v>
      </c>
      <c r="DH121" s="21">
        <f>EXP(-LN(2)/2)*DH120+(1-EXP(-LN(2)/2))/(LN(2)/2)*DB121*DE121*VLOOKUP('Données projet'!$B$13,Paramètres!$A$1:$I$89,3,0)*0.475*44/12</f>
        <v>1.8772694267288601E-6</v>
      </c>
      <c r="DI121" s="22">
        <f t="shared" si="69"/>
        <v>75.905847874119843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3.4106051316484809E-13</v>
      </c>
      <c r="DP121" s="17">
        <f>DO121*VLOOKUP('Données projet'!$B$14,Paramètres!$A$1:$I$89,3,0)*VLOOKUP('Données projet'!$B$14,Paramètres!$A$1:$I$89,5,0)</f>
        <v>1.5961632016114892E-13</v>
      </c>
      <c r="DQ121" s="13">
        <f t="shared" si="97"/>
        <v>2.2708641912150958E-12</v>
      </c>
      <c r="DR121" s="20">
        <f t="shared" si="70"/>
        <v>4.2330868906469593E-12</v>
      </c>
      <c r="DS121" s="59">
        <f t="shared" si="71"/>
        <v>293.33333333333752</v>
      </c>
      <c r="DT121" s="59">
        <f ca="1">AVERAGE(OFFSET($DS$3,0,0,'Données projet'!$E$14+1,1))-AVERAGE(OFFSET($H$3,0,0,'Données projet'!$E$14+1,1))</f>
        <v>207.25176714718668</v>
      </c>
      <c r="DU121" s="59">
        <f t="shared" si="98"/>
        <v>191.53228014642559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135.44871739466996</v>
      </c>
      <c r="EB121" s="21">
        <f>EXP(-LN(2)/25)*EB120+(1-EXP(-LN(2)/25))/(LN(2)/25)*Calculateur!DW121*Calculateur!DY121*VLOOKUP('Données projet'!$B$14,Paramètres!$A$1:$I$89,3,0)*0.475*44/12</f>
        <v>30.629396990119083</v>
      </c>
      <c r="EC121" s="21">
        <f>EXP(-LN(2)/2)*EC120+(1-EXP(-LN(2)/2))/(LN(2)/2)*DW121*DZ121*VLOOKUP('Données projet'!$B$14,Paramètres!$A$1:$I$89,3,0)*0.475*44/12</f>
        <v>0.24513006992958444</v>
      </c>
      <c r="ED121" s="22">
        <f t="shared" si="72"/>
        <v>166.32324445471863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-2.8421709430404007E-13</v>
      </c>
      <c r="EK121" s="17">
        <f>EJ121*VLOOKUP('Données projet'!$B$15,Paramètres!$A$1:$I$89,3,0)*VLOOKUP('Données projet'!$B$15,Paramètres!$A$1:$I$89,5,0)</f>
        <v>-1.69961822393816E-13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200.15574321350221</v>
      </c>
      <c r="EP121" s="59">
        <f t="shared" si="100"/>
        <v>200.70728852570426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41.130502642049017</v>
      </c>
      <c r="EW121" s="21">
        <f>EXP(-LN(2)/25)*EW120+(1-EXP(-LN(2)/25))/(LN(2)/25)*Calculateur!ER121*Calculateur!ET121*VLOOKUP('Données projet'!$B$15,Paramètres!$A$1:$I$89,3,0)*0.475*44/12</f>
        <v>7.2373024608904934</v>
      </c>
      <c r="EX121" s="21">
        <f>EXP(-LN(2)/2)*EX120+(1-EXP(-LN(2)/2))/(LN(2)/2)*ER121*EU121*VLOOKUP('Données projet'!$B$15,Paramètres!$A$1:$I$89,3,0)*0.475*44/12</f>
        <v>5.9535444695462131E-8</v>
      </c>
      <c r="EY121" s="22">
        <f t="shared" si="75"/>
        <v>48.367805162474959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6.8461538461538511</v>
      </c>
      <c r="FE121" s="12">
        <f>IF('Données projet'!$A$218&gt;35,FE120+FD121-FM120,IF(A121&lt;'Données projet'!$A$218,$FB$205^A121,IF(A121='Données projet'!$A$218,'Données projet'!$B$218,FE120+FD121-FM120)))</f>
        <v>350.49358974359023</v>
      </c>
      <c r="FF121" s="17">
        <f>FE121*VLOOKUP('Données projet'!$B$16,Paramètres!$A$1:$I$89,3,0)*VLOOKUP('Données projet'!$B$16,Paramètres!$A$1:$I$89,5,0)</f>
        <v>377.27130000000051</v>
      </c>
      <c r="FG121" s="13">
        <f t="shared" si="101"/>
        <v>87.153199409520511</v>
      </c>
      <c r="FH121" s="20">
        <f t="shared" si="76"/>
        <v>808.87266980491574</v>
      </c>
      <c r="FI121" s="59">
        <f t="shared" si="77"/>
        <v>1102.2060031382491</v>
      </c>
      <c r="FJ121" s="59">
        <f ca="1">AVERAGE(OFFSET($FI$3,0,0,'Données projet'!$E$16+1,1))-AVERAGE(OFFSET($H$3,0,0,'Données projet'!$E$16+1,1))</f>
        <v>347.17049316703486</v>
      </c>
      <c r="FK121" s="59">
        <f t="shared" si="102"/>
        <v>255.45365487683489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59.893523693044003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59.893523693044003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7">
        <f t="shared" si="56"/>
        <v>418.32646868642144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266.02599413192075</v>
      </c>
      <c r="T122" s="59">
        <f t="shared" si="88"/>
        <v>332.94146254783254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357.33974358974359</v>
      </c>
      <c r="AG122" s="12">
        <f>VLOOKUP(A122,'Données projet'!$A$61:$I$81,9,0)</f>
        <v>6.8461538461538511</v>
      </c>
      <c r="AH122" s="12">
        <f t="array" ref="AH122">INDEX(AG:AG,MIN(IF(ISNUMBER(AG122:AG318),ROW(AG122:AG318),"")))</f>
        <v>6.8461538461538511</v>
      </c>
      <c r="AI122" s="13">
        <f>IF('Données projet'!$A$62&gt;35,AI121+AH122-AQ121,IF(A122&lt;'Données projet'!$A$62,$AF$205^A122,IF(A122='Données projet'!$A$62,'Données projet'!$B$62,AI121+AH122-AQ121)))</f>
        <v>357.3397435897441</v>
      </c>
      <c r="AJ122" s="13">
        <f>AI122*VLOOKUP('Données projet'!$B$10,Paramètres!$A$1:$I$89,3,0)*VLOOKUP('Données projet'!$B$10,Paramètres!$A$1:$I$89,5,0)</f>
        <v>323.32100000000048</v>
      </c>
      <c r="AK122" s="13">
        <f t="shared" si="89"/>
        <v>76.043936534151186</v>
      </c>
      <c r="AL122" s="20">
        <f t="shared" si="58"/>
        <v>695.56059779698069</v>
      </c>
      <c r="AM122" s="59">
        <f t="shared" si="59"/>
        <v>988.89393113031406</v>
      </c>
      <c r="AN122" s="59">
        <f ca="1">AVERAGE(OFFSET($AM$3,0,0,'Données projet'!$E$10+1,1))-AVERAGE(OFFSET($H$3,0,0,'Données projet'!$E$10+1,1))</f>
        <v>282.13645166362238</v>
      </c>
      <c r="AO122" s="59">
        <f t="shared" si="90"/>
        <v>210.5345332979457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150.02564102564102</v>
      </c>
      <c r="AR122" s="16">
        <f>IF(ISNA(VLOOKUP(A122,'Données projet'!$A$61:$I$81,5,0)),0%,VLOOKUP(A122,'Données projet'!$A$61:$I$81,5,0)*VLOOKUP('Données projet'!$B$10,Paramètres!$A$1:$I$89,7,0))</f>
        <v>0.38700000000000001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107.43129413735127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107.43129413735127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254.6443970237226</v>
      </c>
      <c r="BJ122" s="59">
        <f t="shared" si="92"/>
        <v>231.81667808018062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79.75572166355613</v>
      </c>
      <c r="BQ122" s="21">
        <f>EXP(-LN(2)/25)*BQ121+(1-EXP(-LN(2)/25))/(LN(2)/25)*Calculateur!BL122*Calculateur!BN122*VLOOKUP('Données projet'!$B$11,Paramètres!$A$1:$I$89,3,0)*0.475*44/12</f>
        <v>14.24706593768698</v>
      </c>
      <c r="BR122" s="21">
        <f>EXP(-LN(2)/2)*BR121+(1-EXP(-LN(2)/2))/(LN(2)/2)*BL122*BO122*VLOOKUP('Données projet'!$B$11,Paramètres!$A$1:$I$89,3,0)*0.475*44/12</f>
        <v>1.6788084557479021E-6</v>
      </c>
      <c r="BS122" s="22">
        <f t="shared" si="63"/>
        <v>94.002789280051573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5.3066239316239274</v>
      </c>
      <c r="BY122" s="12">
        <f>IF('Données projet'!$A$114&gt;35,BY121+BX122-CG121,IF(A122&lt;'Données projet'!$A$114,$BV$205^A122,IF(A122='Données projet'!$A$114,'Données projet'!$B$114,BY121+BX122-CG121)))</f>
        <v>246.45512820512786</v>
      </c>
      <c r="BZ122" s="13">
        <f>BY122*VLOOKUP('Données projet'!$B$12,Paramètres!$A$1:$I$89,3,0)*VLOOKUP('Données projet'!$B$12,Paramètres!$A$1:$I$89,5,0)</f>
        <v>249.90549999999968</v>
      </c>
      <c r="CA122" s="13">
        <f t="shared" si="93"/>
        <v>60.565704654390196</v>
      </c>
      <c r="CB122" s="20">
        <f t="shared" si="64"/>
        <v>540.73734810639564</v>
      </c>
      <c r="CC122" s="59">
        <f t="shared" si="65"/>
        <v>834.07068143972901</v>
      </c>
      <c r="CD122" s="59">
        <f ca="1">AVERAGE(OFFSET($CC$3,0,0,'Données projet'!$E$12+1,1))-AVERAGE(OFFSET($H$3,0,0,'Données projet'!$E$12+1,1))</f>
        <v>264.08050363622294</v>
      </c>
      <c r="CE122" s="59">
        <f t="shared" si="94"/>
        <v>164.48884512322883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35.527702031500056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35.527702031500056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194.7221767407824</v>
      </c>
      <c r="CZ122" s="59">
        <f t="shared" si="96"/>
        <v>177.6550559568646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63.062663640951385</v>
      </c>
      <c r="DG122" s="21">
        <f>EXP(-LN(2)/25)*DG121+(1-EXP(-LN(2)/25))/(LN(2)/25)*Calculateur!DB122*Calculateur!DD122*VLOOKUP('Données projet'!$B$13,Paramètres!$A$1:$I$89,3,0)*0.475*44/12</f>
        <v>11.265121904217626</v>
      </c>
      <c r="DH122" s="21">
        <f>EXP(-LN(2)/2)*DH121+(1-EXP(-LN(2)/2))/(LN(2)/2)*DB122*DE122*VLOOKUP('Données projet'!$B$13,Paramètres!$A$1:$I$89,3,0)*0.475*44/12</f>
        <v>1.3274299417541597E-6</v>
      </c>
      <c r="DI122" s="22">
        <f t="shared" si="69"/>
        <v>74.327786872598949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3.4106051316484809E-13</v>
      </c>
      <c r="DP122" s="17">
        <f>DO122*VLOOKUP('Données projet'!$B$14,Paramètres!$A$1:$I$89,3,0)*VLOOKUP('Données projet'!$B$14,Paramètres!$A$1:$I$89,5,0)</f>
        <v>1.5961632016114892E-13</v>
      </c>
      <c r="DQ122" s="13">
        <f t="shared" si="97"/>
        <v>2.2708641912150958E-12</v>
      </c>
      <c r="DR122" s="20">
        <f t="shared" si="70"/>
        <v>4.2330868906469593E-12</v>
      </c>
      <c r="DS122" s="59">
        <f t="shared" si="71"/>
        <v>293.33333333333752</v>
      </c>
      <c r="DT122" s="59">
        <f ca="1">AVERAGE(OFFSET($DS$3,0,0,'Données projet'!$E$14+1,1))-AVERAGE(OFFSET($H$3,0,0,'Données projet'!$E$14+1,1))</f>
        <v>207.25176714718668</v>
      </c>
      <c r="DU122" s="59">
        <f t="shared" si="98"/>
        <v>191.53228014642559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132.79265066212048</v>
      </c>
      <c r="EB122" s="21">
        <f>EXP(-LN(2)/25)*EB121+(1-EXP(-LN(2)/25))/(LN(2)/25)*Calculateur!DW122*Calculateur!DY122*VLOOKUP('Données projet'!$B$14,Paramètres!$A$1:$I$89,3,0)*0.475*44/12</f>
        <v>29.791834518694294</v>
      </c>
      <c r="EC122" s="21">
        <f>EXP(-LN(2)/2)*EC121+(1-EXP(-LN(2)/2))/(LN(2)/2)*DW122*DZ122*VLOOKUP('Données projet'!$B$14,Paramètres!$A$1:$I$89,3,0)*0.475*44/12</f>
        <v>0.17333313471994177</v>
      </c>
      <c r="ED122" s="22">
        <f t="shared" si="72"/>
        <v>162.75781831553471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-2.8421709430404007E-13</v>
      </c>
      <c r="EK122" s="17">
        <f>EJ122*VLOOKUP('Données projet'!$B$15,Paramètres!$A$1:$I$89,3,0)*VLOOKUP('Données projet'!$B$15,Paramètres!$A$1:$I$89,5,0)</f>
        <v>-1.69961822393816E-13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200.15574321350221</v>
      </c>
      <c r="EP122" s="59">
        <f t="shared" si="100"/>
        <v>200.70728852570426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40.3239585723679</v>
      </c>
      <c r="EW122" s="21">
        <f>EXP(-LN(2)/25)*EW121+(1-EXP(-LN(2)/25))/(LN(2)/25)*Calculateur!ER122*Calculateur!ET122*VLOOKUP('Données projet'!$B$15,Paramètres!$A$1:$I$89,3,0)*0.475*44/12</f>
        <v>7.0393980445042477</v>
      </c>
      <c r="EX122" s="21">
        <f>EXP(-LN(2)/2)*EX121+(1-EXP(-LN(2)/2))/(LN(2)/2)*ER122*EU122*VLOOKUP('Données projet'!$B$15,Paramètres!$A$1:$I$89,3,0)*0.475*44/12</f>
        <v>4.2097916665117948E-8</v>
      </c>
      <c r="EY122" s="22">
        <f t="shared" si="75"/>
        <v>47.363356658970062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>
        <f>VLOOKUP(A122,'Données projet'!$A$217:$I$237,2,0)</f>
        <v>357.33974358974359</v>
      </c>
      <c r="FC122" s="12">
        <f>VLOOKUP(A122,'Données projet'!$A$217:$I$237,9,0)</f>
        <v>6.8461538461538511</v>
      </c>
      <c r="FD122" s="12">
        <f t="array" ref="FD122">INDEX(FC:FC,MIN(IF(ISNUMBER(FC122:FC318),ROW(FC122:FC318),"")))</f>
        <v>6.8461538461538511</v>
      </c>
      <c r="FE122" s="12">
        <f>IF('Données projet'!$A$218&gt;35,FE121+FD122-FM121,IF(A122&lt;'Données projet'!$A$218,$FB$205^A122,IF(A122='Données projet'!$A$218,'Données projet'!$B$218,FE121+FD122-FM121)))</f>
        <v>357.3397435897441</v>
      </c>
      <c r="FF122" s="17">
        <f>FE122*VLOOKUP('Données projet'!$B$16,Paramètres!$A$1:$I$89,3,0)*VLOOKUP('Données projet'!$B$16,Paramètres!$A$1:$I$89,5,0)</f>
        <v>384.64050000000054</v>
      </c>
      <c r="FG122" s="13">
        <f t="shared" si="101"/>
        <v>88.655701828527498</v>
      </c>
      <c r="FH122" s="20">
        <f t="shared" si="76"/>
        <v>824.32421818468629</v>
      </c>
      <c r="FI122" s="59">
        <f t="shared" si="77"/>
        <v>1117.6575515180195</v>
      </c>
      <c r="FJ122" s="59">
        <f ca="1">AVERAGE(OFFSET($FI$3,0,0,'Données projet'!$E$16+1,1))-AVERAGE(OFFSET($H$3,0,0,'Données projet'!$E$16+1,1))</f>
        <v>347.17049316703486</v>
      </c>
      <c r="FK122" s="59">
        <f t="shared" si="102"/>
        <v>255.45365487683489</v>
      </c>
      <c r="FL122" s="15">
        <f>IF(ISNA(VLOOKUP(A122,'Données projet'!$A$217:$I$237,3,0)),0,VLOOKUP(A122,'Données projet'!$A$217:$I$237,3,0))</f>
        <v>11</v>
      </c>
      <c r="FM122" s="15">
        <f>IF(ISNA(VLOOKUP(A122,'Données projet'!$A$217:$I$237,4,0)),0,VLOOKUP(A122,'Données projet'!$A$217:$I$237,4,0))</f>
        <v>150.02564102564102</v>
      </c>
      <c r="FN122" s="16">
        <f>IF(ISNA(VLOOKUP(A122,'Données projet'!$A$217:$I$237,5,0)),0%,VLOOKUP(A122,'Données projet'!$A$217:$I$237,5,0)*VLOOKUP('Données projet'!$B$16,Paramètres!$A$1:$I$89,7,0))</f>
        <v>0.38700000000000001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127.80619474960753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127.80619474960753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7">
        <f t="shared" si="56"/>
        <v>419.34934526397802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266.02599413192075</v>
      </c>
      <c r="T123" s="59">
        <f t="shared" si="88"/>
        <v>332.94146254783254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3.8301282051282044</v>
      </c>
      <c r="AI123" s="13">
        <f>IF('Données projet'!$A$62&gt;35,AI122+AH123-AQ122,IF(A123&lt;'Données projet'!$A$62,$AF$205^A123,IF(A123='Données projet'!$A$62,'Données projet'!$B$62,AI122+AH123-AQ122)))</f>
        <v>211.14423076923126</v>
      </c>
      <c r="AJ123" s="13">
        <f>AI123*VLOOKUP('Données projet'!$B$10,Paramètres!$A$1:$I$89,3,0)*VLOOKUP('Données projet'!$B$10,Paramètres!$A$1:$I$89,5,0)</f>
        <v>191.04330000000041</v>
      </c>
      <c r="AK123" s="13">
        <f t="shared" si="89"/>
        <v>47.770538104647592</v>
      </c>
      <c r="AL123" s="20">
        <f t="shared" si="58"/>
        <v>415.93410136559527</v>
      </c>
      <c r="AM123" s="59">
        <f t="shared" si="59"/>
        <v>709.26743469892858</v>
      </c>
      <c r="AN123" s="59">
        <f ca="1">AVERAGE(OFFSET($AM$3,0,0,'Données projet'!$E$10+1,1))-AVERAGE(OFFSET($H$3,0,0,'Données projet'!$E$10+1,1))</f>
        <v>282.13645166362238</v>
      </c>
      <c r="AO123" s="59">
        <f t="shared" si="90"/>
        <v>210.5345332979457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105.32463198593702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105.32463198593702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254.6443970237226</v>
      </c>
      <c r="BJ123" s="59">
        <f t="shared" si="92"/>
        <v>231.81667808018062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78.1917606079206</v>
      </c>
      <c r="BQ123" s="21">
        <f>EXP(-LN(2)/25)*BQ122+(1-EXP(-LN(2)/25))/(LN(2)/25)*Calculateur!BL123*Calculateur!BN123*VLOOKUP('Données projet'!$B$11,Paramètres!$A$1:$I$89,3,0)*0.475*44/12</f>
        <v>13.857479170400294</v>
      </c>
      <c r="BR123" s="21">
        <f>EXP(-LN(2)/2)*BR122+(1-EXP(-LN(2)/2))/(LN(2)/2)*BL123*BO123*VLOOKUP('Données projet'!$B$11,Paramètres!$A$1:$I$89,3,0)*0.475*44/12</f>
        <v>1.1870968433726576E-6</v>
      </c>
      <c r="BS123" s="22">
        <f t="shared" si="63"/>
        <v>92.049240965417738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5.3066239316239274</v>
      </c>
      <c r="BY123" s="12">
        <f>IF('Données projet'!$A$114&gt;35,BY122+BX123-CG122,IF(A123&lt;'Données projet'!$A$114,$BV$205^A123,IF(A123='Données projet'!$A$114,'Données projet'!$B$114,BY122+BX123-CG122)))</f>
        <v>251.7617521367518</v>
      </c>
      <c r="BZ123" s="13">
        <f>BY123*VLOOKUP('Données projet'!$B$12,Paramètres!$A$1:$I$89,3,0)*VLOOKUP('Données projet'!$B$12,Paramètres!$A$1:$I$89,5,0)</f>
        <v>255.28641666666636</v>
      </c>
      <c r="CA123" s="13">
        <f t="shared" si="93"/>
        <v>61.716565123681811</v>
      </c>
      <c r="CB123" s="20">
        <f t="shared" si="64"/>
        <v>552.11352661818967</v>
      </c>
      <c r="CC123" s="59">
        <f t="shared" si="65"/>
        <v>845.44685995152304</v>
      </c>
      <c r="CD123" s="59">
        <f ca="1">AVERAGE(OFFSET($CC$3,0,0,'Données projet'!$E$12+1,1))-AVERAGE(OFFSET($H$3,0,0,'Données projet'!$E$12+1,1))</f>
        <v>264.08050363622294</v>
      </c>
      <c r="CE123" s="59">
        <f t="shared" si="94"/>
        <v>164.48884512322883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34.831025464420868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34.831025464420868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194.7221767407824</v>
      </c>
      <c r="CZ123" s="59">
        <f t="shared" si="96"/>
        <v>177.6550559568646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61.826043271379106</v>
      </c>
      <c r="DG123" s="21">
        <f>EXP(-LN(2)/25)*DG122+(1-EXP(-LN(2)/25))/(LN(2)/25)*Calculateur!DB123*Calculateur!DD123*VLOOKUP('Données projet'!$B$13,Paramètres!$A$1:$I$89,3,0)*0.475*44/12</f>
        <v>10.95707655333978</v>
      </c>
      <c r="DH123" s="21">
        <f>EXP(-LN(2)/2)*DH122+(1-EXP(-LN(2)/2))/(LN(2)/2)*DB123*DE123*VLOOKUP('Données projet'!$B$13,Paramètres!$A$1:$I$89,3,0)*0.475*44/12</f>
        <v>9.3863471336443013E-7</v>
      </c>
      <c r="DI123" s="22">
        <f t="shared" si="69"/>
        <v>72.783120763353594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3.4106051316484809E-13</v>
      </c>
      <c r="DP123" s="17">
        <f>DO123*VLOOKUP('Données projet'!$B$14,Paramètres!$A$1:$I$89,3,0)*VLOOKUP('Données projet'!$B$14,Paramètres!$A$1:$I$89,5,0)</f>
        <v>1.5961632016114892E-13</v>
      </c>
      <c r="DQ123" s="13">
        <f t="shared" si="97"/>
        <v>2.2708641912150958E-12</v>
      </c>
      <c r="DR123" s="20">
        <f t="shared" si="70"/>
        <v>4.2330868906469593E-12</v>
      </c>
      <c r="DS123" s="59">
        <f t="shared" si="71"/>
        <v>293.33333333333752</v>
      </c>
      <c r="DT123" s="59">
        <f ca="1">AVERAGE(OFFSET($DS$3,0,0,'Données projet'!$E$14+1,1))-AVERAGE(OFFSET($H$3,0,0,'Données projet'!$E$14+1,1))</f>
        <v>207.25176714718668</v>
      </c>
      <c r="DU123" s="59">
        <f t="shared" si="98"/>
        <v>191.53228014642559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130.18866777815555</v>
      </c>
      <c r="EB123" s="21">
        <f>EXP(-LN(2)/25)*EB122+(1-EXP(-LN(2)/25))/(LN(2)/25)*Calculateur!DW123*Calculateur!DY123*VLOOKUP('Données projet'!$B$14,Paramètres!$A$1:$I$89,3,0)*0.475*44/12</f>
        <v>28.977175237096112</v>
      </c>
      <c r="EC123" s="21">
        <f>EXP(-LN(2)/2)*EC122+(1-EXP(-LN(2)/2))/(LN(2)/2)*DW123*DZ123*VLOOKUP('Données projet'!$B$14,Paramètres!$A$1:$I$89,3,0)*0.475*44/12</f>
        <v>0.12256503496479224</v>
      </c>
      <c r="ED123" s="22">
        <f t="shared" si="72"/>
        <v>159.28840805021645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-2.8421709430404007E-13</v>
      </c>
      <c r="EK123" s="17">
        <f>EJ123*VLOOKUP('Données projet'!$B$15,Paramètres!$A$1:$I$89,3,0)*VLOOKUP('Données projet'!$B$15,Paramètres!$A$1:$I$89,5,0)</f>
        <v>-1.69961822393816E-13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200.15574321350221</v>
      </c>
      <c r="EP123" s="59">
        <f t="shared" si="100"/>
        <v>200.70728852570426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39.533230339949924</v>
      </c>
      <c r="EW123" s="21">
        <f>EXP(-LN(2)/25)*EW122+(1-EXP(-LN(2)/25))/(LN(2)/25)*Calculateur!ER123*Calculateur!ET123*VLOOKUP('Données projet'!$B$15,Paramètres!$A$1:$I$89,3,0)*0.475*44/12</f>
        <v>6.8469053347914244</v>
      </c>
      <c r="EX123" s="21">
        <f>EXP(-LN(2)/2)*EX122+(1-EXP(-LN(2)/2))/(LN(2)/2)*ER123*EU123*VLOOKUP('Données projet'!$B$15,Paramètres!$A$1:$I$89,3,0)*0.475*44/12</f>
        <v>2.9767722347731072E-8</v>
      </c>
      <c r="EY123" s="22">
        <f t="shared" si="75"/>
        <v>46.380135704509065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3.8301282051282044</v>
      </c>
      <c r="FE123" s="12">
        <f>IF('Données projet'!$A$218&gt;35,FE122+FD123-FM122,IF(A123&lt;'Données projet'!$A$218,$FB$205^A123,IF(A123='Données projet'!$A$218,'Données projet'!$B$218,FE122+FD123-FM122)))</f>
        <v>211.14423076923126</v>
      </c>
      <c r="FF123" s="17">
        <f>FE123*VLOOKUP('Données projet'!$B$16,Paramètres!$A$1:$I$89,3,0)*VLOOKUP('Données projet'!$B$16,Paramètres!$A$1:$I$89,5,0)</f>
        <v>227.2756500000005</v>
      </c>
      <c r="FG123" s="13">
        <f t="shared" si="101"/>
        <v>55.693205473285282</v>
      </c>
      <c r="FH123" s="20">
        <f t="shared" si="76"/>
        <v>492.83742328263929</v>
      </c>
      <c r="FI123" s="59">
        <f t="shared" si="77"/>
        <v>786.17075661597255</v>
      </c>
      <c r="FJ123" s="59">
        <f ca="1">AVERAGE(OFFSET($FI$3,0,0,'Données projet'!$E$16+1,1))-AVERAGE(OFFSET($H$3,0,0,'Données projet'!$E$16+1,1))</f>
        <v>347.17049316703486</v>
      </c>
      <c r="FK123" s="59">
        <f t="shared" si="102"/>
        <v>255.45365487683489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125.2999932246492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125.2999932246492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7">
        <f t="shared" si="56"/>
        <v>420.37202039350524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266.02599413192075</v>
      </c>
      <c r="T124" s="59">
        <f t="shared" si="88"/>
        <v>332.94146254783254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3.8301282051282044</v>
      </c>
      <c r="AI124" s="13">
        <f>IF('Données projet'!$A$62&gt;35,AI123+AH124-AQ123,IF(A124&lt;'Données projet'!$A$62,$AF$205^A124,IF(A124='Données projet'!$A$62,'Données projet'!$B$62,AI123+AH124-AQ123)))</f>
        <v>214.97435897435946</v>
      </c>
      <c r="AJ124" s="13">
        <f>AI124*VLOOKUP('Données projet'!$B$10,Paramètres!$A$1:$I$89,3,0)*VLOOKUP('Données projet'!$B$10,Paramètres!$A$1:$I$89,5,0)</f>
        <v>194.50880000000043</v>
      </c>
      <c r="AK124" s="13">
        <f t="shared" si="89"/>
        <v>48.535419780989194</v>
      </c>
      <c r="AL124" s="20">
        <f t="shared" si="58"/>
        <v>423.30201611855699</v>
      </c>
      <c r="AM124" s="59">
        <f t="shared" si="59"/>
        <v>716.63534945189031</v>
      </c>
      <c r="AN124" s="59">
        <f ca="1">AVERAGE(OFFSET($AM$3,0,0,'Données projet'!$E$10+1,1))-AVERAGE(OFFSET($H$3,0,0,'Données projet'!$E$10+1,1))</f>
        <v>282.13645166362238</v>
      </c>
      <c r="AO124" s="59">
        <f t="shared" si="90"/>
        <v>210.5345332979457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103.25928019437497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103.25928019437497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254.6443970237226</v>
      </c>
      <c r="BJ124" s="59">
        <f t="shared" si="92"/>
        <v>231.81667808018062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76.658467874664026</v>
      </c>
      <c r="BQ124" s="21">
        <f>EXP(-LN(2)/25)*BQ123+(1-EXP(-LN(2)/25))/(LN(2)/25)*Calculateur!BL124*Calculateur!BN124*VLOOKUP('Données projet'!$B$11,Paramètres!$A$1:$I$89,3,0)*0.475*44/12</f>
        <v>13.47854567375254</v>
      </c>
      <c r="BR124" s="21">
        <f>EXP(-LN(2)/2)*BR123+(1-EXP(-LN(2)/2))/(LN(2)/2)*BL124*BO124*VLOOKUP('Données projet'!$B$11,Paramètres!$A$1:$I$89,3,0)*0.475*44/12</f>
        <v>8.3940422787395107E-7</v>
      </c>
      <c r="BS124" s="22">
        <f t="shared" si="63"/>
        <v>90.137014387820784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5.3066239316239274</v>
      </c>
      <c r="BY124" s="12">
        <f>IF('Données projet'!$A$114&gt;35,BY123+BX124-CG123,IF(A124&lt;'Données projet'!$A$114,$BV$205^A124,IF(A124='Données projet'!$A$114,'Données projet'!$B$114,BY123+BX124-CG123)))</f>
        <v>257.0683760683757</v>
      </c>
      <c r="BZ124" s="13">
        <f>BY124*VLOOKUP('Données projet'!$B$12,Paramètres!$A$1:$I$89,3,0)*VLOOKUP('Données projet'!$B$12,Paramètres!$A$1:$I$89,5,0)</f>
        <v>260.66733333333298</v>
      </c>
      <c r="CA124" s="13">
        <f t="shared" si="93"/>
        <v>62.864605226466139</v>
      </c>
      <c r="CB124" s="20">
        <f t="shared" si="64"/>
        <v>563.48479299165012</v>
      </c>
      <c r="CC124" s="59">
        <f t="shared" si="65"/>
        <v>856.8181263249835</v>
      </c>
      <c r="CD124" s="59">
        <f ca="1">AVERAGE(OFFSET($CC$3,0,0,'Données projet'!$E$12+1,1))-AVERAGE(OFFSET($H$3,0,0,'Données projet'!$E$12+1,1))</f>
        <v>264.08050363622294</v>
      </c>
      <c r="CE124" s="59">
        <f t="shared" si="94"/>
        <v>164.48884512322883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34.148010299891354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34.148010299891354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194.7221767407824</v>
      </c>
      <c r="CZ124" s="59">
        <f t="shared" si="96"/>
        <v>177.6550559568646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60.613672272990186</v>
      </c>
      <c r="DG124" s="21">
        <f>EXP(-LN(2)/25)*DG123+(1-EXP(-LN(2)/25))/(LN(2)/25)*Calculateur!DB124*Calculateur!DD124*VLOOKUP('Données projet'!$B$13,Paramètres!$A$1:$I$89,3,0)*0.475*44/12</f>
        <v>10.657454718781091</v>
      </c>
      <c r="DH124" s="21">
        <f>EXP(-LN(2)/2)*DH123+(1-EXP(-LN(2)/2))/(LN(2)/2)*DB124*DE124*VLOOKUP('Données projet'!$B$13,Paramètres!$A$1:$I$89,3,0)*0.475*44/12</f>
        <v>6.6371497087707994E-7</v>
      </c>
      <c r="DI124" s="22">
        <f t="shared" si="69"/>
        <v>71.271127655486254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3.4106051316484809E-13</v>
      </c>
      <c r="DP124" s="17">
        <f>DO124*VLOOKUP('Données projet'!$B$14,Paramètres!$A$1:$I$89,3,0)*VLOOKUP('Données projet'!$B$14,Paramètres!$A$1:$I$89,5,0)</f>
        <v>1.5961632016114892E-13</v>
      </c>
      <c r="DQ124" s="13">
        <f t="shared" si="97"/>
        <v>2.2708641912150958E-12</v>
      </c>
      <c r="DR124" s="20">
        <f t="shared" si="70"/>
        <v>4.2330868906469593E-12</v>
      </c>
      <c r="DS124" s="59">
        <f t="shared" si="71"/>
        <v>293.33333333333752</v>
      </c>
      <c r="DT124" s="59">
        <f ca="1">AVERAGE(OFFSET($DS$3,0,0,'Données projet'!$E$14+1,1))-AVERAGE(OFFSET($H$3,0,0,'Données projet'!$E$14+1,1))</f>
        <v>207.25176714718668</v>
      </c>
      <c r="DU124" s="59">
        <f t="shared" si="98"/>
        <v>191.53228014642559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127.63574741027244</v>
      </c>
      <c r="EB124" s="21">
        <f>EXP(-LN(2)/25)*EB123+(1-EXP(-LN(2)/25))/(LN(2)/25)*Calculateur!DW124*Calculateur!DY124*VLOOKUP('Données projet'!$B$14,Paramètres!$A$1:$I$89,3,0)*0.475*44/12</f>
        <v>28.184792856394303</v>
      </c>
      <c r="EC124" s="21">
        <f>EXP(-LN(2)/2)*EC123+(1-EXP(-LN(2)/2))/(LN(2)/2)*DW124*DZ124*VLOOKUP('Données projet'!$B$14,Paramètres!$A$1:$I$89,3,0)*0.475*44/12</f>
        <v>8.66665673599709E-2</v>
      </c>
      <c r="ED124" s="22">
        <f t="shared" si="72"/>
        <v>155.90720683402671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-2.8421709430404007E-13</v>
      </c>
      <c r="EK124" s="17">
        <f>EJ124*VLOOKUP('Données projet'!$B$15,Paramètres!$A$1:$I$89,3,0)*VLOOKUP('Données projet'!$B$15,Paramètres!$A$1:$I$89,5,0)</f>
        <v>-1.69961822393816E-13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200.15574321350221</v>
      </c>
      <c r="EP124" s="59">
        <f t="shared" si="100"/>
        <v>200.70728852570426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38.758007805873063</v>
      </c>
      <c r="EW124" s="21">
        <f>EXP(-LN(2)/25)*EW123+(1-EXP(-LN(2)/25))/(LN(2)/25)*Calculateur!ER124*Calculateur!ET124*VLOOKUP('Données projet'!$B$15,Paramètres!$A$1:$I$89,3,0)*0.475*44/12</f>
        <v>6.6596763483484498</v>
      </c>
      <c r="EX124" s="21">
        <f>EXP(-LN(2)/2)*EX123+(1-EXP(-LN(2)/2))/(LN(2)/2)*ER124*EU124*VLOOKUP('Données projet'!$B$15,Paramètres!$A$1:$I$89,3,0)*0.475*44/12</f>
        <v>2.1048958332558977E-8</v>
      </c>
      <c r="EY124" s="22">
        <f t="shared" si="75"/>
        <v>45.417684175270473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3.8301282051282044</v>
      </c>
      <c r="FE124" s="12">
        <f>IF('Données projet'!$A$218&gt;35,FE123+FD124-FM123,IF(A124&lt;'Données projet'!$A$218,$FB$205^A124,IF(A124='Données projet'!$A$218,'Données projet'!$B$218,FE123+FD124-FM123)))</f>
        <v>214.97435897435946</v>
      </c>
      <c r="FF124" s="17">
        <f>FE124*VLOOKUP('Données projet'!$B$16,Paramètres!$A$1:$I$89,3,0)*VLOOKUP('Données projet'!$B$16,Paramètres!$A$1:$I$89,5,0)</f>
        <v>231.39840000000049</v>
      </c>
      <c r="FG124" s="13">
        <f t="shared" si="101"/>
        <v>56.584941552747658</v>
      </c>
      <c r="FH124" s="20">
        <f t="shared" si="76"/>
        <v>501.57098653770299</v>
      </c>
      <c r="FI124" s="59">
        <f t="shared" si="77"/>
        <v>794.90431987103625</v>
      </c>
      <c r="FJ124" s="59">
        <f ca="1">AVERAGE(OFFSET($FI$3,0,0,'Données projet'!$E$16+1,1))-AVERAGE(OFFSET($H$3,0,0,'Données projet'!$E$16+1,1))</f>
        <v>347.17049316703486</v>
      </c>
      <c r="FK124" s="59">
        <f t="shared" si="102"/>
        <v>255.45365487683489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122.84293678296331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122.84293678296331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7">
        <f t="shared" si="56"/>
        <v>421.39449593280108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266.02599413192075</v>
      </c>
      <c r="T125" s="59">
        <f t="shared" si="88"/>
        <v>332.94146254783254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3.8301282051282044</v>
      </c>
      <c r="AI125" s="13">
        <f>IF('Données projet'!$A$62&gt;35,AI124+AH125-AQ124,IF(A125&lt;'Données projet'!$A$62,$AF$205^A125,IF(A125='Données projet'!$A$62,'Données projet'!$B$62,AI124+AH125-AQ124)))</f>
        <v>218.80448717948767</v>
      </c>
      <c r="AJ125" s="13">
        <f>AI125*VLOOKUP('Données projet'!$B$10,Paramètres!$A$1:$I$89,3,0)*VLOOKUP('Données projet'!$B$10,Paramètres!$A$1:$I$89,5,0)</f>
        <v>197.97430000000043</v>
      </c>
      <c r="AK125" s="13">
        <f t="shared" si="89"/>
        <v>49.298716754178493</v>
      </c>
      <c r="AL125" s="20">
        <f t="shared" si="58"/>
        <v>430.66717084686161</v>
      </c>
      <c r="AM125" s="59">
        <f t="shared" si="59"/>
        <v>724.00050418019487</v>
      </c>
      <c r="AN125" s="59">
        <f ca="1">AVERAGE(OFFSET($AM$3,0,0,'Données projet'!$E$10+1,1))-AVERAGE(OFFSET($H$3,0,0,'Données projet'!$E$10+1,1))</f>
        <v>282.13645166362238</v>
      </c>
      <c r="AO125" s="59">
        <f t="shared" si="90"/>
        <v>210.5345332979457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101.23442869170525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101.23442869170525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254.6443970237226</v>
      </c>
      <c r="BJ125" s="59">
        <f t="shared" si="92"/>
        <v>231.81667808018062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75.155242076690399</v>
      </c>
      <c r="BQ125" s="21">
        <f>EXP(-LN(2)/25)*BQ124+(1-EXP(-LN(2)/25))/(LN(2)/25)*Calculateur!BL125*Calculateur!BN125*VLOOKUP('Données projet'!$B$11,Paramètres!$A$1:$I$89,3,0)*0.475*44/12</f>
        <v>13.109974133497866</v>
      </c>
      <c r="BR125" s="21">
        <f>EXP(-LN(2)/2)*BR124+(1-EXP(-LN(2)/2))/(LN(2)/2)*BL125*BO125*VLOOKUP('Données projet'!$B$11,Paramètres!$A$1:$I$89,3,0)*0.475*44/12</f>
        <v>5.9354842168632878E-7</v>
      </c>
      <c r="BS125" s="22">
        <f t="shared" si="63"/>
        <v>88.265216803736692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5.3066239316239274</v>
      </c>
      <c r="BY125" s="12">
        <f>IF('Données projet'!$A$114&gt;35,BY124+BX125-CG124,IF(A125&lt;'Données projet'!$A$114,$BV$205^A125,IF(A125='Données projet'!$A$114,'Données projet'!$B$114,BY124+BX125-CG124)))</f>
        <v>262.3749999999996</v>
      </c>
      <c r="BZ125" s="13">
        <f>BY125*VLOOKUP('Données projet'!$B$12,Paramètres!$A$1:$I$89,3,0)*VLOOKUP('Données projet'!$B$12,Paramètres!$A$1:$I$89,5,0)</f>
        <v>266.04824999999965</v>
      </c>
      <c r="CA125" s="13">
        <f t="shared" si="93"/>
        <v>64.009889891284331</v>
      </c>
      <c r="CB125" s="20">
        <f t="shared" si="64"/>
        <v>574.85126031065295</v>
      </c>
      <c r="CC125" s="59">
        <f t="shared" si="65"/>
        <v>868.18459364398632</v>
      </c>
      <c r="CD125" s="59">
        <f ca="1">AVERAGE(OFFSET($CC$3,0,0,'Données projet'!$E$12+1,1))-AVERAGE(OFFSET($H$3,0,0,'Données projet'!$E$12+1,1))</f>
        <v>264.08050363622294</v>
      </c>
      <c r="CE125" s="59">
        <f t="shared" si="94"/>
        <v>164.48884512322883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33.478388646140154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33.478388646140154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194.7221767407824</v>
      </c>
      <c r="CZ125" s="59">
        <f t="shared" si="96"/>
        <v>177.6550559568646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59.425075130406384</v>
      </c>
      <c r="DG125" s="21">
        <f>EXP(-LN(2)/25)*DG124+(1-EXP(-LN(2)/25))/(LN(2)/25)*Calculateur!DB125*Calculateur!DD125*VLOOKUP('Données projet'!$B$13,Paramètres!$A$1:$I$89,3,0)*0.475*44/12</f>
        <v>10.366026059044836</v>
      </c>
      <c r="DH125" s="21">
        <f>EXP(-LN(2)/2)*DH124+(1-EXP(-LN(2)/2))/(LN(2)/2)*DB125*DE125*VLOOKUP('Données projet'!$B$13,Paramètres!$A$1:$I$89,3,0)*0.475*44/12</f>
        <v>4.6931735668221517E-7</v>
      </c>
      <c r="DI125" s="22">
        <f t="shared" si="69"/>
        <v>69.791101658768582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3.4106051316484809E-13</v>
      </c>
      <c r="DP125" s="17">
        <f>DO125*VLOOKUP('Données projet'!$B$14,Paramètres!$A$1:$I$89,3,0)*VLOOKUP('Données projet'!$B$14,Paramètres!$A$1:$I$89,5,0)</f>
        <v>1.5961632016114892E-13</v>
      </c>
      <c r="DQ125" s="13">
        <f t="shared" si="97"/>
        <v>2.2708641912150958E-12</v>
      </c>
      <c r="DR125" s="20">
        <f t="shared" si="70"/>
        <v>4.2330868906469593E-12</v>
      </c>
      <c r="DS125" s="59">
        <f t="shared" si="71"/>
        <v>293.33333333333752</v>
      </c>
      <c r="DT125" s="59">
        <f ca="1">AVERAGE(OFFSET($DS$3,0,0,'Données projet'!$E$14+1,1))-AVERAGE(OFFSET($H$3,0,0,'Données projet'!$E$14+1,1))</f>
        <v>207.25176714718668</v>
      </c>
      <c r="DU125" s="59">
        <f t="shared" si="98"/>
        <v>191.53228014642559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125.13288825367586</v>
      </c>
      <c r="EB125" s="21">
        <f>EXP(-LN(2)/25)*EB124+(1-EXP(-LN(2)/25))/(LN(2)/25)*Calculateur!DW125*Calculateur!DY125*VLOOKUP('Données projet'!$B$14,Paramètres!$A$1:$I$89,3,0)*0.475*44/12</f>
        <v>27.414078213562362</v>
      </c>
      <c r="EC125" s="21">
        <f>EXP(-LN(2)/2)*EC124+(1-EXP(-LN(2)/2))/(LN(2)/2)*DW125*DZ125*VLOOKUP('Données projet'!$B$14,Paramètres!$A$1:$I$89,3,0)*0.475*44/12</f>
        <v>6.1282517482396132E-2</v>
      </c>
      <c r="ED125" s="22">
        <f t="shared" si="72"/>
        <v>152.60824898472063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-2.8421709430404007E-13</v>
      </c>
      <c r="EK125" s="17">
        <f>EJ125*VLOOKUP('Données projet'!$B$15,Paramètres!$A$1:$I$89,3,0)*VLOOKUP('Données projet'!$B$15,Paramètres!$A$1:$I$89,5,0)</f>
        <v>-1.69961822393816E-13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200.15574321350221</v>
      </c>
      <c r="EP125" s="59">
        <f t="shared" si="100"/>
        <v>200.70728852570426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37.997986912850394</v>
      </c>
      <c r="EW125" s="21">
        <f>EXP(-LN(2)/25)*EW124+(1-EXP(-LN(2)/25))/(LN(2)/25)*Calculateur!ER125*Calculateur!ET125*VLOOKUP('Données projet'!$B$15,Paramètres!$A$1:$I$89,3,0)*0.475*44/12</f>
        <v>6.4775671483857034</v>
      </c>
      <c r="EX125" s="21">
        <f>EXP(-LN(2)/2)*EX124+(1-EXP(-LN(2)/2))/(LN(2)/2)*ER125*EU125*VLOOKUP('Données projet'!$B$15,Paramètres!$A$1:$I$89,3,0)*0.475*44/12</f>
        <v>1.4883861173865538E-8</v>
      </c>
      <c r="EY125" s="22">
        <f t="shared" si="75"/>
        <v>44.475554076119955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3.8301282051282044</v>
      </c>
      <c r="FE125" s="12">
        <f>IF('Données projet'!$A$218&gt;35,FE124+FD125-FM124,IF(A125&lt;'Données projet'!$A$218,$FB$205^A125,IF(A125='Données projet'!$A$218,'Données projet'!$B$218,FE124+FD125-FM124)))</f>
        <v>218.80448717948767</v>
      </c>
      <c r="FF125" s="17">
        <f>FE125*VLOOKUP('Données projet'!$B$16,Paramètres!$A$1:$I$89,3,0)*VLOOKUP('Données projet'!$B$16,Paramètres!$A$1:$I$89,5,0)</f>
        <v>235.52115000000049</v>
      </c>
      <c r="FG125" s="13">
        <f t="shared" si="101"/>
        <v>57.47483010857345</v>
      </c>
      <c r="FH125" s="20">
        <f t="shared" si="76"/>
        <v>510.30133202243292</v>
      </c>
      <c r="FI125" s="59">
        <f t="shared" si="77"/>
        <v>803.63466535576617</v>
      </c>
      <c r="FJ125" s="59">
        <f ca="1">AVERAGE(OFFSET($FI$3,0,0,'Données projet'!$E$16+1,1))-AVERAGE(OFFSET($H$3,0,0,'Données projet'!$E$16+1,1))</f>
        <v>347.17049316703486</v>
      </c>
      <c r="FK125" s="59">
        <f t="shared" si="102"/>
        <v>255.45365487683489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120.43406171944243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120.43406171944243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7">
        <f t="shared" si="56"/>
        <v>422.41677370744992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266.02599413192075</v>
      </c>
      <c r="T126" s="59">
        <f t="shared" si="88"/>
        <v>332.94146254783254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222.63461538461539</v>
      </c>
      <c r="AG126" s="12">
        <f>VLOOKUP(A126,'Données projet'!$A$61:$I$81,9,0)</f>
        <v>3.8301282051282044</v>
      </c>
      <c r="AH126" s="12">
        <f t="array" ref="AH126">INDEX(AG:AG,MIN(IF(ISNUMBER(AG126:AG322),ROW(AG126:AG322),"")))</f>
        <v>3.8301282051282044</v>
      </c>
      <c r="AI126" s="13">
        <f>IF('Données projet'!$A$62&gt;35,AI125+AH126-AQ125,IF(A126&lt;'Données projet'!$A$62,$AF$205^A126,IF(A126='Données projet'!$A$62,'Données projet'!$B$62,AI125+AH126-AQ125)))</f>
        <v>222.63461538461587</v>
      </c>
      <c r="AJ126" s="13">
        <f>AI126*VLOOKUP('Données projet'!$B$10,Paramètres!$A$1:$I$89,3,0)*VLOOKUP('Données projet'!$B$10,Paramètres!$A$1:$I$89,5,0)</f>
        <v>201.43980000000045</v>
      </c>
      <c r="AK126" s="13">
        <f t="shared" si="89"/>
        <v>50.06045996470462</v>
      </c>
      <c r="AL126" s="20">
        <f t="shared" si="58"/>
        <v>438.02961943852802</v>
      </c>
      <c r="AM126" s="59">
        <f t="shared" si="59"/>
        <v>731.36295277186127</v>
      </c>
      <c r="AN126" s="59">
        <f ca="1">AVERAGE(OFFSET($AM$3,0,0,'Données projet'!$E$10+1,1))-AVERAGE(OFFSET($H$3,0,0,'Données projet'!$E$10+1,1))</f>
        <v>282.13645166362238</v>
      </c>
      <c r="AO126" s="59">
        <f t="shared" si="90"/>
        <v>210.5345332979457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77.17307692307692</v>
      </c>
      <c r="AR126" s="16">
        <f>IF(ISNA(VLOOKUP(A126,'Données projet'!$A$61:$I$81,5,0)),0%,VLOOKUP(A126,'Données projet'!$A$61:$I$81,5,0)*VLOOKUP('Données projet'!$B$10,Paramètres!$A$1:$I$89,7,0))</f>
        <v>0.38700000000000001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129.12212127250342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129.12212127250342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254.6443970237226</v>
      </c>
      <c r="BJ126" s="59">
        <f t="shared" si="92"/>
        <v>231.81667808018062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73.681493619737822</v>
      </c>
      <c r="BQ126" s="21">
        <f>EXP(-LN(2)/25)*BQ125+(1-EXP(-LN(2)/25))/(LN(2)/25)*Calculateur!BL126*Calculateur!BN126*VLOOKUP('Données projet'!$B$11,Paramètres!$A$1:$I$89,3,0)*0.475*44/12</f>
        <v>12.751481201393791</v>
      </c>
      <c r="BR126" s="21">
        <f>EXP(-LN(2)/2)*BR125+(1-EXP(-LN(2)/2))/(LN(2)/2)*BL126*BO126*VLOOKUP('Données projet'!$B$11,Paramètres!$A$1:$I$89,3,0)*0.475*44/12</f>
        <v>4.1970211393697553E-7</v>
      </c>
      <c r="BS126" s="22">
        <f t="shared" si="63"/>
        <v>86.432975240833727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5.3066239316239274</v>
      </c>
      <c r="BY126" s="12">
        <f>IF('Données projet'!$A$114&gt;35,BY125+BX126-CG125,IF(A126&lt;'Données projet'!$A$114,$BV$205^A126,IF(A126='Données projet'!$A$114,'Données projet'!$B$114,BY125+BX126-CG125)))</f>
        <v>267.68162393162351</v>
      </c>
      <c r="BZ126" s="13">
        <f>BY126*VLOOKUP('Données projet'!$B$12,Paramètres!$A$1:$I$89,3,0)*VLOOKUP('Données projet'!$B$12,Paramètres!$A$1:$I$89,5,0)</f>
        <v>271.42916666666628</v>
      </c>
      <c r="CA126" s="13">
        <f t="shared" si="93"/>
        <v>65.152481270117946</v>
      </c>
      <c r="CB126" s="20">
        <f t="shared" si="64"/>
        <v>586.21303682323253</v>
      </c>
      <c r="CC126" s="59">
        <f t="shared" si="65"/>
        <v>879.5463701565659</v>
      </c>
      <c r="CD126" s="59">
        <f ca="1">AVERAGE(OFFSET($CC$3,0,0,'Données projet'!$E$12+1,1))-AVERAGE(OFFSET($H$3,0,0,'Données projet'!$E$12+1,1))</f>
        <v>264.08050363622294</v>
      </c>
      <c r="CE126" s="59">
        <f t="shared" si="94"/>
        <v>164.48884512322883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32.821897864590134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32.821897864590134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194.7221767407824</v>
      </c>
      <c r="CZ126" s="59">
        <f t="shared" si="96"/>
        <v>177.6550559568646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58.259785652815978</v>
      </c>
      <c r="DG126" s="21">
        <f>EXP(-LN(2)/25)*DG125+(1-EXP(-LN(2)/25))/(LN(2)/25)*Calculateur!DB126*Calculateur!DD126*VLOOKUP('Données projet'!$B$13,Paramètres!$A$1:$I$89,3,0)*0.475*44/12</f>
        <v>10.082566531334637</v>
      </c>
      <c r="DH126" s="21">
        <f>EXP(-LN(2)/2)*DH125+(1-EXP(-LN(2)/2))/(LN(2)/2)*DB126*DE126*VLOOKUP('Données projet'!$B$13,Paramètres!$A$1:$I$89,3,0)*0.475*44/12</f>
        <v>3.3185748543854002E-7</v>
      </c>
      <c r="DI126" s="22">
        <f t="shared" si="69"/>
        <v>68.342352516008091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3.4106051316484809E-13</v>
      </c>
      <c r="DP126" s="17">
        <f>DO126*VLOOKUP('Données projet'!$B$14,Paramètres!$A$1:$I$89,3,0)*VLOOKUP('Données projet'!$B$14,Paramètres!$A$1:$I$89,5,0)</f>
        <v>1.5961632016114892E-13</v>
      </c>
      <c r="DQ126" s="13">
        <f t="shared" si="97"/>
        <v>2.2708641912150958E-12</v>
      </c>
      <c r="DR126" s="20">
        <f t="shared" si="70"/>
        <v>4.2330868906469593E-12</v>
      </c>
      <c r="DS126" s="59">
        <f t="shared" si="71"/>
        <v>293.33333333333752</v>
      </c>
      <c r="DT126" s="59">
        <f ca="1">AVERAGE(OFFSET($DS$3,0,0,'Données projet'!$E$14+1,1))-AVERAGE(OFFSET($H$3,0,0,'Données projet'!$E$14+1,1))</f>
        <v>207.25176714718668</v>
      </c>
      <c r="DU126" s="59">
        <f t="shared" si="98"/>
        <v>191.53228014642559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122.67910863854679</v>
      </c>
      <c r="EB126" s="21">
        <f>EXP(-LN(2)/25)*EB125+(1-EXP(-LN(2)/25))/(LN(2)/25)*Calculateur!DW126*Calculateur!DY126*VLOOKUP('Données projet'!$B$14,Paramètres!$A$1:$I$89,3,0)*0.475*44/12</f>
        <v>26.664438803168782</v>
      </c>
      <c r="EC126" s="21">
        <f>EXP(-LN(2)/2)*EC125+(1-EXP(-LN(2)/2))/(LN(2)/2)*DW126*DZ126*VLOOKUP('Données projet'!$B$14,Paramètres!$A$1:$I$89,3,0)*0.475*44/12</f>
        <v>4.3333283679985457E-2</v>
      </c>
      <c r="ED126" s="22">
        <f t="shared" si="72"/>
        <v>149.38688072539557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-2.8421709430404007E-13</v>
      </c>
      <c r="EK126" s="17">
        <f>EJ126*VLOOKUP('Données projet'!$B$15,Paramètres!$A$1:$I$89,3,0)*VLOOKUP('Données projet'!$B$15,Paramètres!$A$1:$I$89,5,0)</f>
        <v>-1.69961822393816E-13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200.15574321350221</v>
      </c>
      <c r="EP126" s="59">
        <f t="shared" si="100"/>
        <v>200.70728852570426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37.252869565972929</v>
      </c>
      <c r="EW126" s="21">
        <f>EXP(-LN(2)/25)*EW125+(1-EXP(-LN(2)/25))/(LN(2)/25)*Calculateur!ER126*Calculateur!ET126*VLOOKUP('Données projet'!$B$15,Paramètres!$A$1:$I$89,3,0)*0.475*44/12</f>
        <v>6.300437734072645</v>
      </c>
      <c r="EX126" s="21">
        <f>EXP(-LN(2)/2)*EX125+(1-EXP(-LN(2)/2))/(LN(2)/2)*ER126*EU126*VLOOKUP('Données projet'!$B$15,Paramètres!$A$1:$I$89,3,0)*0.475*44/12</f>
        <v>1.052447916627949E-8</v>
      </c>
      <c r="EY126" s="22">
        <f t="shared" si="75"/>
        <v>43.553307310570055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>
        <f>VLOOKUP(A126,'Données projet'!$A$217:$I$237,2,0)</f>
        <v>222.63461538461539</v>
      </c>
      <c r="FC126" s="12">
        <f>VLOOKUP(A126,'Données projet'!$A$217:$I$237,9,0)</f>
        <v>3.8301282051282044</v>
      </c>
      <c r="FD126" s="12">
        <f t="array" ref="FD126">INDEX(FC:FC,MIN(IF(ISNUMBER(FC126:FC322),ROW(FC126:FC322),"")))</f>
        <v>3.8301282051282044</v>
      </c>
      <c r="FE126" s="12">
        <f>IF('Données projet'!$A$218&gt;35,FE125+FD126-FM125,IF(A126&lt;'Données projet'!$A$218,$FB$205^A126,IF(A126='Données projet'!$A$218,'Données projet'!$B$218,FE125+FD126-FM125)))</f>
        <v>222.63461538461587</v>
      </c>
      <c r="FF126" s="17">
        <f>FE126*VLOOKUP('Données projet'!$B$16,Paramètres!$A$1:$I$89,3,0)*VLOOKUP('Données projet'!$B$16,Paramètres!$A$1:$I$89,5,0)</f>
        <v>239.64390000000054</v>
      </c>
      <c r="FG126" s="13">
        <f t="shared" si="101"/>
        <v>58.3629072126826</v>
      </c>
      <c r="FH126" s="20">
        <f t="shared" si="76"/>
        <v>519.02852256208973</v>
      </c>
      <c r="FI126" s="59">
        <f t="shared" si="77"/>
        <v>812.3618558954231</v>
      </c>
      <c r="FJ126" s="59">
        <f ca="1">AVERAGE(OFFSET($FI$3,0,0,'Données projet'!$E$16+1,1))-AVERAGE(OFFSET($H$3,0,0,'Données projet'!$E$16+1,1))</f>
        <v>347.17049316703486</v>
      </c>
      <c r="FK126" s="59">
        <f t="shared" si="102"/>
        <v>255.45365487683489</v>
      </c>
      <c r="FL126" s="15">
        <f>IF(ISNA(VLOOKUP(A126,'Données projet'!$A$217:$I$237,3,0)),0,VLOOKUP(A126,'Données projet'!$A$217:$I$237,3,0))</f>
        <v>12</v>
      </c>
      <c r="FM126" s="15">
        <f>IF(ISNA(VLOOKUP(A126,'Données projet'!$A$217:$I$237,4,0)),0,VLOOKUP(A126,'Données projet'!$A$217:$I$237,4,0))</f>
        <v>77.17307692307692</v>
      </c>
      <c r="FN126" s="16">
        <f>IF(ISNA(VLOOKUP(A126,'Données projet'!$A$217:$I$237,5,0)),0%,VLOOKUP(A126,'Données projet'!$A$217:$I$237,5,0)*VLOOKUP('Données projet'!$B$16,Paramètres!$A$1:$I$89,7,0))</f>
        <v>0.38700000000000001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153.61079944487471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153.61079944487471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7">
        <f t="shared" si="56"/>
        <v>423.43885551163788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266.02599413192075</v>
      </c>
      <c r="T127" s="59">
        <f t="shared" si="88"/>
        <v>332.94146254783254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2.3349358974358978</v>
      </c>
      <c r="AI127" s="13">
        <f>IF('Données projet'!$A$62&gt;35,AI126+AH127-AQ126,IF(A127&lt;'Données projet'!$A$62,$AF$205^A127,IF(A127='Données projet'!$A$62,'Données projet'!$B$62,AI126+AH127-AQ126)))</f>
        <v>147.79647435897488</v>
      </c>
      <c r="AJ127" s="13">
        <f>AI127*VLOOKUP('Données projet'!$B$10,Paramètres!$A$1:$I$89,3,0)*VLOOKUP('Données projet'!$B$10,Paramètres!$A$1:$I$89,5,0)</f>
        <v>133.72625000000048</v>
      </c>
      <c r="AK127" s="13">
        <f t="shared" si="89"/>
        <v>34.855965018185749</v>
      </c>
      <c r="AL127" s="20">
        <f t="shared" si="58"/>
        <v>293.61402449000764</v>
      </c>
      <c r="AM127" s="59">
        <f t="shared" si="59"/>
        <v>586.94735782334101</v>
      </c>
      <c r="AN127" s="59">
        <f ca="1">AVERAGE(OFFSET($AM$3,0,0,'Données projet'!$E$10+1,1))-AVERAGE(OFFSET($H$3,0,0,'Données projet'!$E$10+1,1))</f>
        <v>282.13645166362238</v>
      </c>
      <c r="AO127" s="59">
        <f t="shared" si="90"/>
        <v>210.5345332979457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126.59011523106703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126.59011523106703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254.6443970237226</v>
      </c>
      <c r="BJ127" s="59">
        <f t="shared" si="92"/>
        <v>231.81667808018062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72.236644471128287</v>
      </c>
      <c r="BQ127" s="21">
        <f>EXP(-LN(2)/25)*BQ126+(1-EXP(-LN(2)/25))/(LN(2)/25)*Calculateur!BL127*Calculateur!BN127*VLOOKUP('Données projet'!$B$11,Paramètres!$A$1:$I$89,3,0)*0.475*44/12</f>
        <v>12.402791277370424</v>
      </c>
      <c r="BR127" s="21">
        <f>EXP(-LN(2)/2)*BR126+(1-EXP(-LN(2)/2))/(LN(2)/2)*BL127*BO127*VLOOKUP('Données projet'!$B$11,Paramètres!$A$1:$I$89,3,0)*0.475*44/12</f>
        <v>2.9677421084316439E-7</v>
      </c>
      <c r="BS127" s="22">
        <f t="shared" si="63"/>
        <v>84.63943604527293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5.3066239316239274</v>
      </c>
      <c r="BY127" s="12">
        <f>IF('Données projet'!$A$114&gt;35,BY126+BX127-CG126,IF(A127&lt;'Données projet'!$A$114,$BV$205^A127,IF(A127='Données projet'!$A$114,'Données projet'!$B$114,BY126+BX127-CG126)))</f>
        <v>272.98824786324741</v>
      </c>
      <c r="BZ127" s="13">
        <f>BY127*VLOOKUP('Données projet'!$B$12,Paramètres!$A$1:$I$89,3,0)*VLOOKUP('Données projet'!$B$12,Paramètres!$A$1:$I$89,5,0)</f>
        <v>276.8100833333329</v>
      </c>
      <c r="CA127" s="13">
        <f t="shared" si="93"/>
        <v>66.292438909774205</v>
      </c>
      <c r="CB127" s="20">
        <f t="shared" si="64"/>
        <v>597.57022624007823</v>
      </c>
      <c r="CC127" s="59">
        <f t="shared" si="65"/>
        <v>890.90355957341148</v>
      </c>
      <c r="CD127" s="59">
        <f ca="1">AVERAGE(OFFSET($CC$3,0,0,'Données projet'!$E$12+1,1))-AVERAGE(OFFSET($H$3,0,0,'Données projet'!$E$12+1,1))</f>
        <v>264.08050363622294</v>
      </c>
      <c r="CE127" s="59">
        <f t="shared" si="94"/>
        <v>164.48884512322883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32.178280466846466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32.178280466846466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194.7221767407824</v>
      </c>
      <c r="CZ127" s="59">
        <f t="shared" si="96"/>
        <v>177.6550559568646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57.117346791124717</v>
      </c>
      <c r="DG127" s="21">
        <f>EXP(-LN(2)/25)*DG126+(1-EXP(-LN(2)/25))/(LN(2)/25)*Calculateur!DB127*Calculateur!DD127*VLOOKUP('Données projet'!$B$13,Paramètres!$A$1:$I$89,3,0)*0.475*44/12</f>
        <v>9.8068582193161618</v>
      </c>
      <c r="DH127" s="21">
        <f>EXP(-LN(2)/2)*DH126+(1-EXP(-LN(2)/2))/(LN(2)/2)*DB127*DE127*VLOOKUP('Données projet'!$B$13,Paramètres!$A$1:$I$89,3,0)*0.475*44/12</f>
        <v>2.3465867834110761E-7</v>
      </c>
      <c r="DI127" s="22">
        <f t="shared" si="69"/>
        <v>66.924205245099571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3.4106051316484809E-13</v>
      </c>
      <c r="DP127" s="17">
        <f>DO127*VLOOKUP('Données projet'!$B$14,Paramètres!$A$1:$I$89,3,0)*VLOOKUP('Données projet'!$B$14,Paramètres!$A$1:$I$89,5,0)</f>
        <v>1.5961632016114892E-13</v>
      </c>
      <c r="DQ127" s="13">
        <f t="shared" si="97"/>
        <v>2.2708641912150958E-12</v>
      </c>
      <c r="DR127" s="20">
        <f t="shared" si="70"/>
        <v>4.2330868906469593E-12</v>
      </c>
      <c r="DS127" s="59">
        <f t="shared" si="71"/>
        <v>293.33333333333752</v>
      </c>
      <c r="DT127" s="59">
        <f ca="1">AVERAGE(OFFSET($DS$3,0,0,'Données projet'!$E$14+1,1))-AVERAGE(OFFSET($H$3,0,0,'Données projet'!$E$14+1,1))</f>
        <v>207.25176714718668</v>
      </c>
      <c r="DU127" s="59">
        <f t="shared" si="98"/>
        <v>191.53228014642559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120.27344614501263</v>
      </c>
      <c r="EB127" s="21">
        <f>EXP(-LN(2)/25)*EB126+(1-EXP(-LN(2)/25))/(LN(2)/25)*Calculateur!DW127*Calculateur!DY127*VLOOKUP('Données projet'!$B$14,Paramètres!$A$1:$I$89,3,0)*0.475*44/12</f>
        <v>25.935298321874239</v>
      </c>
      <c r="EC127" s="21">
        <f>EXP(-LN(2)/2)*EC126+(1-EXP(-LN(2)/2))/(LN(2)/2)*DW127*DZ127*VLOOKUP('Données projet'!$B$14,Paramètres!$A$1:$I$89,3,0)*0.475*44/12</f>
        <v>3.0641258741198069E-2</v>
      </c>
      <c r="ED127" s="22">
        <f t="shared" si="72"/>
        <v>146.23938572562804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-2.8421709430404007E-13</v>
      </c>
      <c r="EK127" s="17">
        <f>EJ127*VLOOKUP('Données projet'!$B$15,Paramètres!$A$1:$I$89,3,0)*VLOOKUP('Données projet'!$B$15,Paramètres!$A$1:$I$89,5,0)</f>
        <v>-1.69961822393816E-13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200.15574321350221</v>
      </c>
      <c r="EP127" s="59">
        <f t="shared" si="100"/>
        <v>200.70728852570426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36.522363515791021</v>
      </c>
      <c r="EW127" s="21">
        <f>EXP(-LN(2)/25)*EW126+(1-EXP(-LN(2)/25))/(LN(2)/25)*Calculateur!ER127*Calculateur!ET127*VLOOKUP('Données projet'!$B$15,Paramètres!$A$1:$I$89,3,0)*0.475*44/12</f>
        <v>6.1281519329088079</v>
      </c>
      <c r="EX127" s="21">
        <f>EXP(-LN(2)/2)*EX126+(1-EXP(-LN(2)/2))/(LN(2)/2)*ER127*EU127*VLOOKUP('Données projet'!$B$15,Paramètres!$A$1:$I$89,3,0)*0.475*44/12</f>
        <v>7.4419305869327706E-9</v>
      </c>
      <c r="EY127" s="22">
        <f t="shared" si="75"/>
        <v>42.650515456141761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2.3349358974358978</v>
      </c>
      <c r="FE127" s="12">
        <f>IF('Données projet'!$A$218&gt;35,FE126+FD127-FM126,IF(A127&lt;'Données projet'!$A$218,$FB$205^A127,IF(A127='Données projet'!$A$218,'Données projet'!$B$218,FE126+FD127-FM126)))</f>
        <v>147.79647435897488</v>
      </c>
      <c r="FF127" s="17">
        <f>FE127*VLOOKUP('Données projet'!$B$16,Paramètres!$A$1:$I$89,3,0)*VLOOKUP('Données projet'!$B$16,Paramètres!$A$1:$I$89,5,0)</f>
        <v>159.08812500000056</v>
      </c>
      <c r="FG127" s="13">
        <f t="shared" si="101"/>
        <v>40.636771088383441</v>
      </c>
      <c r="FH127" s="20">
        <f t="shared" si="76"/>
        <v>347.85419402060211</v>
      </c>
      <c r="FI127" s="59">
        <f t="shared" si="77"/>
        <v>641.18752735393537</v>
      </c>
      <c r="FJ127" s="59">
        <f ca="1">AVERAGE(OFFSET($FI$3,0,0,'Données projet'!$E$16+1,1))-AVERAGE(OFFSET($H$3,0,0,'Données projet'!$E$16+1,1))</f>
        <v>347.17049316703486</v>
      </c>
      <c r="FK127" s="59">
        <f t="shared" si="102"/>
        <v>255.45365487683489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150.59858536109692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150.59858536109692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7">
        <f t="shared" si="56"/>
        <v>424.4607431089417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266.02599413192075</v>
      </c>
      <c r="T128" s="59">
        <f t="shared" si="88"/>
        <v>332.94146254783254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2.3349358974358978</v>
      </c>
      <c r="AI128" s="13">
        <f>IF('Données projet'!$A$62&gt;35,AI127+AH128-AQ127,IF(A128&lt;'Données projet'!$A$62,$AF$205^A128,IF(A128='Données projet'!$A$62,'Données projet'!$B$62,AI127+AH128-AQ127)))</f>
        <v>150.13141025641079</v>
      </c>
      <c r="AJ128" s="13">
        <f>AI128*VLOOKUP('Données projet'!$B$10,Paramètres!$A$1:$I$89,3,0)*VLOOKUP('Données projet'!$B$10,Paramètres!$A$1:$I$89,5,0)</f>
        <v>135.83890000000048</v>
      </c>
      <c r="AK128" s="13">
        <f t="shared" si="89"/>
        <v>35.342088427890417</v>
      </c>
      <c r="AL128" s="20">
        <f t="shared" si="58"/>
        <v>298.14022151190994</v>
      </c>
      <c r="AM128" s="59">
        <f t="shared" si="59"/>
        <v>591.47355484524326</v>
      </c>
      <c r="AN128" s="59">
        <f ca="1">AVERAGE(OFFSET($AM$3,0,0,'Données projet'!$E$10+1,1))-AVERAGE(OFFSET($H$3,0,0,'Données projet'!$E$10+1,1))</f>
        <v>282.13645166362238</v>
      </c>
      <c r="AO128" s="59">
        <f t="shared" si="90"/>
        <v>210.5345332979457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124.10776028373201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124.10776028373201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254.6443970237226</v>
      </c>
      <c r="BJ128" s="59">
        <f t="shared" si="92"/>
        <v>231.81667808018062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70.820127933052021</v>
      </c>
      <c r="BQ128" s="21">
        <f>EXP(-LN(2)/25)*BQ127+(1-EXP(-LN(2)/25))/(LN(2)/25)*Calculateur!BL128*Calculateur!BN128*VLOOKUP('Données projet'!$B$11,Paramètres!$A$1:$I$89,3,0)*0.475*44/12</f>
        <v>12.063636297656284</v>
      </c>
      <c r="BR128" s="21">
        <f>EXP(-LN(2)/2)*BR127+(1-EXP(-LN(2)/2))/(LN(2)/2)*BL128*BO128*VLOOKUP('Données projet'!$B$11,Paramètres!$A$1:$I$89,3,0)*0.475*44/12</f>
        <v>2.0985105696848777E-7</v>
      </c>
      <c r="BS128" s="22">
        <f t="shared" si="63"/>
        <v>82.883764440559361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278.29487179487177</v>
      </c>
      <c r="BW128" s="12">
        <f>VLOOKUP(A128,'Données projet'!$A$113:$I$133,9,0)</f>
        <v>5.3066239316239274</v>
      </c>
      <c r="BX128" s="12">
        <f t="array" ref="BX128">INDEX(BW:BW,MIN(IF(ISNUMBER(BW128:BW324),ROW(BW128:BW324),"")))</f>
        <v>5.3066239316239274</v>
      </c>
      <c r="BY128" s="12">
        <f>IF('Données projet'!$A$114&gt;35,BY127+BX128-CG127,IF(A128&lt;'Données projet'!$A$114,$BV$205^A128,IF(A128='Données projet'!$A$114,'Données projet'!$B$114,BY127+BX128-CG127)))</f>
        <v>278.29487179487131</v>
      </c>
      <c r="BZ128" s="13">
        <f>BY128*VLOOKUP('Données projet'!$B$12,Paramètres!$A$1:$I$89,3,0)*VLOOKUP('Données projet'!$B$12,Paramètres!$A$1:$I$89,5,0)</f>
        <v>282.19099999999952</v>
      </c>
      <c r="CA128" s="13">
        <f t="shared" si="93"/>
        <v>67.429819909567854</v>
      </c>
      <c r="CB128" s="20">
        <f t="shared" si="64"/>
        <v>608.92292800916312</v>
      </c>
      <c r="CC128" s="59">
        <f t="shared" si="65"/>
        <v>902.25626134249637</v>
      </c>
      <c r="CD128" s="59">
        <f ca="1">AVERAGE(OFFSET($CC$3,0,0,'Données projet'!$E$12+1,1))-AVERAGE(OFFSET($H$3,0,0,'Données projet'!$E$12+1,1))</f>
        <v>264.08050363622294</v>
      </c>
      <c r="CE128" s="59">
        <f t="shared" si="94"/>
        <v>164.48884512322883</v>
      </c>
      <c r="CF128" s="15">
        <f>IF(ISNA(VLOOKUP(A128,'Données projet'!$A$113:$I$133,3,0)),0,VLOOKUP(A128,'Données projet'!$A$113:$I$133,3,0))</f>
        <v>10</v>
      </c>
      <c r="CG128" s="15">
        <f>IF(ISNA(VLOOKUP(A128,'Données projet'!$A$113:$I$133,4,0)),0,VLOOKUP(A128,'Données projet'!$A$113:$I$133,4,0))</f>
        <v>48.160256410256409</v>
      </c>
      <c r="CH128" s="16">
        <f>IF(ISNA(VLOOKUP(A128,'Données projet'!$A$113:$I$133,5,0)),0%,VLOOKUP(A128,'Données projet'!$A$113:$I$133,5,0)*VLOOKUP('Données projet'!$B$12,Paramètres!$A$1:$I$89,7,0))</f>
        <v>0.30099999999999999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47.796797081744565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47.796797081744565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194.7221767407824</v>
      </c>
      <c r="CZ128" s="59">
        <f t="shared" si="96"/>
        <v>177.6550559568646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55.997310458692326</v>
      </c>
      <c r="DG128" s="21">
        <f>EXP(-LN(2)/25)*DG127+(1-EXP(-LN(2)/25))/(LN(2)/25)*Calculateur!DB128*Calculateur!DD128*VLOOKUP('Données projet'!$B$13,Paramètres!$A$1:$I$89,3,0)*0.475*44/12</f>
        <v>9.5386891655887016</v>
      </c>
      <c r="DH128" s="21">
        <f>EXP(-LN(2)/2)*DH127+(1-EXP(-LN(2)/2))/(LN(2)/2)*DB128*DE128*VLOOKUP('Données projet'!$B$13,Paramètres!$A$1:$I$89,3,0)*0.475*44/12</f>
        <v>1.6592874271927004E-7</v>
      </c>
      <c r="DI128" s="22">
        <f t="shared" si="69"/>
        <v>65.535999790209772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3.4106051316484809E-13</v>
      </c>
      <c r="DP128" s="17">
        <f>DO128*VLOOKUP('Données projet'!$B$14,Paramètres!$A$1:$I$89,3,0)*VLOOKUP('Données projet'!$B$14,Paramètres!$A$1:$I$89,5,0)</f>
        <v>1.5961632016114892E-13</v>
      </c>
      <c r="DQ128" s="13">
        <f t="shared" si="97"/>
        <v>2.2708641912150958E-12</v>
      </c>
      <c r="DR128" s="20">
        <f t="shared" si="70"/>
        <v>4.2330868906469593E-12</v>
      </c>
      <c r="DS128" s="59">
        <f t="shared" si="71"/>
        <v>293.33333333333752</v>
      </c>
      <c r="DT128" s="59">
        <f ca="1">AVERAGE(OFFSET($DS$3,0,0,'Données projet'!$E$14+1,1))-AVERAGE(OFFSET($H$3,0,0,'Données projet'!$E$14+1,1))</f>
        <v>207.25176714718668</v>
      </c>
      <c r="DU128" s="59">
        <f t="shared" si="98"/>
        <v>191.53228014642559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117.91495722566742</v>
      </c>
      <c r="EB128" s="21">
        <f>EXP(-LN(2)/25)*EB127+(1-EXP(-LN(2)/25))/(LN(2)/25)*Calculateur!DW128*Calculateur!DY128*VLOOKUP('Données projet'!$B$14,Paramètres!$A$1:$I$89,3,0)*0.475*44/12</f>
        <v>25.226096225384524</v>
      </c>
      <c r="EC128" s="21">
        <f>EXP(-LN(2)/2)*EC127+(1-EXP(-LN(2)/2))/(LN(2)/2)*DW128*DZ128*VLOOKUP('Données projet'!$B$14,Paramètres!$A$1:$I$89,3,0)*0.475*44/12</f>
        <v>2.1666641839992732E-2</v>
      </c>
      <c r="ED128" s="22">
        <f t="shared" si="72"/>
        <v>143.16272009289196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-2.8421709430404007E-13</v>
      </c>
      <c r="EK128" s="17">
        <f>EJ128*VLOOKUP('Données projet'!$B$15,Paramètres!$A$1:$I$89,3,0)*VLOOKUP('Données projet'!$B$15,Paramètres!$A$1:$I$89,5,0)</f>
        <v>-1.69961822393816E-13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200.15574321350221</v>
      </c>
      <c r="EP128" s="59">
        <f t="shared" si="100"/>
        <v>200.70728852570426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35.80618224368849</v>
      </c>
      <c r="EW128" s="21">
        <f>EXP(-LN(2)/25)*EW127+(1-EXP(-LN(2)/25))/(LN(2)/25)*Calculateur!ER128*Calculateur!ET128*VLOOKUP('Données projet'!$B$15,Paramètres!$A$1:$I$89,3,0)*0.475*44/12</f>
        <v>5.9605772960379122</v>
      </c>
      <c r="EX128" s="21">
        <f>EXP(-LN(2)/2)*EX127+(1-EXP(-LN(2)/2))/(LN(2)/2)*ER128*EU128*VLOOKUP('Données projet'!$B$15,Paramètres!$A$1:$I$89,3,0)*0.475*44/12</f>
        <v>5.262239583139746E-9</v>
      </c>
      <c r="EY128" s="22">
        <f t="shared" si="75"/>
        <v>41.766759544988638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2.3349358974358978</v>
      </c>
      <c r="FE128" s="12">
        <f>IF('Données projet'!$A$218&gt;35,FE127+FD128-FM127,IF(A128&lt;'Données projet'!$A$218,$FB$205^A128,IF(A128='Données projet'!$A$218,'Données projet'!$B$218,FE127+FD128-FM127)))</f>
        <v>150.13141025641079</v>
      </c>
      <c r="FF128" s="17">
        <f>FE128*VLOOKUP('Données projet'!$B$16,Paramètres!$A$1:$I$89,3,0)*VLOOKUP('Données projet'!$B$16,Paramètres!$A$1:$I$89,5,0)</f>
        <v>161.60145000000057</v>
      </c>
      <c r="FG128" s="13">
        <f t="shared" si="101"/>
        <v>41.203517288368623</v>
      </c>
      <c r="FH128" s="20">
        <f t="shared" si="76"/>
        <v>353.2186513605763</v>
      </c>
      <c r="FI128" s="59">
        <f t="shared" si="77"/>
        <v>646.55198469390962</v>
      </c>
      <c r="FJ128" s="59">
        <f ca="1">AVERAGE(OFFSET($FI$3,0,0,'Données projet'!$E$16+1,1))-AVERAGE(OFFSET($H$3,0,0,'Données projet'!$E$16+1,1))</f>
        <v>347.17049316703486</v>
      </c>
      <c r="FK128" s="59">
        <f t="shared" si="102"/>
        <v>255.45365487683489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147.64543895823286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147.64543895823286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7">
        <f t="shared" si="56"/>
        <v>425.48243823309178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266.02599413192075</v>
      </c>
      <c r="T129" s="59">
        <f t="shared" si="88"/>
        <v>332.94146254783254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2.3349358974358978</v>
      </c>
      <c r="AI129" s="13">
        <f>IF('Données projet'!$A$62&gt;35,AI128+AH129-AQ128,IF(A129&lt;'Données projet'!$A$62,$AF$205^A129,IF(A129='Données projet'!$A$62,'Données projet'!$B$62,AI128+AH129-AQ128)))</f>
        <v>152.4663461538467</v>
      </c>
      <c r="AJ129" s="13">
        <f>AI129*VLOOKUP('Données projet'!$B$10,Paramètres!$A$1:$I$89,3,0)*VLOOKUP('Données projet'!$B$10,Paramètres!$A$1:$I$89,5,0)</f>
        <v>137.95155000000048</v>
      </c>
      <c r="AK129" s="13">
        <f t="shared" si="89"/>
        <v>35.827332555199952</v>
      </c>
      <c r="AL129" s="20">
        <f t="shared" si="58"/>
        <v>302.66488711697406</v>
      </c>
      <c r="AM129" s="59">
        <f t="shared" si="59"/>
        <v>595.99822045030737</v>
      </c>
      <c r="AN129" s="59">
        <f ca="1">AVERAGE(OFFSET($AM$3,0,0,'Données projet'!$E$10+1,1))-AVERAGE(OFFSET($H$3,0,0,'Données projet'!$E$10+1,1))</f>
        <v>282.13645166362238</v>
      </c>
      <c r="AO129" s="59">
        <f t="shared" si="90"/>
        <v>210.5345332979457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121.67408280282721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121.67408280282721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254.6443970237226</v>
      </c>
      <c r="BJ129" s="59">
        <f t="shared" si="92"/>
        <v>231.81667808018062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69.431388420297651</v>
      </c>
      <c r="BQ129" s="21">
        <f>EXP(-LN(2)/25)*BQ128+(1-EXP(-LN(2)/25))/(LN(2)/25)*Calculateur!BL129*Calculateur!BN129*VLOOKUP('Données projet'!$B$11,Paramètres!$A$1:$I$89,3,0)*0.475*44/12</f>
        <v>11.733755528697813</v>
      </c>
      <c r="BR129" s="21">
        <f>EXP(-LN(2)/2)*BR128+(1-EXP(-LN(2)/2))/(LN(2)/2)*BL129*BO129*VLOOKUP('Données projet'!$B$11,Paramètres!$A$1:$I$89,3,0)*0.475*44/12</f>
        <v>1.483871054215822E-7</v>
      </c>
      <c r="BS129" s="22">
        <f t="shared" si="63"/>
        <v>81.165144097382566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5.2446581196581219</v>
      </c>
      <c r="BY129" s="12">
        <f>IF('Données projet'!$A$114&gt;35,BY128+BX129-CG128,IF(A129&lt;'Données projet'!$A$114,$BV$205^A129,IF(A129='Données projet'!$A$114,'Données projet'!$B$114,BY128+BX129-CG128)))</f>
        <v>235.37927350427304</v>
      </c>
      <c r="BZ129" s="13">
        <f>BY129*VLOOKUP('Données projet'!$B$12,Paramètres!$A$1:$I$89,3,0)*VLOOKUP('Données projet'!$B$12,Paramètres!$A$1:$I$89,5,0)</f>
        <v>238.67458333333289</v>
      </c>
      <c r="CA129" s="13">
        <f t="shared" si="93"/>
        <v>58.154268783384175</v>
      </c>
      <c r="CB129" s="20">
        <f t="shared" si="64"/>
        <v>516.97691743661551</v>
      </c>
      <c r="CC129" s="59">
        <f t="shared" si="65"/>
        <v>810.31025076994888</v>
      </c>
      <c r="CD129" s="59">
        <f ca="1">AVERAGE(OFFSET($CC$3,0,0,'Données projet'!$E$12+1,1))-AVERAGE(OFFSET($H$3,0,0,'Données projet'!$E$12+1,1))</f>
        <v>264.08050363622294</v>
      </c>
      <c r="CE129" s="59">
        <f t="shared" si="94"/>
        <v>164.48884512322883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46.859531044139139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46.859531044139139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194.7221767407824</v>
      </c>
      <c r="CZ129" s="59">
        <f t="shared" si="96"/>
        <v>177.6550559568646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54.899237355584226</v>
      </c>
      <c r="DG129" s="21">
        <f>EXP(-LN(2)/25)*DG128+(1-EXP(-LN(2)/25))/(LN(2)/25)*Calculateur!DB129*Calculateur!DD129*VLOOKUP('Données projet'!$B$13,Paramètres!$A$1:$I$89,3,0)*0.475*44/12</f>
        <v>9.2778532087378167</v>
      </c>
      <c r="DH129" s="21">
        <f>EXP(-LN(2)/2)*DH128+(1-EXP(-LN(2)/2))/(LN(2)/2)*DB129*DE129*VLOOKUP('Données projet'!$B$13,Paramètres!$A$1:$I$89,3,0)*0.475*44/12</f>
        <v>1.1732933917055383E-7</v>
      </c>
      <c r="DI129" s="22">
        <f t="shared" si="69"/>
        <v>64.177090681651379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3.4106051316484809E-13</v>
      </c>
      <c r="DP129" s="17">
        <f>DO129*VLOOKUP('Données projet'!$B$14,Paramètres!$A$1:$I$89,3,0)*VLOOKUP('Données projet'!$B$14,Paramètres!$A$1:$I$89,5,0)</f>
        <v>1.5961632016114892E-13</v>
      </c>
      <c r="DQ129" s="13">
        <f t="shared" si="97"/>
        <v>2.2708641912150958E-12</v>
      </c>
      <c r="DR129" s="20">
        <f t="shared" si="70"/>
        <v>4.2330868906469593E-12</v>
      </c>
      <c r="DS129" s="59">
        <f t="shared" si="71"/>
        <v>293.33333333333752</v>
      </c>
      <c r="DT129" s="59">
        <f ca="1">AVERAGE(OFFSET($DS$3,0,0,'Données projet'!$E$14+1,1))-AVERAGE(OFFSET($H$3,0,0,'Données projet'!$E$14+1,1))</f>
        <v>207.25176714718668</v>
      </c>
      <c r="DU129" s="59">
        <f t="shared" si="98"/>
        <v>191.53228014642559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115.60271683549438</v>
      </c>
      <c r="EB129" s="21">
        <f>EXP(-LN(2)/25)*EB128+(1-EXP(-LN(2)/25))/(LN(2)/25)*Calculateur!DW129*Calculateur!DY129*VLOOKUP('Données projet'!$B$14,Paramètres!$A$1:$I$89,3,0)*0.475*44/12</f>
        <v>24.536287297518637</v>
      </c>
      <c r="EC129" s="21">
        <f>EXP(-LN(2)/2)*EC128+(1-EXP(-LN(2)/2))/(LN(2)/2)*DW129*DZ129*VLOOKUP('Données projet'!$B$14,Paramètres!$A$1:$I$89,3,0)*0.475*44/12</f>
        <v>1.5320629370599036E-2</v>
      </c>
      <c r="ED129" s="22">
        <f t="shared" si="72"/>
        <v>140.1543247623836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-2.8421709430404007E-13</v>
      </c>
      <c r="EK129" s="17">
        <f>EJ129*VLOOKUP('Données projet'!$B$15,Paramètres!$A$1:$I$89,3,0)*VLOOKUP('Données projet'!$B$15,Paramètres!$A$1:$I$89,5,0)</f>
        <v>-1.69961822393816E-13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200.15574321350221</v>
      </c>
      <c r="EP129" s="59">
        <f t="shared" si="100"/>
        <v>200.70728852570426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35.104044849504447</v>
      </c>
      <c r="EW129" s="21">
        <f>EXP(-LN(2)/25)*EW128+(1-EXP(-LN(2)/25))/(LN(2)/25)*Calculateur!ER129*Calculateur!ET129*VLOOKUP('Données projet'!$B$15,Paramètres!$A$1:$I$89,3,0)*0.475*44/12</f>
        <v>5.7975849964246189</v>
      </c>
      <c r="EX129" s="21">
        <f>EXP(-LN(2)/2)*EX128+(1-EXP(-LN(2)/2))/(LN(2)/2)*ER129*EU129*VLOOKUP('Données projet'!$B$15,Paramètres!$A$1:$I$89,3,0)*0.475*44/12</f>
        <v>3.7209652934663857E-9</v>
      </c>
      <c r="EY129" s="22">
        <f t="shared" si="75"/>
        <v>40.901629849650028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2.3349358974358978</v>
      </c>
      <c r="FE129" s="12">
        <f>IF('Données projet'!$A$218&gt;35,FE128+FD129-FM128,IF(A129&lt;'Données projet'!$A$218,$FB$205^A129,IF(A129='Données projet'!$A$218,'Données projet'!$B$218,FE128+FD129-FM128)))</f>
        <v>152.4663461538467</v>
      </c>
      <c r="FF129" s="17">
        <f>FE129*VLOOKUP('Données projet'!$B$16,Paramètres!$A$1:$I$89,3,0)*VLOOKUP('Données projet'!$B$16,Paramètres!$A$1:$I$89,5,0)</f>
        <v>164.11477500000058</v>
      </c>
      <c r="FG129" s="13">
        <f t="shared" si="101"/>
        <v>41.769238378379278</v>
      </c>
      <c r="FH129" s="20">
        <f t="shared" si="76"/>
        <v>358.58132330067821</v>
      </c>
      <c r="FI129" s="59">
        <f t="shared" si="77"/>
        <v>651.91465663401152</v>
      </c>
      <c r="FJ129" s="59">
        <f ca="1">AVERAGE(OFFSET($FI$3,0,0,'Données projet'!$E$16+1,1))-AVERAGE(OFFSET($H$3,0,0,'Données projet'!$E$16+1,1))</f>
        <v>347.17049316703486</v>
      </c>
      <c r="FK129" s="59">
        <f t="shared" si="102"/>
        <v>255.45365487683489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144.7502019550875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144.7502019550875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7">
        <f t="shared" si="56"/>
        <v>426.50394258870983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266.02599413192075</v>
      </c>
      <c r="T130" s="59">
        <f t="shared" si="88"/>
        <v>332.94146254783254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154.80128205128204</v>
      </c>
      <c r="AG130" s="12">
        <f>VLOOKUP(A130,'Données projet'!$A$61:$I$81,9,0)</f>
        <v>2.3349358974358978</v>
      </c>
      <c r="AH130" s="12">
        <f t="array" ref="AH130">INDEX(AG:AG,MIN(IF(ISNUMBER(AG130:AG326),ROW(AG130:AG326),"")))</f>
        <v>2.3349358974358978</v>
      </c>
      <c r="AI130" s="13">
        <f>IF('Données projet'!$A$62&gt;35,AI129+AH130-AQ129,IF(A130&lt;'Données projet'!$A$62,$AF$205^A130,IF(A130='Données projet'!$A$62,'Données projet'!$B$62,AI129+AH130-AQ129)))</f>
        <v>154.80128205128261</v>
      </c>
      <c r="AJ130" s="13">
        <f>AI130*VLOOKUP('Données projet'!$B$10,Paramètres!$A$1:$I$89,3,0)*VLOOKUP('Données projet'!$B$10,Paramètres!$A$1:$I$89,5,0)</f>
        <v>140.06420000000051</v>
      </c>
      <c r="AK130" s="13">
        <f t="shared" si="89"/>
        <v>36.311712421027522</v>
      </c>
      <c r="AL130" s="20">
        <f t="shared" si="58"/>
        <v>307.1880474666238</v>
      </c>
      <c r="AM130" s="59">
        <f t="shared" si="59"/>
        <v>600.52138079995711</v>
      </c>
      <c r="AN130" s="59">
        <f ca="1">AVERAGE(OFFSET($AM$3,0,0,'Données projet'!$E$10+1,1))-AVERAGE(OFFSET($H$3,0,0,'Données projet'!$E$10+1,1))</f>
        <v>282.13645166362238</v>
      </c>
      <c r="AO130" s="59">
        <f t="shared" si="90"/>
        <v>210.5345332979457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49.916666666666671</v>
      </c>
      <c r="AR130" s="16">
        <f>IF(ISNA(VLOOKUP(A130,'Données projet'!$A$61:$I$81,5,0)),0%,VLOOKUP(A130,'Données projet'!$A$61:$I$81,5,0)*VLOOKUP('Données projet'!$B$10,Paramètres!$A$1:$I$89,7,0))</f>
        <v>0.38700000000000001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138.61031359676292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138.61031359676292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254.6443970237226</v>
      </c>
      <c r="BJ130" s="59">
        <f t="shared" si="92"/>
        <v>231.81667808018062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68.069881242340941</v>
      </c>
      <c r="BQ130" s="21">
        <f>EXP(-LN(2)/25)*BQ129+(1-EXP(-LN(2)/25))/(LN(2)/25)*Calculateur!BL130*Calculateur!BN130*VLOOKUP('Données projet'!$B$11,Paramètres!$A$1:$I$89,3,0)*0.475*44/12</f>
        <v>11.412895366714187</v>
      </c>
      <c r="BR130" s="21">
        <f>EXP(-LN(2)/2)*BR129+(1-EXP(-LN(2)/2))/(LN(2)/2)*BL130*BO130*VLOOKUP('Données projet'!$B$11,Paramètres!$A$1:$I$89,3,0)*0.475*44/12</f>
        <v>1.0492552848424388E-7</v>
      </c>
      <c r="BS130" s="22">
        <f t="shared" si="63"/>
        <v>79.482776713980655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5.2446581196581219</v>
      </c>
      <c r="BY130" s="12">
        <f>IF('Données projet'!$A$114&gt;35,BY129+BX130-CG129,IF(A130&lt;'Données projet'!$A$114,$BV$205^A130,IF(A130='Données projet'!$A$114,'Données projet'!$B$114,BY129+BX130-CG129)))</f>
        <v>240.62393162393116</v>
      </c>
      <c r="BZ130" s="13">
        <f>BY130*VLOOKUP('Données projet'!$B$12,Paramètres!$A$1:$I$89,3,0)*VLOOKUP('Données projet'!$B$12,Paramètres!$A$1:$I$89,5,0)</f>
        <v>243.9926666666662</v>
      </c>
      <c r="CA130" s="13">
        <f t="shared" si="93"/>
        <v>59.297745526958636</v>
      </c>
      <c r="CB130" s="20">
        <f t="shared" si="64"/>
        <v>528.23080123722991</v>
      </c>
      <c r="CC130" s="59">
        <f t="shared" si="65"/>
        <v>821.56413457056328</v>
      </c>
      <c r="CD130" s="59">
        <f ca="1">AVERAGE(OFFSET($CC$3,0,0,'Données projet'!$E$12+1,1))-AVERAGE(OFFSET($H$3,0,0,'Données projet'!$E$12+1,1))</f>
        <v>264.08050363622294</v>
      </c>
      <c r="CE130" s="59">
        <f t="shared" si="94"/>
        <v>164.48884512322883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45.940644221855322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45.940644221855322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194.7221767407824</v>
      </c>
      <c r="CZ130" s="59">
        <f t="shared" si="96"/>
        <v>177.6550559568646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53.822696796269618</v>
      </c>
      <c r="DG130" s="21">
        <f>EXP(-LN(2)/25)*DG129+(1-EXP(-LN(2)/25))/(LN(2)/25)*Calculateur!DB130*Calculateur!DD130*VLOOKUP('Données projet'!$B$13,Paramètres!$A$1:$I$89,3,0)*0.475*44/12</f>
        <v>9.0241498248437857</v>
      </c>
      <c r="DH130" s="21">
        <f>EXP(-LN(2)/2)*DH129+(1-EXP(-LN(2)/2))/(LN(2)/2)*DB130*DE130*VLOOKUP('Données projet'!$B$13,Paramètres!$A$1:$I$89,3,0)*0.475*44/12</f>
        <v>8.2964371359635032E-8</v>
      </c>
      <c r="DI130" s="22">
        <f t="shared" si="69"/>
        <v>62.84684670407777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3.4106051316484809E-13</v>
      </c>
      <c r="DP130" s="17">
        <f>DO130*VLOOKUP('Données projet'!$B$14,Paramètres!$A$1:$I$89,3,0)*VLOOKUP('Données projet'!$B$14,Paramètres!$A$1:$I$89,5,0)</f>
        <v>1.5961632016114892E-13</v>
      </c>
      <c r="DQ130" s="13">
        <f t="shared" si="97"/>
        <v>2.2708641912150958E-12</v>
      </c>
      <c r="DR130" s="20">
        <f t="shared" si="70"/>
        <v>4.2330868906469593E-12</v>
      </c>
      <c r="DS130" s="59">
        <f t="shared" si="71"/>
        <v>293.33333333333752</v>
      </c>
      <c r="DT130" s="59">
        <f ca="1">AVERAGE(OFFSET($DS$3,0,0,'Données projet'!$E$14+1,1))-AVERAGE(OFFSET($H$3,0,0,'Données projet'!$E$14+1,1))</f>
        <v>207.25176714718668</v>
      </c>
      <c r="DU130" s="59">
        <f t="shared" si="98"/>
        <v>191.53228014642559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113.33581806904525</v>
      </c>
      <c r="EB130" s="21">
        <f>EXP(-LN(2)/25)*EB129+(1-EXP(-LN(2)/25))/(LN(2)/25)*Calculateur!DW130*Calculateur!DY130*VLOOKUP('Données projet'!$B$14,Paramètres!$A$1:$I$89,3,0)*0.475*44/12</f>
        <v>23.865341231060718</v>
      </c>
      <c r="EC130" s="21">
        <f>EXP(-LN(2)/2)*EC129+(1-EXP(-LN(2)/2))/(LN(2)/2)*DW130*DZ130*VLOOKUP('Données projet'!$B$14,Paramètres!$A$1:$I$89,3,0)*0.475*44/12</f>
        <v>1.0833320919996368E-2</v>
      </c>
      <c r="ED130" s="22">
        <f t="shared" si="72"/>
        <v>137.21199262102596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-2.8421709430404007E-13</v>
      </c>
      <c r="EK130" s="17">
        <f>EJ130*VLOOKUP('Données projet'!$B$15,Paramètres!$A$1:$I$89,3,0)*VLOOKUP('Données projet'!$B$15,Paramètres!$A$1:$I$89,5,0)</f>
        <v>-1.69961822393816E-13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200.15574321350221</v>
      </c>
      <c r="EP130" s="59">
        <f t="shared" si="100"/>
        <v>200.70728852570426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34.415675941358828</v>
      </c>
      <c r="EW130" s="21">
        <f>EXP(-LN(2)/25)*EW129+(1-EXP(-LN(2)/25))/(LN(2)/25)*Calculateur!ER130*Calculateur!ET130*VLOOKUP('Données projet'!$B$15,Paramètres!$A$1:$I$89,3,0)*0.475*44/12</f>
        <v>5.6390497298156435</v>
      </c>
      <c r="EX130" s="21">
        <f>EXP(-LN(2)/2)*EX129+(1-EXP(-LN(2)/2))/(LN(2)/2)*ER130*EU130*VLOOKUP('Données projet'!$B$15,Paramètres!$A$1:$I$89,3,0)*0.475*44/12</f>
        <v>2.6311197915698734E-9</v>
      </c>
      <c r="EY130" s="22">
        <f t="shared" si="75"/>
        <v>40.054725673805592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>
        <f>VLOOKUP(A130,'Données projet'!$A$217:$I$237,2,0)</f>
        <v>154.80128205128204</v>
      </c>
      <c r="FC130" s="12">
        <f>VLOOKUP(A130,'Données projet'!$A$217:$I$237,9,0)</f>
        <v>2.3349358974358978</v>
      </c>
      <c r="FD130" s="12">
        <f t="array" ref="FD130">INDEX(FC:FC,MIN(IF(ISNUMBER(FC130:FC326),ROW(FC130:FC326),"")))</f>
        <v>2.3349358974358978</v>
      </c>
      <c r="FE130" s="12">
        <f>IF('Données projet'!$A$218&gt;35,FE129+FD130-FM129,IF(A130&lt;'Données projet'!$A$218,$FB$205^A130,IF(A130='Données projet'!$A$218,'Données projet'!$B$218,FE129+FD130-FM129)))</f>
        <v>154.80128205128261</v>
      </c>
      <c r="FF130" s="17">
        <f>FE130*VLOOKUP('Données projet'!$B$16,Paramètres!$A$1:$I$89,3,0)*VLOOKUP('Données projet'!$B$16,Paramètres!$A$1:$I$89,5,0)</f>
        <v>166.62810000000059</v>
      </c>
      <c r="FG130" s="13">
        <f t="shared" si="101"/>
        <v>42.333951870522938</v>
      </c>
      <c r="FH130" s="20">
        <f t="shared" si="76"/>
        <v>363.94224034116178</v>
      </c>
      <c r="FI130" s="59">
        <f t="shared" si="77"/>
        <v>657.27557367449504</v>
      </c>
      <c r="FJ130" s="59">
        <f ca="1">AVERAGE(OFFSET($FI$3,0,0,'Données projet'!$E$16+1,1))-AVERAGE(OFFSET($H$3,0,0,'Données projet'!$E$16+1,1))</f>
        <v>347.17049316703486</v>
      </c>
      <c r="FK130" s="59">
        <f t="shared" si="102"/>
        <v>255.45365487683489</v>
      </c>
      <c r="FL130" s="15">
        <f>IF(ISNA(VLOOKUP(A130,'Données projet'!$A$217:$I$237,3,0)),0,VLOOKUP(A130,'Données projet'!$A$217:$I$237,3,0))</f>
        <v>13</v>
      </c>
      <c r="FM130" s="15">
        <f>IF(ISNA(VLOOKUP(A130,'Données projet'!$A$217:$I$237,4,0)),0,VLOOKUP(A130,'Données projet'!$A$217:$I$237,4,0))</f>
        <v>49.916666666666671</v>
      </c>
      <c r="FN130" s="16">
        <f>IF(ISNA(VLOOKUP(A130,'Données projet'!$A$217:$I$237,5,0)),0%,VLOOKUP(A130,'Données projet'!$A$217:$I$237,5,0)*VLOOKUP('Données projet'!$B$16,Paramètres!$A$1:$I$89,7,0))</f>
        <v>0.38700000000000001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164.89847652028689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164.89847652028689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7">
        <f t="shared" si="56"/>
        <v>427.52525785202272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266.02599413192075</v>
      </c>
      <c r="T131" s="59">
        <f t="shared" si="88"/>
        <v>332.94146254783254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1.5064102564102591</v>
      </c>
      <c r="AI131" s="13">
        <f>IF('Données projet'!$A$62&gt;35,AI130+AH131-AQ130,IF(A131&lt;'Données projet'!$A$62,$AF$205^A131,IF(A131='Données projet'!$A$62,'Données projet'!$B$62,AI130+AH131-AQ130)))</f>
        <v>106.39102564102619</v>
      </c>
      <c r="AJ131" s="13">
        <f>AI131*VLOOKUP('Données projet'!$B$10,Paramètres!$A$1:$I$89,3,0)*VLOOKUP('Données projet'!$B$10,Paramètres!$A$1:$I$89,5,0)</f>
        <v>96.262600000000489</v>
      </c>
      <c r="AK131" s="13">
        <f t="shared" si="89"/>
        <v>26.069649320395936</v>
      </c>
      <c r="AL131" s="20">
        <f t="shared" si="58"/>
        <v>213.06200089969045</v>
      </c>
      <c r="AM131" s="59">
        <f t="shared" si="59"/>
        <v>506.39533423302373</v>
      </c>
      <c r="AN131" s="59">
        <f ca="1">AVERAGE(OFFSET($AM$3,0,0,'Données projet'!$E$10+1,1))-AVERAGE(OFFSET($H$3,0,0,'Données projet'!$E$10+1,1))</f>
        <v>282.13645166362238</v>
      </c>
      <c r="AO131" s="59">
        <f t="shared" si="90"/>
        <v>210.5345332979457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135.89224989107367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135.89224989107367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254.6443970237226</v>
      </c>
      <c r="BJ131" s="59">
        <f t="shared" si="92"/>
        <v>231.81667808018062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66.735072389706573</v>
      </c>
      <c r="BQ131" s="21">
        <f>EXP(-LN(2)/25)*BQ130+(1-EXP(-LN(2)/25))/(LN(2)/25)*Calculateur!BL131*Calculateur!BN131*VLOOKUP('Données projet'!$B$11,Paramètres!$A$1:$I$89,3,0)*0.475*44/12</f>
        <v>11.100809142733304</v>
      </c>
      <c r="BR131" s="21">
        <f>EXP(-LN(2)/2)*BR130+(1-EXP(-LN(2)/2))/(LN(2)/2)*BL131*BO131*VLOOKUP('Données projet'!$B$11,Paramètres!$A$1:$I$89,3,0)*0.475*44/12</f>
        <v>7.4193552710791098E-8</v>
      </c>
      <c r="BS131" s="22">
        <f t="shared" si="63"/>
        <v>77.835881606633436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5.2446581196581219</v>
      </c>
      <c r="BY131" s="12">
        <f>IF('Données projet'!$A$114&gt;35,BY130+BX131-CG130,IF(A131&lt;'Données projet'!$A$114,$BV$205^A131,IF(A131='Données projet'!$A$114,'Données projet'!$B$114,BY130+BX131-CG130)))</f>
        <v>245.86858974358927</v>
      </c>
      <c r="BZ131" s="13">
        <f>BY131*VLOOKUP('Données projet'!$B$12,Paramètres!$A$1:$I$89,3,0)*VLOOKUP('Données projet'!$B$12,Paramètres!$A$1:$I$89,5,0)</f>
        <v>249.31074999999953</v>
      </c>
      <c r="CA131" s="13">
        <f t="shared" si="93"/>
        <v>60.438324631862308</v>
      </c>
      <c r="CB131" s="20">
        <f t="shared" si="64"/>
        <v>539.47963831715936</v>
      </c>
      <c r="CC131" s="59">
        <f t="shared" si="65"/>
        <v>832.81297165049273</v>
      </c>
      <c r="CD131" s="59">
        <f ca="1">AVERAGE(OFFSET($CC$3,0,0,'Données projet'!$E$12+1,1))-AVERAGE(OFFSET($H$3,0,0,'Données projet'!$E$12+1,1))</f>
        <v>264.08050363622294</v>
      </c>
      <c r="CE131" s="59">
        <f t="shared" si="94"/>
        <v>164.48884512322883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45.039776209690871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45.039776209690871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194.7221767407824</v>
      </c>
      <c r="CZ131" s="59">
        <f t="shared" si="96"/>
        <v>177.6550559568646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52.767266540698259</v>
      </c>
      <c r="DG131" s="21">
        <f>EXP(-LN(2)/25)*DG130+(1-EXP(-LN(2)/25))/(LN(2)/25)*Calculateur!DB131*Calculateur!DD131*VLOOKUP('Données projet'!$B$13,Paramètres!$A$1:$I$89,3,0)*0.475*44/12</f>
        <v>8.7773839733240173</v>
      </c>
      <c r="DH131" s="21">
        <f>EXP(-LN(2)/2)*DH130+(1-EXP(-LN(2)/2))/(LN(2)/2)*DB131*DE131*VLOOKUP('Données projet'!$B$13,Paramètres!$A$1:$I$89,3,0)*0.475*44/12</f>
        <v>5.8664669585276923E-8</v>
      </c>
      <c r="DI131" s="22">
        <f t="shared" si="69"/>
        <v>61.544650572686947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3.4106051316484809E-13</v>
      </c>
      <c r="DP131" s="17">
        <f>DO131*VLOOKUP('Données projet'!$B$14,Paramètres!$A$1:$I$89,3,0)*VLOOKUP('Données projet'!$B$14,Paramètres!$A$1:$I$89,5,0)</f>
        <v>1.5961632016114892E-13</v>
      </c>
      <c r="DQ131" s="13">
        <f t="shared" si="97"/>
        <v>2.2708641912150958E-12</v>
      </c>
      <c r="DR131" s="20">
        <f t="shared" si="70"/>
        <v>4.2330868906469593E-12</v>
      </c>
      <c r="DS131" s="59">
        <f t="shared" si="71"/>
        <v>293.33333333333752</v>
      </c>
      <c r="DT131" s="59">
        <f ca="1">AVERAGE(OFFSET($DS$3,0,0,'Données projet'!$E$14+1,1))-AVERAGE(OFFSET($H$3,0,0,'Données projet'!$E$14+1,1))</f>
        <v>207.25176714718668</v>
      </c>
      <c r="DU131" s="59">
        <f t="shared" si="98"/>
        <v>191.53228014642559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111.11337180473447</v>
      </c>
      <c r="EB131" s="21">
        <f>EXP(-LN(2)/25)*EB130+(1-EXP(-LN(2)/25))/(LN(2)/25)*Calculateur!DW131*Calculateur!DY131*VLOOKUP('Données projet'!$B$14,Paramètres!$A$1:$I$89,3,0)*0.475*44/12</f>
        <v>23.212742220073611</v>
      </c>
      <c r="EC131" s="21">
        <f>EXP(-LN(2)/2)*EC130+(1-EXP(-LN(2)/2))/(LN(2)/2)*DW131*DZ131*VLOOKUP('Données projet'!$B$14,Paramètres!$A$1:$I$89,3,0)*0.475*44/12</f>
        <v>7.6603146852995199E-3</v>
      </c>
      <c r="ED131" s="22">
        <f t="shared" si="72"/>
        <v>134.33377433949337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-2.8421709430404007E-13</v>
      </c>
      <c r="EK131" s="17">
        <f>EJ131*VLOOKUP('Données projet'!$B$15,Paramètres!$A$1:$I$89,3,0)*VLOOKUP('Données projet'!$B$15,Paramètres!$A$1:$I$89,5,0)</f>
        <v>-1.69961822393816E-13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200.15574321350221</v>
      </c>
      <c r="EP131" s="59">
        <f t="shared" si="100"/>
        <v>200.70728852570426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33.740805527638365</v>
      </c>
      <c r="EW131" s="21">
        <f>EXP(-LN(2)/25)*EW130+(1-EXP(-LN(2)/25))/(LN(2)/25)*Calculateur!ER131*Calculateur!ET131*VLOOKUP('Données projet'!$B$15,Paramètres!$A$1:$I$89,3,0)*0.475*44/12</f>
        <v>5.4848496184090978</v>
      </c>
      <c r="EX131" s="21">
        <f>EXP(-LN(2)/2)*EX130+(1-EXP(-LN(2)/2))/(LN(2)/2)*ER131*EU131*VLOOKUP('Données projet'!$B$15,Paramètres!$A$1:$I$89,3,0)*0.475*44/12</f>
        <v>1.8604826467331931E-9</v>
      </c>
      <c r="EY131" s="22">
        <f t="shared" si="75"/>
        <v>39.22565514790795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1.5064102564102591</v>
      </c>
      <c r="FE131" s="12">
        <f>IF('Données projet'!$A$218&gt;35,FE130+FD131-FM130,IF(A131&lt;'Données projet'!$A$218,$FB$205^A131,IF(A131='Données projet'!$A$218,'Données projet'!$B$218,FE130+FD131-FM130)))</f>
        <v>106.39102564102619</v>
      </c>
      <c r="FF131" s="17">
        <f>FE131*VLOOKUP('Données projet'!$B$16,Paramètres!$A$1:$I$89,3,0)*VLOOKUP('Données projet'!$B$16,Paramètres!$A$1:$I$89,5,0)</f>
        <v>114.51930000000058</v>
      </c>
      <c r="FG131" s="13">
        <f t="shared" si="101"/>
        <v>30.39325897976537</v>
      </c>
      <c r="FH131" s="20">
        <f t="shared" si="76"/>
        <v>252.38937355642568</v>
      </c>
      <c r="FI131" s="59">
        <f t="shared" si="77"/>
        <v>545.72270688975902</v>
      </c>
      <c r="FJ131" s="59">
        <f ca="1">AVERAGE(OFFSET($FI$3,0,0,'Données projet'!$E$16+1,1))-AVERAGE(OFFSET($H$3,0,0,'Données projet'!$E$16+1,1))</f>
        <v>347.17049316703486</v>
      </c>
      <c r="FK131" s="59">
        <f t="shared" si="102"/>
        <v>255.45365487683489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161.66491797386348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161.66491797386348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7">
        <f t="shared" ref="H132:H195" si="110">(B132+E132+F132)*44/12+(C132+D132)*0.475*44/12</f>
        <v>428.54638567155416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266.02599413192075</v>
      </c>
      <c r="T132" s="59">
        <f t="shared" si="88"/>
        <v>332.94146254783254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1.5064102564102591</v>
      </c>
      <c r="AI132" s="13">
        <f>IF('Données projet'!$A$62&gt;35,AI131+AH132-AQ131,IF(A132&lt;'Données projet'!$A$62,$AF$205^A132,IF(A132='Données projet'!$A$62,'Données projet'!$B$62,AI131+AH132-AQ131)))</f>
        <v>107.89743589743645</v>
      </c>
      <c r="AJ132" s="13">
        <f>AI132*VLOOKUP('Données projet'!$B$10,Paramètres!$A$1:$I$89,3,0)*VLOOKUP('Données projet'!$B$10,Paramètres!$A$1:$I$89,5,0)</f>
        <v>97.625600000000489</v>
      </c>
      <c r="AK132" s="13">
        <f t="shared" si="89"/>
        <v>26.395540798282454</v>
      </c>
      <c r="AL132" s="20">
        <f t="shared" ref="AL132:AL153" si="112">(AJ132+AK132)*0.475*44/12</f>
        <v>216.00348689034277</v>
      </c>
      <c r="AM132" s="59">
        <f t="shared" ref="AM132:AM195" si="113">AL132+(AD132+AE132)*44/12</f>
        <v>509.33682022367611</v>
      </c>
      <c r="AN132" s="59">
        <f ca="1">AVERAGE(OFFSET($AM$3,0,0,'Données projet'!$E$10+1,1))-AVERAGE(OFFSET($H$3,0,0,'Données projet'!$E$10+1,1))</f>
        <v>282.13645166362238</v>
      </c>
      <c r="AO132" s="59">
        <f t="shared" si="90"/>
        <v>210.5345332979457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133.22748575679782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133.22748575679782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254.6443970237226</v>
      </c>
      <c r="BJ132" s="59">
        <f t="shared" si="92"/>
        <v>231.81667808018062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65.426438324519367</v>
      </c>
      <c r="BQ132" s="21">
        <f>EXP(-LN(2)/25)*BQ131+(1-EXP(-LN(2)/25))/(LN(2)/25)*Calculateur!BL132*Calculateur!BN132*VLOOKUP('Données projet'!$B$11,Paramètres!$A$1:$I$89,3,0)*0.475*44/12</f>
        <v>10.79725693295908</v>
      </c>
      <c r="BR132" s="21">
        <f>EXP(-LN(2)/2)*BR131+(1-EXP(-LN(2)/2))/(LN(2)/2)*BL132*BO132*VLOOKUP('Données projet'!$B$11,Paramètres!$A$1:$I$89,3,0)*0.475*44/12</f>
        <v>5.2462764242121942E-8</v>
      </c>
      <c r="BS132" s="22">
        <f t="shared" ref="BS132:BS153" si="117">SUM(BP132:BR132)</f>
        <v>76.22369530994122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5.2446581196581219</v>
      </c>
      <c r="BY132" s="12">
        <f>IF('Données projet'!$A$114&gt;35,BY131+BX132-CG131,IF(A132&lt;'Données projet'!$A$114,$BV$205^A132,IF(A132='Données projet'!$A$114,'Données projet'!$B$114,BY131+BX132-CG131)))</f>
        <v>251.11324786324738</v>
      </c>
      <c r="BZ132" s="13">
        <f>BY132*VLOOKUP('Données projet'!$B$12,Paramètres!$A$1:$I$89,3,0)*VLOOKUP('Données projet'!$B$12,Paramètres!$A$1:$I$89,5,0)</f>
        <v>254.62883333333286</v>
      </c>
      <c r="CA132" s="13">
        <f t="shared" si="93"/>
        <v>61.576075027678748</v>
      </c>
      <c r="CB132" s="20">
        <f t="shared" ref="CB132:CB153" si="118">(BZ132+CA132)*0.475*44/12</f>
        <v>550.7235487287619</v>
      </c>
      <c r="CC132" s="59">
        <f t="shared" ref="CC132:CC195" si="119">CB132+(BT132+BU132)*44/12</f>
        <v>844.05688206209516</v>
      </c>
      <c r="CD132" s="59">
        <f ca="1">AVERAGE(OFFSET($CC$3,0,0,'Données projet'!$E$12+1,1))-AVERAGE(OFFSET($H$3,0,0,'Données projet'!$E$12+1,1))</f>
        <v>264.08050363622294</v>
      </c>
      <c r="CE132" s="59">
        <f t="shared" si="94"/>
        <v>164.48884512322883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44.156573669769728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44.156573669769728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194.7221767407824</v>
      </c>
      <c r="CZ132" s="59">
        <f t="shared" si="96"/>
        <v>177.6550559568646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51.732532628689768</v>
      </c>
      <c r="DG132" s="21">
        <f>EXP(-LN(2)/25)*DG131+(1-EXP(-LN(2)/25))/(LN(2)/25)*Calculateur!DB132*Calculateur!DD132*VLOOKUP('Données projet'!$B$13,Paramètres!$A$1:$I$89,3,0)*0.475*44/12</f>
        <v>8.53736594699091</v>
      </c>
      <c r="DH132" s="21">
        <f>EXP(-LN(2)/2)*DH131+(1-EXP(-LN(2)/2))/(LN(2)/2)*DB132*DE132*VLOOKUP('Données projet'!$B$13,Paramètres!$A$1:$I$89,3,0)*0.475*44/12</f>
        <v>4.1482185679817523E-8</v>
      </c>
      <c r="DI132" s="22">
        <f t="shared" ref="DI132:DI153" si="123">SUM(DF132:DH132)</f>
        <v>60.269898617162866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3.4106051316484809E-13</v>
      </c>
      <c r="DP132" s="17">
        <f>DO132*VLOOKUP('Données projet'!$B$14,Paramètres!$A$1:$I$89,3,0)*VLOOKUP('Données projet'!$B$14,Paramètres!$A$1:$I$89,5,0)</f>
        <v>1.5961632016114892E-13</v>
      </c>
      <c r="DQ132" s="13">
        <f t="shared" si="97"/>
        <v>2.2708641912150958E-12</v>
      </c>
      <c r="DR132" s="20">
        <f t="shared" ref="DR132:DR153" si="124">(DP132+DQ132)*0.475*44/12</f>
        <v>4.2330868906469593E-12</v>
      </c>
      <c r="DS132" s="59">
        <f t="shared" ref="DS132:DS195" si="125">DR132+(DJ132+DK132)*44/12</f>
        <v>293.33333333333752</v>
      </c>
      <c r="DT132" s="59">
        <f ca="1">AVERAGE(OFFSET($DS$3,0,0,'Données projet'!$E$14+1,1))-AVERAGE(OFFSET($H$3,0,0,'Données projet'!$E$14+1,1))</f>
        <v>207.25176714718668</v>
      </c>
      <c r="DU132" s="59">
        <f t="shared" si="98"/>
        <v>191.53228014642559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108.93450635610846</v>
      </c>
      <c r="EB132" s="21">
        <f>EXP(-LN(2)/25)*EB131+(1-EXP(-LN(2)/25))/(LN(2)/25)*Calculateur!DW132*Calculateur!DY132*VLOOKUP('Données projet'!$B$14,Paramètres!$A$1:$I$89,3,0)*0.475*44/12</f>
        <v>22.577988563360638</v>
      </c>
      <c r="EC132" s="21">
        <f>EXP(-LN(2)/2)*EC131+(1-EXP(-LN(2)/2))/(LN(2)/2)*DW132*DZ132*VLOOKUP('Données projet'!$B$14,Paramètres!$A$1:$I$89,3,0)*0.475*44/12</f>
        <v>5.4166604599981847E-3</v>
      </c>
      <c r="ED132" s="22">
        <f t="shared" ref="ED132:ED153" si="126">SUM(EA132:EC132)</f>
        <v>131.51791157992909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-2.8421709430404007E-13</v>
      </c>
      <c r="EK132" s="17">
        <f>EJ132*VLOOKUP('Données projet'!$B$15,Paramètres!$A$1:$I$89,3,0)*VLOOKUP('Données projet'!$B$15,Paramètres!$A$1:$I$89,5,0)</f>
        <v>-1.69961822393816E-13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200.15574321350221</v>
      </c>
      <c r="EP132" s="59">
        <f t="shared" si="100"/>
        <v>200.70728852570426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33.079168911100659</v>
      </c>
      <c r="EW132" s="21">
        <f>EXP(-LN(2)/25)*EW131+(1-EXP(-LN(2)/25))/(LN(2)/25)*Calculateur!ER132*Calculateur!ET132*VLOOKUP('Données projet'!$B$15,Paramètres!$A$1:$I$89,3,0)*0.475*44/12</f>
        <v>5.3348661171579952</v>
      </c>
      <c r="EX132" s="21">
        <f>EXP(-LN(2)/2)*EX131+(1-EXP(-LN(2)/2))/(LN(2)/2)*ER132*EU132*VLOOKUP('Données projet'!$B$15,Paramètres!$A$1:$I$89,3,0)*0.475*44/12</f>
        <v>1.3155598957849369E-9</v>
      </c>
      <c r="EY132" s="22">
        <f t="shared" ref="EY132:EY153" si="129">SUM(EV132:EX132)</f>
        <v>38.414035029574215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1.5064102564102591</v>
      </c>
      <c r="FE132" s="12">
        <f>IF('Données projet'!$A$218&gt;35,FE131+FD132-FM131,IF(A132&lt;'Données projet'!$A$218,$FB$205^A132,IF(A132='Données projet'!$A$218,'Données projet'!$B$218,FE131+FD132-FM131)))</f>
        <v>107.89743589743645</v>
      </c>
      <c r="FF132" s="17">
        <f>FE132*VLOOKUP('Données projet'!$B$16,Paramètres!$A$1:$I$89,3,0)*VLOOKUP('Données projet'!$B$16,Paramètres!$A$1:$I$89,5,0)</f>
        <v>116.1408000000006</v>
      </c>
      <c r="FG132" s="13">
        <f t="shared" si="101"/>
        <v>30.773199038220756</v>
      </c>
      <c r="FH132" s="20">
        <f t="shared" ref="FH132:FH153" si="130">(FF132+FG132)*0.475*44/12</f>
        <v>255.87521499156887</v>
      </c>
      <c r="FI132" s="59">
        <f t="shared" ref="FI132:FI195" si="131">FH132+(EZ132+FA132)*44/12</f>
        <v>549.20854832490215</v>
      </c>
      <c r="FJ132" s="59">
        <f ca="1">AVERAGE(OFFSET($FI$3,0,0,'Données projet'!$E$16+1,1))-AVERAGE(OFFSET($H$3,0,0,'Données projet'!$E$16+1,1))</f>
        <v>347.17049316703486</v>
      </c>
      <c r="FK132" s="59">
        <f t="shared" si="102"/>
        <v>255.45365487683489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158.49476753825945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158.49476753825945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7">
        <f t="shared" si="110"/>
        <v>429.5673276687927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266.02599413192075</v>
      </c>
      <c r="T133" s="59">
        <f t="shared" ref="T133:T196" si="142">$T$3</f>
        <v>332.94146254783254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1.5064102564102591</v>
      </c>
      <c r="AI133" s="13">
        <f>IF('Données projet'!$A$62&gt;35,AI132+AH133-AQ132,IF(A133&lt;'Données projet'!$A$62,$AF$205^A133,IF(A133='Données projet'!$A$62,'Données projet'!$B$62,AI132+AH133-AQ132)))</f>
        <v>109.40384615384671</v>
      </c>
      <c r="AJ133" s="13">
        <f>AI133*VLOOKUP('Données projet'!$B$10,Paramètres!$A$1:$I$89,3,0)*VLOOKUP('Données projet'!$B$10,Paramètres!$A$1:$I$89,5,0)</f>
        <v>98.988600000000503</v>
      </c>
      <c r="AK133" s="13">
        <f t="shared" ref="AK133:AK153" si="143">EXP(-1.0587+0.8836*LN(AJ133)+0.284)</f>
        <v>26.720903075724102</v>
      </c>
      <c r="AL133" s="20">
        <f t="shared" si="112"/>
        <v>218.94405119022034</v>
      </c>
      <c r="AM133" s="59">
        <f t="shared" si="113"/>
        <v>512.27738452355368</v>
      </c>
      <c r="AN133" s="59">
        <f ca="1">AVERAGE(OFFSET($AM$3,0,0,'Données projet'!$E$10+1,1))-AVERAGE(OFFSET($H$3,0,0,'Données projet'!$E$10+1,1))</f>
        <v>282.13645166362238</v>
      </c>
      <c r="AO133" s="59">
        <f t="shared" ref="AO133:AO196" si="144">$AO$3</f>
        <v>210.5345332979457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130.61497602184949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130.61497602184949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254.6443970237226</v>
      </c>
      <c r="BJ133" s="59">
        <f t="shared" ref="BJ133:BJ196" si="146">$BJ$3</f>
        <v>231.81667808018062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64.143465775162511</v>
      </c>
      <c r="BQ133" s="21">
        <f>EXP(-LN(2)/25)*BQ132+(1-EXP(-LN(2)/25))/(LN(2)/25)*Calculateur!BL133*Calculateur!BN133*VLOOKUP('Données projet'!$B$11,Paramètres!$A$1:$I$89,3,0)*0.475*44/12</f>
        <v>10.502005374324249</v>
      </c>
      <c r="BR133" s="21">
        <f>EXP(-LN(2)/2)*BR132+(1-EXP(-LN(2)/2))/(LN(2)/2)*BL133*BO133*VLOOKUP('Données projet'!$B$11,Paramètres!$A$1:$I$89,3,0)*0.475*44/12</f>
        <v>3.7096776355395549E-8</v>
      </c>
      <c r="BS133" s="22">
        <f t="shared" si="117"/>
        <v>74.645471186583535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5.2446581196581219</v>
      </c>
      <c r="BY133" s="12">
        <f>IF('Données projet'!$A$114&gt;35,BY132+BX133-CG132,IF(A133&lt;'Données projet'!$A$114,$BV$205^A133,IF(A133='Données projet'!$A$114,'Données projet'!$B$114,BY132+BX133-CG132)))</f>
        <v>256.35790598290549</v>
      </c>
      <c r="BZ133" s="13">
        <f>BY133*VLOOKUP('Données projet'!$B$12,Paramètres!$A$1:$I$89,3,0)*VLOOKUP('Données projet'!$B$12,Paramètres!$A$1:$I$89,5,0)</f>
        <v>259.9469166666662</v>
      </c>
      <c r="CA133" s="13">
        <f t="shared" ref="CA133:CA153" si="147">EXP(-1.0587+0.8836*LN(BZ133)+0.284)</f>
        <v>62.71106260017865</v>
      </c>
      <c r="CB133" s="20">
        <f t="shared" si="118"/>
        <v>561.96264722308808</v>
      </c>
      <c r="CC133" s="59">
        <f t="shared" si="119"/>
        <v>855.29598055642145</v>
      </c>
      <c r="CD133" s="59">
        <f ca="1">AVERAGE(OFFSET($CC$3,0,0,'Données projet'!$E$12+1,1))-AVERAGE(OFFSET($H$3,0,0,'Données projet'!$E$12+1,1))</f>
        <v>264.08050363622294</v>
      </c>
      <c r="CE133" s="59">
        <f t="shared" ref="CE133:CE196" si="148">$CE$3</f>
        <v>164.48884512322883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43.290690192956085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43.290690192956085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194.7221767407824</v>
      </c>
      <c r="CZ133" s="59">
        <f t="shared" ref="CZ133:CZ196" si="150">$CZ$3</f>
        <v>177.6550559568646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50.718089217570395</v>
      </c>
      <c r="DG133" s="21">
        <f>EXP(-LN(2)/25)*DG132+(1-EXP(-LN(2)/25))/(LN(2)/25)*Calculateur!DB133*Calculateur!DD133*VLOOKUP('Données projet'!$B$13,Paramètres!$A$1:$I$89,3,0)*0.475*44/12</f>
        <v>8.3039112262098804</v>
      </c>
      <c r="DH133" s="21">
        <f>EXP(-LN(2)/2)*DH132+(1-EXP(-LN(2)/2))/(LN(2)/2)*DB133*DE133*VLOOKUP('Données projet'!$B$13,Paramètres!$A$1:$I$89,3,0)*0.475*44/12</f>
        <v>2.9332334792638465E-8</v>
      </c>
      <c r="DI133" s="22">
        <f t="shared" si="123"/>
        <v>59.022000473112605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3.4106051316484809E-13</v>
      </c>
      <c r="DP133" s="17">
        <f>DO133*VLOOKUP('Données projet'!$B$14,Paramètres!$A$1:$I$89,3,0)*VLOOKUP('Données projet'!$B$14,Paramètres!$A$1:$I$89,5,0)</f>
        <v>1.5961632016114892E-13</v>
      </c>
      <c r="DQ133" s="13">
        <f t="shared" ref="DQ133:DQ153" si="151">EXP(-1.0587+0.8836*LN(DP133)+0.284)</f>
        <v>2.2708641912150958E-12</v>
      </c>
      <c r="DR133" s="20">
        <f t="shared" si="124"/>
        <v>4.2330868906469593E-12</v>
      </c>
      <c r="DS133" s="59">
        <f t="shared" si="125"/>
        <v>293.33333333333752</v>
      </c>
      <c r="DT133" s="59">
        <f ca="1">AVERAGE(OFFSET($DS$3,0,0,'Données projet'!$E$14+1,1))-AVERAGE(OFFSET($H$3,0,0,'Données projet'!$E$14+1,1))</f>
        <v>207.25176714718668</v>
      </c>
      <c r="DU133" s="59">
        <f t="shared" ref="DU133:DU196" si="152">$DU$3</f>
        <v>191.53228014642559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106.79836712995329</v>
      </c>
      <c r="EB133" s="21">
        <f>EXP(-LN(2)/25)*EB132+(1-EXP(-LN(2)/25))/(LN(2)/25)*Calculateur!DW133*Calculateur!DY133*VLOOKUP('Données projet'!$B$14,Paramètres!$A$1:$I$89,3,0)*0.475*44/12</f>
        <v>21.960592278770726</v>
      </c>
      <c r="EC133" s="21">
        <f>EXP(-LN(2)/2)*EC132+(1-EXP(-LN(2)/2))/(LN(2)/2)*DW133*DZ133*VLOOKUP('Données projet'!$B$14,Paramètres!$A$1:$I$89,3,0)*0.475*44/12</f>
        <v>3.8301573426497604E-3</v>
      </c>
      <c r="ED133" s="22">
        <f t="shared" si="126"/>
        <v>128.76278956606669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-2.8421709430404007E-13</v>
      </c>
      <c r="EK133" s="17">
        <f>EJ133*VLOOKUP('Données projet'!$B$15,Paramètres!$A$1:$I$89,3,0)*VLOOKUP('Données projet'!$B$15,Paramètres!$A$1:$I$89,5,0)</f>
        <v>-1.69961822393816E-13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200.15574321350221</v>
      </c>
      <c r="EP133" s="59">
        <f t="shared" ref="EP133:EP196" si="154">$EP$3</f>
        <v>200.70728852570426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32.430506585054765</v>
      </c>
      <c r="EW133" s="21">
        <f>EXP(-LN(2)/25)*EW132+(1-EXP(-LN(2)/25))/(LN(2)/25)*Calculateur!ER133*Calculateur!ET133*VLOOKUP('Données projet'!$B$15,Paramètres!$A$1:$I$89,3,0)*0.475*44/12</f>
        <v>5.1889839226358934</v>
      </c>
      <c r="EX133" s="21">
        <f>EXP(-LN(2)/2)*EX132+(1-EXP(-LN(2)/2))/(LN(2)/2)*ER133*EU133*VLOOKUP('Données projet'!$B$15,Paramètres!$A$1:$I$89,3,0)*0.475*44/12</f>
        <v>9.3024132336659673E-10</v>
      </c>
      <c r="EY133" s="22">
        <f t="shared" si="129"/>
        <v>37.619490508620899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1.5064102564102591</v>
      </c>
      <c r="FE133" s="12">
        <f>IF('Données projet'!$A$218&gt;35,FE132+FD133-FM132,IF(A133&lt;'Données projet'!$A$218,$FB$205^A133,IF(A133='Données projet'!$A$218,'Données projet'!$B$218,FE132+FD133-FM132)))</f>
        <v>109.40384615384671</v>
      </c>
      <c r="FF133" s="17">
        <f>FE133*VLOOKUP('Données projet'!$B$16,Paramètres!$A$1:$I$89,3,0)*VLOOKUP('Données projet'!$B$16,Paramètres!$A$1:$I$89,5,0)</f>
        <v>117.76230000000059</v>
      </c>
      <c r="FG133" s="13">
        <f t="shared" ref="FG133:FG153" si="155">EXP(-1.0587+0.8836*LN(FF133)+0.284)</f>
        <v>31.152522129183616</v>
      </c>
      <c r="FH133" s="20">
        <f t="shared" si="130"/>
        <v>259.35998187499581</v>
      </c>
      <c r="FI133" s="59">
        <f t="shared" si="131"/>
        <v>552.69331520832907</v>
      </c>
      <c r="FJ133" s="59">
        <f ca="1">AVERAGE(OFFSET($FI$3,0,0,'Données projet'!$E$16+1,1))-AVERAGE(OFFSET($H$3,0,0,'Données projet'!$E$16+1,1))</f>
        <v>347.17049316703486</v>
      </c>
      <c r="FK133" s="59">
        <f t="shared" ref="FK133:FK196" si="156">$FK$3</f>
        <v>255.45365487683489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155.3867818190968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155.3867818190968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7">
        <f t="shared" si="110"/>
        <v>430.58808543884061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266.02599413192075</v>
      </c>
      <c r="T134" s="59">
        <f t="shared" si="142"/>
        <v>332.94146254783254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110.91025641025641</v>
      </c>
      <c r="AG134" s="12">
        <f>VLOOKUP(A134,'Données projet'!$A$61:$I$81,9,0)</f>
        <v>1.5064102564102591</v>
      </c>
      <c r="AH134" s="12">
        <f t="array" ref="AH134">INDEX(AG:AG,MIN(IF(ISNUMBER(AG134:AG330),ROW(AG134:AG330),"")))</f>
        <v>1.5064102564102591</v>
      </c>
      <c r="AI134" s="13">
        <f>IF('Données projet'!$A$62&gt;35,AI133+AH134-AQ133,IF(A134&lt;'Données projet'!$A$62,$AF$205^A134,IF(A134='Données projet'!$A$62,'Données projet'!$B$62,AI133+AH134-AQ133)))</f>
        <v>110.91025641025698</v>
      </c>
      <c r="AJ134" s="13">
        <f>AI134*VLOOKUP('Données projet'!$B$10,Paramètres!$A$1:$I$89,3,0)*VLOOKUP('Données projet'!$B$10,Paramètres!$A$1:$I$89,5,0)</f>
        <v>100.3516000000005</v>
      </c>
      <c r="AK134" s="13">
        <f t="shared" si="143"/>
        <v>27.045744281593826</v>
      </c>
      <c r="AL134" s="20">
        <f t="shared" si="112"/>
        <v>221.88370795711012</v>
      </c>
      <c r="AM134" s="59">
        <f t="shared" si="113"/>
        <v>515.21704129044338</v>
      </c>
      <c r="AN134" s="59">
        <f ca="1">AVERAGE(OFFSET($AM$3,0,0,'Données projet'!$E$10+1,1))-AVERAGE(OFFSET($H$3,0,0,'Données projet'!$E$10+1,1))</f>
        <v>282.13645166362238</v>
      </c>
      <c r="AO134" s="59">
        <f t="shared" si="144"/>
        <v>210.5345332979457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110.91025641025641</v>
      </c>
      <c r="AR134" s="16">
        <f>IF(ISNA(VLOOKUP(A134,'Données projet'!$A$61:$I$81,5,0)),0%,VLOOKUP(A134,'Données projet'!$A$61:$I$81,5,0)*VLOOKUP('Données projet'!$B$10,Paramètres!$A$1:$I$89,7,0))</f>
        <v>0.38700000000000001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170.98582016742182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170.98582016742182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254.6443970237226</v>
      </c>
      <c r="BJ134" s="59">
        <f t="shared" si="146"/>
        <v>231.81667808018062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62.885651534962555</v>
      </c>
      <c r="BQ134" s="21">
        <f>EXP(-LN(2)/25)*BQ133+(1-EXP(-LN(2)/25))/(LN(2)/25)*Calculateur!BL134*Calculateur!BN134*VLOOKUP('Données projet'!$B$11,Paramètres!$A$1:$I$89,3,0)*0.475*44/12</f>
        <v>10.214827485086891</v>
      </c>
      <c r="BR134" s="21">
        <f>EXP(-LN(2)/2)*BR133+(1-EXP(-LN(2)/2))/(LN(2)/2)*BL134*BO134*VLOOKUP('Données projet'!$B$11,Paramètres!$A$1:$I$89,3,0)*0.475*44/12</f>
        <v>2.6231382121060971E-8</v>
      </c>
      <c r="BS134" s="22">
        <f t="shared" si="117"/>
        <v>73.100479046280824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5.2446581196581219</v>
      </c>
      <c r="BY134" s="12">
        <f>IF('Données projet'!$A$114&gt;35,BY133+BX134-CG133,IF(A134&lt;'Données projet'!$A$114,$BV$205^A134,IF(A134='Données projet'!$A$114,'Données projet'!$B$114,BY133+BX134-CG133)))</f>
        <v>261.60256410256363</v>
      </c>
      <c r="BZ134" s="13">
        <f>BY134*VLOOKUP('Données projet'!$B$12,Paramètres!$A$1:$I$89,3,0)*VLOOKUP('Données projet'!$B$12,Paramètres!$A$1:$I$89,5,0)</f>
        <v>265.26499999999953</v>
      </c>
      <c r="CA134" s="13">
        <f t="shared" si="147"/>
        <v>63.843350385205326</v>
      </c>
      <c r="CB134" s="20">
        <f t="shared" si="118"/>
        <v>573.19704358756508</v>
      </c>
      <c r="CC134" s="59">
        <f t="shared" si="119"/>
        <v>866.53037692089833</v>
      </c>
      <c r="CD134" s="59">
        <f ca="1">AVERAGE(OFFSET($CC$3,0,0,'Données projet'!$E$12+1,1))-AVERAGE(OFFSET($H$3,0,0,'Données projet'!$E$12+1,1))</f>
        <v>264.08050363622294</v>
      </c>
      <c r="CE134" s="59">
        <f t="shared" si="148"/>
        <v>164.48884512322883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42.441786162985984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42.441786162985984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194.7221767407824</v>
      </c>
      <c r="CZ134" s="59">
        <f t="shared" si="150"/>
        <v>177.6550559568646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49.723538422993684</v>
      </c>
      <c r="DG134" s="21">
        <f>EXP(-LN(2)/25)*DG133+(1-EXP(-LN(2)/25))/(LN(2)/25)*Calculateur!DB134*Calculateur!DD134*VLOOKUP('Données projet'!$B$13,Paramètres!$A$1:$I$89,3,0)*0.475*44/12</f>
        <v>8.0768403370454589</v>
      </c>
      <c r="DH134" s="21">
        <f>EXP(-LN(2)/2)*DH133+(1-EXP(-LN(2)/2))/(LN(2)/2)*DB134*DE134*VLOOKUP('Données projet'!$B$13,Paramètres!$A$1:$I$89,3,0)*0.475*44/12</f>
        <v>2.0741092839908765E-8</v>
      </c>
      <c r="DI134" s="22">
        <f t="shared" si="123"/>
        <v>57.800378780780235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3.4106051316484809E-13</v>
      </c>
      <c r="DP134" s="17">
        <f>DO134*VLOOKUP('Données projet'!$B$14,Paramètres!$A$1:$I$89,3,0)*VLOOKUP('Données projet'!$B$14,Paramètres!$A$1:$I$89,5,0)</f>
        <v>1.5961632016114892E-13</v>
      </c>
      <c r="DQ134" s="13">
        <f t="shared" si="151"/>
        <v>2.2708641912150958E-12</v>
      </c>
      <c r="DR134" s="20">
        <f t="shared" si="124"/>
        <v>4.2330868906469593E-12</v>
      </c>
      <c r="DS134" s="59">
        <f t="shared" si="125"/>
        <v>293.33333333333752</v>
      </c>
      <c r="DT134" s="59">
        <f ca="1">AVERAGE(OFFSET($DS$3,0,0,'Données projet'!$E$14+1,1))-AVERAGE(OFFSET($H$3,0,0,'Données projet'!$E$14+1,1))</f>
        <v>207.25176714718668</v>
      </c>
      <c r="DU134" s="59">
        <f t="shared" si="152"/>
        <v>191.53228014642559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104.70411629110676</v>
      </c>
      <c r="EB134" s="21">
        <f>EXP(-LN(2)/25)*EB133+(1-EXP(-LN(2)/25))/(LN(2)/25)*Calculateur!DW134*Calculateur!DY134*VLOOKUP('Données projet'!$B$14,Paramètres!$A$1:$I$89,3,0)*0.475*44/12</f>
        <v>21.360078728050382</v>
      </c>
      <c r="EC134" s="21">
        <f>EXP(-LN(2)/2)*EC133+(1-EXP(-LN(2)/2))/(LN(2)/2)*DW134*DZ134*VLOOKUP('Données projet'!$B$14,Paramètres!$A$1:$I$89,3,0)*0.475*44/12</f>
        <v>2.7083302299990928E-3</v>
      </c>
      <c r="ED134" s="22">
        <f t="shared" si="126"/>
        <v>126.06690334938713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-2.8421709430404007E-13</v>
      </c>
      <c r="EK134" s="17">
        <f>EJ134*VLOOKUP('Données projet'!$B$15,Paramètres!$A$1:$I$89,3,0)*VLOOKUP('Données projet'!$B$15,Paramètres!$A$1:$I$89,5,0)</f>
        <v>-1.69961822393816E-13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200.15574321350221</v>
      </c>
      <c r="EP134" s="59">
        <f t="shared" si="154"/>
        <v>200.70728852570426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31.79456413157768</v>
      </c>
      <c r="EW134" s="21">
        <f>EXP(-LN(2)/25)*EW133+(1-EXP(-LN(2)/25))/(LN(2)/25)*Calculateur!ER134*Calculateur!ET134*VLOOKUP('Données projet'!$B$15,Paramètres!$A$1:$I$89,3,0)*0.475*44/12</f>
        <v>5.0470908843946098</v>
      </c>
      <c r="EX134" s="21">
        <f>EXP(-LN(2)/2)*EX133+(1-EXP(-LN(2)/2))/(LN(2)/2)*ER134*EU134*VLOOKUP('Données projet'!$B$15,Paramètres!$A$1:$I$89,3,0)*0.475*44/12</f>
        <v>6.5777994789246856E-10</v>
      </c>
      <c r="EY134" s="22">
        <f t="shared" si="129"/>
        <v>36.841655016630071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>
        <f>VLOOKUP(A134,'Données projet'!$A$217:$I$237,2,0)</f>
        <v>110.91025641025641</v>
      </c>
      <c r="FC134" s="12">
        <f>VLOOKUP(A134,'Données projet'!$A$217:$I$237,9,0)</f>
        <v>1.5064102564102591</v>
      </c>
      <c r="FD134" s="12">
        <f t="array" ref="FD134">INDEX(FC:FC,MIN(IF(ISNUMBER(FC134:FC330),ROW(FC134:FC330),"")))</f>
        <v>1.5064102564102591</v>
      </c>
      <c r="FE134" s="12">
        <f>IF('Données projet'!$A$218&gt;35,FE133+FD134-FM133,IF(A134&lt;'Données projet'!$A$218,$FB$205^A134,IF(A134='Données projet'!$A$218,'Données projet'!$B$218,FE133+FD134-FM133)))</f>
        <v>110.91025641025698</v>
      </c>
      <c r="FF134" s="17">
        <f>FE134*VLOOKUP('Données projet'!$B$16,Paramètres!$A$1:$I$89,3,0)*VLOOKUP('Données projet'!$B$16,Paramètres!$A$1:$I$89,5,0)</f>
        <v>119.3838000000006</v>
      </c>
      <c r="FG134" s="13">
        <f t="shared" si="155"/>
        <v>31.531237729687465</v>
      </c>
      <c r="FH134" s="20">
        <f t="shared" si="130"/>
        <v>262.84369071254008</v>
      </c>
      <c r="FI134" s="59">
        <f t="shared" si="131"/>
        <v>556.1770240458734</v>
      </c>
      <c r="FJ134" s="59">
        <f ca="1">AVERAGE(OFFSET($FI$3,0,0,'Données projet'!$E$16+1,1))-AVERAGE(OFFSET($H$3,0,0,'Données projet'!$E$16+1,1))</f>
        <v>347.17049316703486</v>
      </c>
      <c r="FK134" s="59">
        <f t="shared" si="156"/>
        <v>255.45365487683489</v>
      </c>
      <c r="FL134" s="15">
        <f>IF(ISNA(VLOOKUP(A134,'Données projet'!$A$217:$I$237,3,0)),0,VLOOKUP(A134,'Données projet'!$A$217:$I$237,3,0))</f>
        <v>14</v>
      </c>
      <c r="FM134" s="15">
        <f>IF(ISNA(VLOOKUP(A134,'Données projet'!$A$217:$I$237,4,0)),0,VLOOKUP(A134,'Données projet'!$A$217:$I$237,4,0))</f>
        <v>110.91025641025641</v>
      </c>
      <c r="FN134" s="16">
        <f>IF(ISNA(VLOOKUP(A134,'Données projet'!$A$217:$I$237,5,0)),0%,VLOOKUP(A134,'Données projet'!$A$217:$I$237,5,0)*VLOOKUP('Données projet'!$B$16,Paramètres!$A$1:$I$89,7,0))</f>
        <v>0.38700000000000001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203.41416537158804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203.41416537158804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7">
        <f t="shared" si="110"/>
        <v>431.60866055104043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266.02599413192075</v>
      </c>
      <c r="T135" s="59">
        <f t="shared" si="142"/>
        <v>332.94146254783254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5.1431925385259092E-13</v>
      </c>
      <c r="AK135" s="13">
        <f t="shared" si="143"/>
        <v>6.3855359115685756E-12</v>
      </c>
      <c r="AL135" s="20">
        <f t="shared" si="112"/>
        <v>1.2017247746441865E-11</v>
      </c>
      <c r="AM135" s="59">
        <f t="shared" si="113"/>
        <v>293.33333333334531</v>
      </c>
      <c r="AN135" s="59">
        <f ca="1">AVERAGE(OFFSET($AM$3,0,0,'Données projet'!$E$10+1,1))-AVERAGE(OFFSET($H$3,0,0,'Données projet'!$E$10+1,1))</f>
        <v>282.13645166362238</v>
      </c>
      <c r="AO135" s="59">
        <f t="shared" si="144"/>
        <v>210.5345332979457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167.63289252499109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167.63289252499109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254.6443970237226</v>
      </c>
      <c r="BJ135" s="59">
        <f t="shared" si="146"/>
        <v>231.81667808018062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61.65250226482199</v>
      </c>
      <c r="BQ135" s="21">
        <f>EXP(-LN(2)/25)*BQ134+(1-EXP(-LN(2)/25))/(LN(2)/25)*Calculateur!BL135*Calculateur!BN135*VLOOKUP('Données projet'!$B$11,Paramètres!$A$1:$I$89,3,0)*0.475*44/12</f>
        <v>9.9355024903327589</v>
      </c>
      <c r="BR135" s="21">
        <f>EXP(-LN(2)/2)*BR134+(1-EXP(-LN(2)/2))/(LN(2)/2)*BL135*BO135*VLOOKUP('Données projet'!$B$11,Paramètres!$A$1:$I$89,3,0)*0.475*44/12</f>
        <v>1.8548388177697774E-8</v>
      </c>
      <c r="BS135" s="22">
        <f t="shared" si="117"/>
        <v>71.588004773703133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5.2446581196581219</v>
      </c>
      <c r="BY135" s="12">
        <f>IF('Données projet'!$A$114&gt;35,BY134+BX135-CG134,IF(A135&lt;'Données projet'!$A$114,$BV$205^A135,IF(A135='Données projet'!$A$114,'Données projet'!$B$114,BY134+BX135-CG134)))</f>
        <v>266.84722222222177</v>
      </c>
      <c r="BZ135" s="13">
        <f>BY135*VLOOKUP('Données projet'!$B$12,Paramètres!$A$1:$I$89,3,0)*VLOOKUP('Données projet'!$B$12,Paramètres!$A$1:$I$89,5,0)</f>
        <v>270.58308333333292</v>
      </c>
      <c r="CA135" s="13">
        <f t="shared" si="147"/>
        <v>64.972998746573325</v>
      </c>
      <c r="CB135" s="20">
        <f t="shared" si="118"/>
        <v>584.42684295583661</v>
      </c>
      <c r="CC135" s="59">
        <f t="shared" si="119"/>
        <v>877.76017628916998</v>
      </c>
      <c r="CD135" s="59">
        <f ca="1">AVERAGE(OFFSET($CC$3,0,0,'Données projet'!$E$12+1,1))-AVERAGE(OFFSET($H$3,0,0,'Données projet'!$E$12+1,1))</f>
        <v>264.08050363622294</v>
      </c>
      <c r="CE135" s="59">
        <f t="shared" si="148"/>
        <v>164.48884512322883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41.609528623263266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41.609528623263266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194.7221767407824</v>
      </c>
      <c r="CZ135" s="59">
        <f t="shared" si="150"/>
        <v>177.6550559568646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48.74849016288254</v>
      </c>
      <c r="DG135" s="21">
        <f>EXP(-LN(2)/25)*DG134+(1-EXP(-LN(2)/25))/(LN(2)/25)*Calculateur!DB135*Calculateur!DD135*VLOOKUP('Données projet'!$B$13,Paramètres!$A$1:$I$89,3,0)*0.475*44/12</f>
        <v>7.855978713286377</v>
      </c>
      <c r="DH135" s="21">
        <f>EXP(-LN(2)/2)*DH134+(1-EXP(-LN(2)/2))/(LN(2)/2)*DB135*DE135*VLOOKUP('Données projet'!$B$13,Paramètres!$A$1:$I$89,3,0)*0.475*44/12</f>
        <v>1.4666167396319236E-8</v>
      </c>
      <c r="DI135" s="22">
        <f t="shared" si="123"/>
        <v>56.604468890835086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3.4106051316484809E-13</v>
      </c>
      <c r="DP135" s="17">
        <f>DO135*VLOOKUP('Données projet'!$B$14,Paramètres!$A$1:$I$89,3,0)*VLOOKUP('Données projet'!$B$14,Paramètres!$A$1:$I$89,5,0)</f>
        <v>1.5961632016114892E-13</v>
      </c>
      <c r="DQ135" s="13">
        <f t="shared" si="151"/>
        <v>2.2708641912150958E-12</v>
      </c>
      <c r="DR135" s="20">
        <f t="shared" si="124"/>
        <v>4.2330868906469593E-12</v>
      </c>
      <c r="DS135" s="59">
        <f t="shared" si="125"/>
        <v>293.33333333333752</v>
      </c>
      <c r="DT135" s="59">
        <f ca="1">AVERAGE(OFFSET($DS$3,0,0,'Données projet'!$E$14+1,1))-AVERAGE(OFFSET($H$3,0,0,'Données projet'!$E$14+1,1))</f>
        <v>207.25176714718668</v>
      </c>
      <c r="DU135" s="59">
        <f t="shared" si="152"/>
        <v>191.53228014642559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102.65093243384312</v>
      </c>
      <c r="EB135" s="21">
        <f>EXP(-LN(2)/25)*EB134+(1-EXP(-LN(2)/25))/(LN(2)/25)*Calculateur!DW135*Calculateur!DY135*VLOOKUP('Données projet'!$B$14,Paramètres!$A$1:$I$89,3,0)*0.475*44/12</f>
        <v>20.775986251954123</v>
      </c>
      <c r="EC135" s="21">
        <f>EXP(-LN(2)/2)*EC134+(1-EXP(-LN(2)/2))/(LN(2)/2)*DW135*DZ135*VLOOKUP('Données projet'!$B$14,Paramètres!$A$1:$I$89,3,0)*0.475*44/12</f>
        <v>1.9150786713248806E-3</v>
      </c>
      <c r="ED135" s="22">
        <f t="shared" si="126"/>
        <v>123.42883376446858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-2.8421709430404007E-13</v>
      </c>
      <c r="EK135" s="17">
        <f>EJ135*VLOOKUP('Données projet'!$B$15,Paramètres!$A$1:$I$89,3,0)*VLOOKUP('Données projet'!$B$15,Paramètres!$A$1:$I$89,5,0)</f>
        <v>-1.69961822393816E-13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200.15574321350221</v>
      </c>
      <c r="EP135" s="59">
        <f t="shared" si="154"/>
        <v>200.70728852570426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31.171092121726684</v>
      </c>
      <c r="EW135" s="21">
        <f>EXP(-LN(2)/25)*EW134+(1-EXP(-LN(2)/25))/(LN(2)/25)*Calculateur!ER135*Calculateur!ET135*VLOOKUP('Données projet'!$B$15,Paramètres!$A$1:$I$89,3,0)*0.475*44/12</f>
        <v>4.9090779187458651</v>
      </c>
      <c r="EX135" s="21">
        <f>EXP(-LN(2)/2)*EX134+(1-EXP(-LN(2)/2))/(LN(2)/2)*ER135*EU135*VLOOKUP('Données projet'!$B$15,Paramètres!$A$1:$I$89,3,0)*0.475*44/12</f>
        <v>4.6512066168329842E-10</v>
      </c>
      <c r="EY135" s="22">
        <f t="shared" si="129"/>
        <v>36.080170040937674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5.6843418860808015E-13</v>
      </c>
      <c r="FF135" s="17">
        <f>FE135*VLOOKUP('Données projet'!$B$16,Paramètres!$A$1:$I$89,3,0)*VLOOKUP('Données projet'!$B$16,Paramètres!$A$1:$I$89,5,0)</f>
        <v>6.1186256061773743E-13</v>
      </c>
      <c r="FG135" s="13">
        <f t="shared" si="155"/>
        <v>7.4445668332430206E-12</v>
      </c>
      <c r="FH135" s="20">
        <f t="shared" si="130"/>
        <v>1.4031614527640822E-11</v>
      </c>
      <c r="FI135" s="59">
        <f t="shared" si="131"/>
        <v>293.33333333334735</v>
      </c>
      <c r="FJ135" s="59">
        <f ca="1">AVERAGE(OFFSET($FI$3,0,0,'Données projet'!$E$16+1,1))-AVERAGE(OFFSET($H$3,0,0,'Données projet'!$E$16+1,1))</f>
        <v>347.17049316703486</v>
      </c>
      <c r="FK135" s="59">
        <f t="shared" si="156"/>
        <v>255.45365487683489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199.42533765904113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199.42533765904113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7">
        <f t="shared" si="110"/>
        <v>432.6290545495836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266.02599413192075</v>
      </c>
      <c r="T136" s="59">
        <f t="shared" si="142"/>
        <v>332.94146254783254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5.1431925385259092E-13</v>
      </c>
      <c r="AK136" s="13">
        <f t="shared" si="143"/>
        <v>6.3855359115685756E-12</v>
      </c>
      <c r="AL136" s="20">
        <f t="shared" si="112"/>
        <v>1.2017247746441865E-11</v>
      </c>
      <c r="AM136" s="59">
        <f t="shared" si="113"/>
        <v>293.33333333334531</v>
      </c>
      <c r="AN136" s="59">
        <f ca="1">AVERAGE(OFFSET($AM$3,0,0,'Données projet'!$E$10+1,1))-AVERAGE(OFFSET($H$3,0,0,'Données projet'!$E$10+1,1))</f>
        <v>282.13645166362238</v>
      </c>
      <c r="AO136" s="59">
        <f t="shared" si="144"/>
        <v>210.5345332979457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164.34571374854451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164.34571374854451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254.6443970237226</v>
      </c>
      <c r="BJ136" s="59">
        <f t="shared" si="146"/>
        <v>231.81667808018062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60.443534299722096</v>
      </c>
      <c r="BQ136" s="21">
        <f>EXP(-LN(2)/25)*BQ135+(1-EXP(-LN(2)/25))/(LN(2)/25)*Calculateur!BL136*Calculateur!BN136*VLOOKUP('Données projet'!$B$11,Paramètres!$A$1:$I$89,3,0)*0.475*44/12</f>
        <v>9.6638156522492409</v>
      </c>
      <c r="BR136" s="21">
        <f>EXP(-LN(2)/2)*BR135+(1-EXP(-LN(2)/2))/(LN(2)/2)*BL136*BO136*VLOOKUP('Données projet'!$B$11,Paramètres!$A$1:$I$89,3,0)*0.475*44/12</f>
        <v>1.3115691060530485E-8</v>
      </c>
      <c r="BS136" s="22">
        <f t="shared" si="117"/>
        <v>70.107349965087039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5.2446581196581219</v>
      </c>
      <c r="BY136" s="12">
        <f>IF('Données projet'!$A$114&gt;35,BY135+BX136-CG135,IF(A136&lt;'Données projet'!$A$114,$BV$205^A136,IF(A136='Données projet'!$A$114,'Données projet'!$B$114,BY135+BX136-CG135)))</f>
        <v>272.09188034187991</v>
      </c>
      <c r="BZ136" s="13">
        <f>BY136*VLOOKUP('Données projet'!$B$12,Paramètres!$A$1:$I$89,3,0)*VLOOKUP('Données projet'!$B$12,Paramètres!$A$1:$I$89,5,0)</f>
        <v>275.90116666666626</v>
      </c>
      <c r="CA136" s="13">
        <f t="shared" si="147"/>
        <v>66.100065539585671</v>
      </c>
      <c r="CB136" s="20">
        <f t="shared" si="118"/>
        <v>595.65214609255543</v>
      </c>
      <c r="CC136" s="59">
        <f t="shared" si="119"/>
        <v>888.9854794258888</v>
      </c>
      <c r="CD136" s="59">
        <f ca="1">AVERAGE(OFFSET($CC$3,0,0,'Données projet'!$E$12+1,1))-AVERAGE(OFFSET($H$3,0,0,'Données projet'!$E$12+1,1))</f>
        <v>264.08050363622294</v>
      </c>
      <c r="CE136" s="59">
        <f t="shared" si="148"/>
        <v>164.48884512322883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40.793591146267538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40.793591146267538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194.7221767407824</v>
      </c>
      <c r="CZ136" s="59">
        <f t="shared" si="150"/>
        <v>177.6550559568646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47.79256200443146</v>
      </c>
      <c r="DG136" s="21">
        <f>EXP(-LN(2)/25)*DG135+(1-EXP(-LN(2)/25))/(LN(2)/25)*Calculateur!DB136*Calculateur!DD136*VLOOKUP('Données projet'!$B$13,Paramètres!$A$1:$I$89,3,0)*0.475*44/12</f>
        <v>7.6411565622435953</v>
      </c>
      <c r="DH136" s="21">
        <f>EXP(-LN(2)/2)*DH135+(1-EXP(-LN(2)/2))/(LN(2)/2)*DB136*DE136*VLOOKUP('Données projet'!$B$13,Paramètres!$A$1:$I$89,3,0)*0.475*44/12</f>
        <v>1.0370546419954384E-8</v>
      </c>
      <c r="DI136" s="22">
        <f t="shared" si="123"/>
        <v>55.433718577045603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3.4106051316484809E-13</v>
      </c>
      <c r="DP136" s="17">
        <f>DO136*VLOOKUP('Données projet'!$B$14,Paramètres!$A$1:$I$89,3,0)*VLOOKUP('Données projet'!$B$14,Paramètres!$A$1:$I$89,5,0)</f>
        <v>1.5961632016114892E-13</v>
      </c>
      <c r="DQ136" s="13">
        <f t="shared" si="151"/>
        <v>2.2708641912150958E-12</v>
      </c>
      <c r="DR136" s="20">
        <f t="shared" si="124"/>
        <v>4.2330868906469593E-12</v>
      </c>
      <c r="DS136" s="59">
        <f t="shared" si="125"/>
        <v>293.33333333333752</v>
      </c>
      <c r="DT136" s="59">
        <f ca="1">AVERAGE(OFFSET($DS$3,0,0,'Données projet'!$E$14+1,1))-AVERAGE(OFFSET($H$3,0,0,'Données projet'!$E$14+1,1))</f>
        <v>207.25176714718668</v>
      </c>
      <c r="DU136" s="59">
        <f t="shared" si="152"/>
        <v>191.53228014642559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100.63801025970193</v>
      </c>
      <c r="EB136" s="21">
        <f>EXP(-LN(2)/25)*EB135+(1-EXP(-LN(2)/25))/(LN(2)/25)*Calculateur!DW136*Calculateur!DY136*VLOOKUP('Données projet'!$B$14,Paramètres!$A$1:$I$89,3,0)*0.475*44/12</f>
        <v>20.207865815332806</v>
      </c>
      <c r="EC136" s="21">
        <f>EXP(-LN(2)/2)*EC135+(1-EXP(-LN(2)/2))/(LN(2)/2)*DW136*DZ136*VLOOKUP('Données projet'!$B$14,Paramètres!$A$1:$I$89,3,0)*0.475*44/12</f>
        <v>1.3541651149995466E-3</v>
      </c>
      <c r="ED136" s="22">
        <f t="shared" si="126"/>
        <v>120.84723024014974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-2.8421709430404007E-13</v>
      </c>
      <c r="EK136" s="17">
        <f>EJ136*VLOOKUP('Données projet'!$B$15,Paramètres!$A$1:$I$89,3,0)*VLOOKUP('Données projet'!$B$15,Paramètres!$A$1:$I$89,5,0)</f>
        <v>-1.69961822393816E-13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200.15574321350221</v>
      </c>
      <c r="EP136" s="59">
        <f t="shared" si="154"/>
        <v>200.70728852570426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30.559846017708491</v>
      </c>
      <c r="EW136" s="21">
        <f>EXP(-LN(2)/25)*EW135+(1-EXP(-LN(2)/25))/(LN(2)/25)*Calculateur!ER136*Calculateur!ET136*VLOOKUP('Données projet'!$B$15,Paramètres!$A$1:$I$89,3,0)*0.475*44/12</f>
        <v>4.7748389249005712</v>
      </c>
      <c r="EX136" s="21">
        <f>EXP(-LN(2)/2)*EX135+(1-EXP(-LN(2)/2))/(LN(2)/2)*ER136*EU136*VLOOKUP('Données projet'!$B$15,Paramètres!$A$1:$I$89,3,0)*0.475*44/12</f>
        <v>3.2888997394623433E-10</v>
      </c>
      <c r="EY136" s="22">
        <f t="shared" si="129"/>
        <v>35.334684942937947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5.6843418860808015E-13</v>
      </c>
      <c r="FF136" s="17">
        <f>FE136*VLOOKUP('Données projet'!$B$16,Paramètres!$A$1:$I$89,3,0)*VLOOKUP('Données projet'!$B$16,Paramètres!$A$1:$I$89,5,0)</f>
        <v>6.1186256061773743E-13</v>
      </c>
      <c r="FG136" s="13">
        <f t="shared" si="155"/>
        <v>7.4445668332430206E-12</v>
      </c>
      <c r="FH136" s="20">
        <f t="shared" si="130"/>
        <v>1.4031614527640822E-11</v>
      </c>
      <c r="FI136" s="59">
        <f t="shared" si="131"/>
        <v>293.33333333334735</v>
      </c>
      <c r="FJ136" s="59">
        <f ca="1">AVERAGE(OFFSET($FI$3,0,0,'Données projet'!$E$16+1,1))-AVERAGE(OFFSET($H$3,0,0,'Données projet'!$E$16+1,1))</f>
        <v>347.17049316703486</v>
      </c>
      <c r="FK136" s="59">
        <f t="shared" si="156"/>
        <v>255.45365487683489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195.5147284249926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195.5147284249926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7">
        <f t="shared" si="110"/>
        <v>433.649268954099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266.02599413192075</v>
      </c>
      <c r="T137" s="59">
        <f t="shared" si="142"/>
        <v>332.94146254783254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5.1431925385259092E-13</v>
      </c>
      <c r="AK137" s="13">
        <f t="shared" si="143"/>
        <v>6.3855359115685756E-12</v>
      </c>
      <c r="AL137" s="20">
        <f t="shared" si="112"/>
        <v>1.2017247746441865E-11</v>
      </c>
      <c r="AM137" s="59">
        <f t="shared" si="113"/>
        <v>293.33333333334531</v>
      </c>
      <c r="AN137" s="59">
        <f ca="1">AVERAGE(OFFSET($AM$3,0,0,'Données projet'!$E$10+1,1))-AVERAGE(OFFSET($H$3,0,0,'Données projet'!$E$10+1,1))</f>
        <v>282.13645166362238</v>
      </c>
      <c r="AO137" s="59">
        <f t="shared" si="144"/>
        <v>210.5345332979457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161.12299454292295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161.12299454292295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254.6443970237226</v>
      </c>
      <c r="BJ137" s="59">
        <f t="shared" si="146"/>
        <v>231.81667808018062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59.25827345902016</v>
      </c>
      <c r="BQ137" s="21">
        <f>EXP(-LN(2)/25)*BQ136+(1-EXP(-LN(2)/25))/(LN(2)/25)*Calculateur!BL137*Calculateur!BN137*VLOOKUP('Données projet'!$B$11,Paramètres!$A$1:$I$89,3,0)*0.475*44/12</f>
        <v>9.3995581050405068</v>
      </c>
      <c r="BR137" s="21">
        <f>EXP(-LN(2)/2)*BR136+(1-EXP(-LN(2)/2))/(LN(2)/2)*BL137*BO137*VLOOKUP('Données projet'!$B$11,Paramètres!$A$1:$I$89,3,0)*0.475*44/12</f>
        <v>9.2741940888488872E-9</v>
      </c>
      <c r="BS137" s="22">
        <f t="shared" si="117"/>
        <v>68.65783157333486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5.2446581196581219</v>
      </c>
      <c r="BY137" s="12">
        <f>IF('Données projet'!$A$114&gt;35,BY136+BX137-CG136,IF(A137&lt;'Données projet'!$A$114,$BV$205^A137,IF(A137='Données projet'!$A$114,'Données projet'!$B$114,BY136+BX137-CG136)))</f>
        <v>277.33653846153805</v>
      </c>
      <c r="BZ137" s="13">
        <f>BY137*VLOOKUP('Données projet'!$B$12,Paramètres!$A$1:$I$89,3,0)*VLOOKUP('Données projet'!$B$12,Paramètres!$A$1:$I$89,5,0)</f>
        <v>281.21924999999965</v>
      </c>
      <c r="CA137" s="13">
        <f t="shared" si="147"/>
        <v>67.224606261587638</v>
      </c>
      <c r="CB137" s="20">
        <f t="shared" si="118"/>
        <v>606.87304965559781</v>
      </c>
      <c r="CC137" s="59">
        <f t="shared" si="119"/>
        <v>900.20638298893118</v>
      </c>
      <c r="CD137" s="59">
        <f ca="1">AVERAGE(OFFSET($CC$3,0,0,'Données projet'!$E$12+1,1))-AVERAGE(OFFSET($H$3,0,0,'Données projet'!$E$12+1,1))</f>
        <v>264.08050363622294</v>
      </c>
      <c r="CE137" s="59">
        <f t="shared" si="148"/>
        <v>164.48884512322883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39.993653705522973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39.993653705522973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194.7221767407824</v>
      </c>
      <c r="CZ137" s="59">
        <f t="shared" si="150"/>
        <v>177.6550559568646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46.855379014108998</v>
      </c>
      <c r="DG137" s="21">
        <f>EXP(-LN(2)/25)*DG136+(1-EXP(-LN(2)/25))/(LN(2)/25)*Calculateur!DB137*Calculateur!DD137*VLOOKUP('Données projet'!$B$13,Paramètres!$A$1:$I$89,3,0)*0.475*44/12</f>
        <v>7.4322087342180847</v>
      </c>
      <c r="DH137" s="21">
        <f>EXP(-LN(2)/2)*DH136+(1-EXP(-LN(2)/2))/(LN(2)/2)*DB137*DE137*VLOOKUP('Données projet'!$B$13,Paramètres!$A$1:$I$89,3,0)*0.475*44/12</f>
        <v>7.3330836981596187E-9</v>
      </c>
      <c r="DI137" s="22">
        <f t="shared" si="123"/>
        <v>54.287587755660169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3.4106051316484809E-13</v>
      </c>
      <c r="DP137" s="17">
        <f>DO137*VLOOKUP('Données projet'!$B$14,Paramètres!$A$1:$I$89,3,0)*VLOOKUP('Données projet'!$B$14,Paramètres!$A$1:$I$89,5,0)</f>
        <v>1.5961632016114892E-13</v>
      </c>
      <c r="DQ137" s="13">
        <f t="shared" si="151"/>
        <v>2.2708641912150958E-12</v>
      </c>
      <c r="DR137" s="20">
        <f t="shared" si="124"/>
        <v>4.2330868906469593E-12</v>
      </c>
      <c r="DS137" s="59">
        <f t="shared" si="125"/>
        <v>293.33333333333752</v>
      </c>
      <c r="DT137" s="59">
        <f ca="1">AVERAGE(OFFSET($DS$3,0,0,'Données projet'!$E$14+1,1))-AVERAGE(OFFSET($H$3,0,0,'Données projet'!$E$14+1,1))</f>
        <v>207.25176714718668</v>
      </c>
      <c r="DU137" s="59">
        <f t="shared" si="152"/>
        <v>191.53228014642559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98.66456026163435</v>
      </c>
      <c r="EB137" s="21">
        <f>EXP(-LN(2)/25)*EB136+(1-EXP(-LN(2)/25))/(LN(2)/25)*Calculateur!DW137*Calculateur!DY137*VLOOKUP('Données projet'!$B$14,Paramètres!$A$1:$I$89,3,0)*0.475*44/12</f>
        <v>19.655280661927051</v>
      </c>
      <c r="EC137" s="21">
        <f>EXP(-LN(2)/2)*EC136+(1-EXP(-LN(2)/2))/(LN(2)/2)*DW137*DZ137*VLOOKUP('Données projet'!$B$14,Paramètres!$A$1:$I$89,3,0)*0.475*44/12</f>
        <v>9.5753933566244042E-4</v>
      </c>
      <c r="ED137" s="22">
        <f t="shared" si="126"/>
        <v>118.32079846289706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-2.8421709430404007E-13</v>
      </c>
      <c r="EK137" s="17">
        <f>EJ137*VLOOKUP('Données projet'!$B$15,Paramètres!$A$1:$I$89,3,0)*VLOOKUP('Données projet'!$B$15,Paramètres!$A$1:$I$89,5,0)</f>
        <v>-1.69961822393816E-13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200.15574321350221</v>
      </c>
      <c r="EP137" s="59">
        <f t="shared" si="154"/>
        <v>200.70728852570426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29.960586076966784</v>
      </c>
      <c r="EW137" s="21">
        <f>EXP(-LN(2)/25)*EW136+(1-EXP(-LN(2)/25))/(LN(2)/25)*Calculateur!ER137*Calculateur!ET137*VLOOKUP('Données projet'!$B$15,Paramètres!$A$1:$I$89,3,0)*0.475*44/12</f>
        <v>4.6442707034012987</v>
      </c>
      <c r="EX137" s="21">
        <f>EXP(-LN(2)/2)*EX136+(1-EXP(-LN(2)/2))/(LN(2)/2)*ER137*EU137*VLOOKUP('Données projet'!$B$15,Paramètres!$A$1:$I$89,3,0)*0.475*44/12</f>
        <v>2.3256033084164926E-10</v>
      </c>
      <c r="EY137" s="22">
        <f t="shared" si="129"/>
        <v>34.604856780600642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5.6843418860808015E-13</v>
      </c>
      <c r="FF137" s="17">
        <f>FE137*VLOOKUP('Données projet'!$B$16,Paramètres!$A$1:$I$89,3,0)*VLOOKUP('Données projet'!$B$16,Paramètres!$A$1:$I$89,5,0)</f>
        <v>6.1186256061773743E-13</v>
      </c>
      <c r="FG137" s="13">
        <f t="shared" si="155"/>
        <v>7.4445668332430206E-12</v>
      </c>
      <c r="FH137" s="20">
        <f t="shared" si="130"/>
        <v>1.4031614527640822E-11</v>
      </c>
      <c r="FI137" s="59">
        <f t="shared" si="131"/>
        <v>293.33333333334735</v>
      </c>
      <c r="FJ137" s="59">
        <f ca="1">AVERAGE(OFFSET($FI$3,0,0,'Données projet'!$E$16+1,1))-AVERAGE(OFFSET($H$3,0,0,'Données projet'!$E$16+1,1))</f>
        <v>347.17049316703486</v>
      </c>
      <c r="FK137" s="59">
        <f t="shared" si="156"/>
        <v>255.45365487683489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191.68080385278765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191.68080385278765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7">
        <f t="shared" si="110"/>
        <v>434.66930526022429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266.02599413192075</v>
      </c>
      <c r="T138" s="59">
        <f t="shared" si="142"/>
        <v>332.94146254783254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5.1431925385259092E-13</v>
      </c>
      <c r="AK138" s="13">
        <f t="shared" si="143"/>
        <v>6.3855359115685756E-12</v>
      </c>
      <c r="AL138" s="20">
        <f t="shared" si="112"/>
        <v>1.2017247746441865E-11</v>
      </c>
      <c r="AM138" s="59">
        <f t="shared" si="113"/>
        <v>293.33333333334531</v>
      </c>
      <c r="AN138" s="59">
        <f ca="1">AVERAGE(OFFSET($AM$3,0,0,'Données projet'!$E$10+1,1))-AVERAGE(OFFSET($H$3,0,0,'Données projet'!$E$10+1,1))</f>
        <v>282.13645166362238</v>
      </c>
      <c r="AO138" s="59">
        <f t="shared" si="144"/>
        <v>210.5345332979457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157.96347089525904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157.96347089525904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254.6443970237226</v>
      </c>
      <c r="BJ138" s="59">
        <f t="shared" si="146"/>
        <v>231.81667808018062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58.096254860466665</v>
      </c>
      <c r="BQ138" s="21">
        <f>EXP(-LN(2)/25)*BQ137+(1-EXP(-LN(2)/25))/(LN(2)/25)*Calculateur!BL138*Calculateur!BN138*VLOOKUP('Données projet'!$B$11,Paramètres!$A$1:$I$89,3,0)*0.475*44/12</f>
        <v>9.1425266943568957</v>
      </c>
      <c r="BR138" s="21">
        <f>EXP(-LN(2)/2)*BR137+(1-EXP(-LN(2)/2))/(LN(2)/2)*BL138*BO138*VLOOKUP('Données projet'!$B$11,Paramètres!$A$1:$I$89,3,0)*0.475*44/12</f>
        <v>6.5578455302652427E-9</v>
      </c>
      <c r="BS138" s="22">
        <f t="shared" si="117"/>
        <v>67.238781561381401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5.2446581196581219</v>
      </c>
      <c r="BY138" s="12">
        <f>IF('Données projet'!$A$114&gt;35,BY137+BX138-CG137,IF(A138&lt;'Données projet'!$A$114,$BV$205^A138,IF(A138='Données projet'!$A$114,'Données projet'!$B$114,BY137+BX138-CG137)))</f>
        <v>282.5811965811962</v>
      </c>
      <c r="BZ138" s="13">
        <f>BY138*VLOOKUP('Données projet'!$B$12,Paramètres!$A$1:$I$89,3,0)*VLOOKUP('Données projet'!$B$12,Paramètres!$A$1:$I$89,5,0)</f>
        <v>286.53733333333292</v>
      </c>
      <c r="CA138" s="13">
        <f t="shared" si="147"/>
        <v>68.346674190809836</v>
      </c>
      <c r="CB138" s="20">
        <f t="shared" si="118"/>
        <v>618.08964643788192</v>
      </c>
      <c r="CC138" s="59">
        <f t="shared" si="119"/>
        <v>911.4229797712153</v>
      </c>
      <c r="CD138" s="59">
        <f ca="1">AVERAGE(OFFSET($CC$3,0,0,'Données projet'!$E$12+1,1))-AVERAGE(OFFSET($H$3,0,0,'Données projet'!$E$12+1,1))</f>
        <v>264.08050363622294</v>
      </c>
      <c r="CE138" s="59">
        <f t="shared" si="148"/>
        <v>164.48884512322883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39.209402550077748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39.209402550077748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194.7221767407824</v>
      </c>
      <c r="CZ138" s="59">
        <f t="shared" si="150"/>
        <v>177.6550559568646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45.936573610601585</v>
      </c>
      <c r="DG138" s="21">
        <f>EXP(-LN(2)/25)*DG137+(1-EXP(-LN(2)/25))/(LN(2)/25)*Calculateur!DB138*Calculateur!DD138*VLOOKUP('Données projet'!$B$13,Paramètres!$A$1:$I$89,3,0)*0.475*44/12</f>
        <v>7.2289745955380207</v>
      </c>
      <c r="DH138" s="21">
        <f>EXP(-LN(2)/2)*DH137+(1-EXP(-LN(2)/2))/(LN(2)/2)*DB138*DE138*VLOOKUP('Données projet'!$B$13,Paramètres!$A$1:$I$89,3,0)*0.475*44/12</f>
        <v>5.1852732099771928E-9</v>
      </c>
      <c r="DI138" s="22">
        <f t="shared" si="123"/>
        <v>53.165548211324875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3.4106051316484809E-13</v>
      </c>
      <c r="DP138" s="17">
        <f>DO138*VLOOKUP('Données projet'!$B$14,Paramètres!$A$1:$I$89,3,0)*VLOOKUP('Données projet'!$B$14,Paramètres!$A$1:$I$89,5,0)</f>
        <v>1.5961632016114892E-13</v>
      </c>
      <c r="DQ138" s="13">
        <f t="shared" si="151"/>
        <v>2.2708641912150958E-12</v>
      </c>
      <c r="DR138" s="20">
        <f t="shared" si="124"/>
        <v>4.2330868906469593E-12</v>
      </c>
      <c r="DS138" s="59">
        <f t="shared" si="125"/>
        <v>293.33333333333752</v>
      </c>
      <c r="DT138" s="59">
        <f ca="1">AVERAGE(OFFSET($DS$3,0,0,'Données projet'!$E$14+1,1))-AVERAGE(OFFSET($H$3,0,0,'Données projet'!$E$14+1,1))</f>
        <v>207.25176714718668</v>
      </c>
      <c r="DU138" s="59">
        <f t="shared" si="152"/>
        <v>191.53228014642559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96.729808414343239</v>
      </c>
      <c r="EB138" s="21">
        <f>EXP(-LN(2)/25)*EB137+(1-EXP(-LN(2)/25))/(LN(2)/25)*Calculateur!DW138*Calculateur!DY138*VLOOKUP('Données projet'!$B$14,Paramètres!$A$1:$I$89,3,0)*0.475*44/12</f>
        <v>19.117805978600369</v>
      </c>
      <c r="EC138" s="21">
        <f>EXP(-LN(2)/2)*EC137+(1-EXP(-LN(2)/2))/(LN(2)/2)*DW138*DZ138*VLOOKUP('Données projet'!$B$14,Paramètres!$A$1:$I$89,3,0)*0.475*44/12</f>
        <v>6.7708255749977342E-4</v>
      </c>
      <c r="ED138" s="22">
        <f t="shared" si="126"/>
        <v>115.84829147550111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-2.8421709430404007E-13</v>
      </c>
      <c r="EK138" s="17">
        <f>EJ138*VLOOKUP('Données projet'!$B$15,Paramètres!$A$1:$I$89,3,0)*VLOOKUP('Données projet'!$B$15,Paramètres!$A$1:$I$89,5,0)</f>
        <v>-1.69961822393816E-13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200.15574321350221</v>
      </c>
      <c r="EP138" s="59">
        <f t="shared" si="154"/>
        <v>200.70728852570426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29.373077258150548</v>
      </c>
      <c r="EW138" s="21">
        <f>EXP(-LN(2)/25)*EW137+(1-EXP(-LN(2)/25))/(LN(2)/25)*Calculateur!ER138*Calculateur!ET138*VLOOKUP('Données projet'!$B$15,Paramètres!$A$1:$I$89,3,0)*0.475*44/12</f>
        <v>4.5172728767852082</v>
      </c>
      <c r="EX138" s="21">
        <f>EXP(-LN(2)/2)*EX137+(1-EXP(-LN(2)/2))/(LN(2)/2)*ER138*EU138*VLOOKUP('Données projet'!$B$15,Paramètres!$A$1:$I$89,3,0)*0.475*44/12</f>
        <v>1.6444498697311719E-10</v>
      </c>
      <c r="EY138" s="22">
        <f t="shared" si="129"/>
        <v>33.890350135100206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5.6843418860808015E-13</v>
      </c>
      <c r="FF138" s="17">
        <f>FE138*VLOOKUP('Données projet'!$B$16,Paramètres!$A$1:$I$89,3,0)*VLOOKUP('Données projet'!$B$16,Paramètres!$A$1:$I$89,5,0)</f>
        <v>6.1186256061773743E-13</v>
      </c>
      <c r="FG138" s="13">
        <f t="shared" si="155"/>
        <v>7.4445668332430206E-12</v>
      </c>
      <c r="FH138" s="20">
        <f t="shared" si="130"/>
        <v>1.4031614527640822E-11</v>
      </c>
      <c r="FI138" s="59">
        <f t="shared" si="131"/>
        <v>293.33333333334735</v>
      </c>
      <c r="FJ138" s="59">
        <f ca="1">AVERAGE(OFFSET($FI$3,0,0,'Données projet'!$E$16+1,1))-AVERAGE(OFFSET($H$3,0,0,'Données projet'!$E$16+1,1))</f>
        <v>347.17049316703486</v>
      </c>
      <c r="FK138" s="59">
        <f t="shared" si="156"/>
        <v>255.45365487683489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187.92206020298056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187.92206020298056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7">
        <f t="shared" si="110"/>
        <v>435.68916494015957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266.02599413192075</v>
      </c>
      <c r="T139" s="59">
        <f t="shared" si="142"/>
        <v>332.94146254783254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5.1431925385259092E-13</v>
      </c>
      <c r="AK139" s="13">
        <f t="shared" si="143"/>
        <v>6.3855359115685756E-12</v>
      </c>
      <c r="AL139" s="20">
        <f t="shared" si="112"/>
        <v>1.2017247746441865E-11</v>
      </c>
      <c r="AM139" s="59">
        <f t="shared" si="113"/>
        <v>293.33333333334531</v>
      </c>
      <c r="AN139" s="59">
        <f ca="1">AVERAGE(OFFSET($AM$3,0,0,'Données projet'!$E$10+1,1))-AVERAGE(OFFSET($H$3,0,0,'Données projet'!$E$10+1,1))</f>
        <v>282.13645166362238</v>
      </c>
      <c r="AO139" s="59">
        <f t="shared" si="144"/>
        <v>210.5345332979457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154.86590357920664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154.86590357920664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254.6443970237226</v>
      </c>
      <c r="BJ139" s="59">
        <f t="shared" si="146"/>
        <v>231.81667808018062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56.957022737869444</v>
      </c>
      <c r="BQ139" s="21">
        <f>EXP(-LN(2)/25)*BQ138+(1-EXP(-LN(2)/25))/(LN(2)/25)*Calculateur!BL139*Calculateur!BN139*VLOOKUP('Données projet'!$B$11,Paramètres!$A$1:$I$89,3,0)*0.475*44/12</f>
        <v>8.8925238211151232</v>
      </c>
      <c r="BR139" s="21">
        <f>EXP(-LN(2)/2)*BR138+(1-EXP(-LN(2)/2))/(LN(2)/2)*BL139*BO139*VLOOKUP('Données projet'!$B$11,Paramètres!$A$1:$I$89,3,0)*0.475*44/12</f>
        <v>4.6370970444244436E-9</v>
      </c>
      <c r="BS139" s="22">
        <f t="shared" si="117"/>
        <v>65.849546563621672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5.2446581196581219</v>
      </c>
      <c r="BY139" s="12">
        <f>IF('Données projet'!$A$114&gt;35,BY138+BX139-CG138,IF(A139&lt;'Données projet'!$A$114,$BV$205^A139,IF(A139='Données projet'!$A$114,'Données projet'!$B$114,BY138+BX139-CG138)))</f>
        <v>287.82585470085434</v>
      </c>
      <c r="BZ139" s="13">
        <f>BY139*VLOOKUP('Données projet'!$B$12,Paramètres!$A$1:$I$89,3,0)*VLOOKUP('Données projet'!$B$12,Paramètres!$A$1:$I$89,5,0)</f>
        <v>291.85541666666631</v>
      </c>
      <c r="CA139" s="13">
        <f t="shared" si="147"/>
        <v>69.466320514612647</v>
      </c>
      <c r="CB139" s="20">
        <f t="shared" si="118"/>
        <v>629.30202559072757</v>
      </c>
      <c r="CC139" s="59">
        <f t="shared" si="119"/>
        <v>922.63535892406094</v>
      </c>
      <c r="CD139" s="59">
        <f ca="1">AVERAGE(OFFSET($CC$3,0,0,'Données projet'!$E$12+1,1))-AVERAGE(OFFSET($H$3,0,0,'Données projet'!$E$12+1,1))</f>
        <v>264.08050363622294</v>
      </c>
      <c r="CE139" s="59">
        <f t="shared" si="148"/>
        <v>164.48884512322883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38.440530081444834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38.440530081444834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194.7221767407824</v>
      </c>
      <c r="CZ139" s="59">
        <f t="shared" si="150"/>
        <v>177.6550559568646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45.035785420640991</v>
      </c>
      <c r="DG139" s="21">
        <f>EXP(-LN(2)/25)*DG138+(1-EXP(-LN(2)/25))/(LN(2)/25)*Calculateur!DB139*Calculateur!DD139*VLOOKUP('Données projet'!$B$13,Paramètres!$A$1:$I$89,3,0)*0.475*44/12</f>
        <v>7.031297905067782</v>
      </c>
      <c r="DH139" s="21">
        <f>EXP(-LN(2)/2)*DH138+(1-EXP(-LN(2)/2))/(LN(2)/2)*DB139*DE139*VLOOKUP('Données projet'!$B$13,Paramètres!$A$1:$I$89,3,0)*0.475*44/12</f>
        <v>3.6665418490798102E-9</v>
      </c>
      <c r="DI139" s="22">
        <f t="shared" si="123"/>
        <v>52.067083329375315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3.4106051316484809E-13</v>
      </c>
      <c r="DP139" s="17">
        <f>DO139*VLOOKUP('Données projet'!$B$14,Paramètres!$A$1:$I$89,3,0)*VLOOKUP('Données projet'!$B$14,Paramètres!$A$1:$I$89,5,0)</f>
        <v>1.5961632016114892E-13</v>
      </c>
      <c r="DQ139" s="13">
        <f t="shared" si="151"/>
        <v>2.2708641912150958E-12</v>
      </c>
      <c r="DR139" s="20">
        <f t="shared" si="124"/>
        <v>4.2330868906469593E-12</v>
      </c>
      <c r="DS139" s="59">
        <f t="shared" si="125"/>
        <v>293.33333333333752</v>
      </c>
      <c r="DT139" s="59">
        <f ca="1">AVERAGE(OFFSET($DS$3,0,0,'Données projet'!$E$14+1,1))-AVERAGE(OFFSET($H$3,0,0,'Données projet'!$E$14+1,1))</f>
        <v>207.25176714718668</v>
      </c>
      <c r="DU139" s="59">
        <f t="shared" si="152"/>
        <v>191.53228014642559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94.832995870695399</v>
      </c>
      <c r="EB139" s="21">
        <f>EXP(-LN(2)/25)*EB138+(1-EXP(-LN(2)/25))/(LN(2)/25)*Calculateur!DW139*Calculateur!DY139*VLOOKUP('Données projet'!$B$14,Paramètres!$A$1:$I$89,3,0)*0.475*44/12</f>
        <v>18.595028568753822</v>
      </c>
      <c r="EC139" s="21">
        <f>EXP(-LN(2)/2)*EC138+(1-EXP(-LN(2)/2))/(LN(2)/2)*DW139*DZ139*VLOOKUP('Données projet'!$B$14,Paramètres!$A$1:$I$89,3,0)*0.475*44/12</f>
        <v>4.7876966783122032E-4</v>
      </c>
      <c r="ED139" s="22">
        <f t="shared" si="126"/>
        <v>113.42850320911705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-2.8421709430404007E-13</v>
      </c>
      <c r="EK139" s="17">
        <f>EJ139*VLOOKUP('Données projet'!$B$15,Paramètres!$A$1:$I$89,3,0)*VLOOKUP('Données projet'!$B$15,Paramètres!$A$1:$I$89,5,0)</f>
        <v>-1.69961822393816E-13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200.15574321350221</v>
      </c>
      <c r="EP139" s="59">
        <f t="shared" si="154"/>
        <v>200.70728852570426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28.797089128926306</v>
      </c>
      <c r="EW139" s="21">
        <f>EXP(-LN(2)/25)*EW138+(1-EXP(-LN(2)/25))/(LN(2)/25)*Calculateur!ER139*Calculateur!ET139*VLOOKUP('Données projet'!$B$15,Paramètres!$A$1:$I$89,3,0)*0.475*44/12</f>
        <v>4.3937478124164606</v>
      </c>
      <c r="EX139" s="21">
        <f>EXP(-LN(2)/2)*EX138+(1-EXP(-LN(2)/2))/(LN(2)/2)*ER139*EU139*VLOOKUP('Données projet'!$B$15,Paramètres!$A$1:$I$89,3,0)*0.475*44/12</f>
        <v>1.1628016542082464E-10</v>
      </c>
      <c r="EY139" s="22">
        <f t="shared" si="129"/>
        <v>33.190836941459047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5.6843418860808015E-13</v>
      </c>
      <c r="FF139" s="17">
        <f>FE139*VLOOKUP('Données projet'!$B$16,Paramètres!$A$1:$I$89,3,0)*VLOOKUP('Données projet'!$B$16,Paramètres!$A$1:$I$89,5,0)</f>
        <v>6.1186256061773743E-13</v>
      </c>
      <c r="FG139" s="13">
        <f t="shared" si="155"/>
        <v>7.4445668332430206E-12</v>
      </c>
      <c r="FH139" s="20">
        <f t="shared" si="130"/>
        <v>1.4031614527640822E-11</v>
      </c>
      <c r="FI139" s="59">
        <f t="shared" si="131"/>
        <v>293.33333333334735</v>
      </c>
      <c r="FJ139" s="59">
        <f ca="1">AVERAGE(OFFSET($FI$3,0,0,'Données projet'!$E$16+1,1))-AVERAGE(OFFSET($H$3,0,0,'Données projet'!$E$16+1,1))</f>
        <v>347.17049316703486</v>
      </c>
      <c r="FK139" s="59">
        <f t="shared" si="156"/>
        <v>255.45365487683489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184.23702322353893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184.23702322353893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7">
        <f t="shared" si="110"/>
        <v>436.7088494432038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266.02599413192075</v>
      </c>
      <c r="T140" s="59">
        <f t="shared" si="142"/>
        <v>332.94146254783254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5.1431925385259092E-13</v>
      </c>
      <c r="AK140" s="13">
        <f t="shared" si="143"/>
        <v>6.3855359115685756E-12</v>
      </c>
      <c r="AL140" s="20">
        <f t="shared" si="112"/>
        <v>1.2017247746441865E-11</v>
      </c>
      <c r="AM140" s="59">
        <f t="shared" si="113"/>
        <v>293.33333333334531</v>
      </c>
      <c r="AN140" s="59">
        <f ca="1">AVERAGE(OFFSET($AM$3,0,0,'Données projet'!$E$10+1,1))-AVERAGE(OFFSET($H$3,0,0,'Données projet'!$E$10+1,1))</f>
        <v>282.13645166362238</v>
      </c>
      <c r="AO140" s="59">
        <f t="shared" si="144"/>
        <v>210.5345332979457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151.82907766889255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151.82907766889255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254.6443970237226</v>
      </c>
      <c r="BJ140" s="59">
        <f t="shared" si="146"/>
        <v>231.81667808018062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55.840130262333368</v>
      </c>
      <c r="BQ140" s="21">
        <f>EXP(-LN(2)/25)*BQ139+(1-EXP(-LN(2)/25))/(LN(2)/25)*Calculateur!BL140*Calculateur!BN140*VLOOKUP('Données projet'!$B$11,Paramètres!$A$1:$I$89,3,0)*0.475*44/12</f>
        <v>8.6493572895892257</v>
      </c>
      <c r="BR140" s="21">
        <f>EXP(-LN(2)/2)*BR139+(1-EXP(-LN(2)/2))/(LN(2)/2)*BL140*BO140*VLOOKUP('Données projet'!$B$11,Paramètres!$A$1:$I$89,3,0)*0.475*44/12</f>
        <v>3.2789227651326213E-9</v>
      </c>
      <c r="BS140" s="22">
        <f t="shared" si="117"/>
        <v>64.489487555201521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>
        <f>VLOOKUP(A140,'Données projet'!$A$113:$I$133,2,0)</f>
        <v>293.07051282051282</v>
      </c>
      <c r="BW140" s="12">
        <f>VLOOKUP(A140,'Données projet'!$A$113:$I$133,9,0)</f>
        <v>5.2446581196581219</v>
      </c>
      <c r="BX140" s="12">
        <f t="array" ref="BX140">INDEX(BW:BW,MIN(IF(ISNUMBER(BW140:BW336),ROW(BW140:BW336),"")))</f>
        <v>5.2446581196581219</v>
      </c>
      <c r="BY140" s="12">
        <f>IF('Données projet'!$A$114&gt;35,BY139+BX140-CG139,IF(A140&lt;'Données projet'!$A$114,$BV$205^A140,IF(A140='Données projet'!$A$114,'Données projet'!$B$114,BY139+BX140-CG139)))</f>
        <v>293.07051282051248</v>
      </c>
      <c r="BZ140" s="13">
        <f>BY140*VLOOKUP('Données projet'!$B$12,Paramètres!$A$1:$I$89,3,0)*VLOOKUP('Données projet'!$B$12,Paramètres!$A$1:$I$89,5,0)</f>
        <v>297.17349999999965</v>
      </c>
      <c r="CA140" s="13">
        <f t="shared" si="147"/>
        <v>70.583594448118191</v>
      </c>
      <c r="CB140" s="20">
        <f t="shared" si="118"/>
        <v>640.51027283047199</v>
      </c>
      <c r="CC140" s="59">
        <f t="shared" si="119"/>
        <v>933.84360616380536</v>
      </c>
      <c r="CD140" s="59">
        <f ca="1">AVERAGE(OFFSET($CC$3,0,0,'Données projet'!$E$12+1,1))-AVERAGE(OFFSET($H$3,0,0,'Données projet'!$E$12+1,1))</f>
        <v>264.08050363622294</v>
      </c>
      <c r="CE140" s="59">
        <f t="shared" si="148"/>
        <v>164.48884512322883</v>
      </c>
      <c r="CF140" s="15">
        <f>IF(ISNA(VLOOKUP(A140,'Données projet'!$A$113:$I$133,3,0)),0,VLOOKUP(A140,'Données projet'!$A$113:$I$133,3,0))</f>
        <v>11</v>
      </c>
      <c r="CG140" s="15">
        <f>IF(ISNA(VLOOKUP(A140,'Données projet'!$A$113:$I$133,4,0)),0,VLOOKUP(A140,'Données projet'!$A$113:$I$133,4,0))</f>
        <v>51.160256410256409</v>
      </c>
      <c r="CH140" s="16">
        <f>IF(ISNA(VLOOKUP(A140,'Données projet'!$A$113:$I$133,5,0)),0%,VLOOKUP(A140,'Données projet'!$A$113:$I$133,5,0)*VLOOKUP('Données projet'!$B$12,Paramètres!$A$1:$I$89,7,0))</f>
        <v>0.30099999999999999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54.948462910252076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54.948462910252076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194.7221767407824</v>
      </c>
      <c r="CZ140" s="59">
        <f t="shared" si="150"/>
        <v>177.6550559568646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44.152661137658981</v>
      </c>
      <c r="DG140" s="21">
        <f>EXP(-LN(2)/25)*DG139+(1-EXP(-LN(2)/25))/(LN(2)/25)*Calculateur!DB140*Calculateur!DD140*VLOOKUP('Données projet'!$B$13,Paramètres!$A$1:$I$89,3,0)*0.475*44/12</f>
        <v>6.8390266940938167</v>
      </c>
      <c r="DH140" s="21">
        <f>EXP(-LN(2)/2)*DH139+(1-EXP(-LN(2)/2))/(LN(2)/2)*DB140*DE140*VLOOKUP('Données projet'!$B$13,Paramètres!$A$1:$I$89,3,0)*0.475*44/12</f>
        <v>2.5926366049885968E-9</v>
      </c>
      <c r="DI140" s="22">
        <f t="shared" si="123"/>
        <v>50.991687834345434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3.4106051316484809E-13</v>
      </c>
      <c r="DP140" s="17">
        <f>DO140*VLOOKUP('Données projet'!$B$14,Paramètres!$A$1:$I$89,3,0)*VLOOKUP('Données projet'!$B$14,Paramètres!$A$1:$I$89,5,0)</f>
        <v>1.5961632016114892E-13</v>
      </c>
      <c r="DQ140" s="13">
        <f t="shared" si="151"/>
        <v>2.2708641912150958E-12</v>
      </c>
      <c r="DR140" s="20">
        <f t="shared" si="124"/>
        <v>4.2330868906469593E-12</v>
      </c>
      <c r="DS140" s="59">
        <f t="shared" si="125"/>
        <v>293.33333333333752</v>
      </c>
      <c r="DT140" s="59">
        <f ca="1">AVERAGE(OFFSET($DS$3,0,0,'Données projet'!$E$14+1,1))-AVERAGE(OFFSET($H$3,0,0,'Données projet'!$E$14+1,1))</f>
        <v>207.25176714718668</v>
      </c>
      <c r="DU140" s="59">
        <f t="shared" si="152"/>
        <v>191.53228014642559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92.973378664087079</v>
      </c>
      <c r="EB140" s="21">
        <f>EXP(-LN(2)/25)*EB139+(1-EXP(-LN(2)/25))/(LN(2)/25)*Calculateur!DW140*Calculateur!DY140*VLOOKUP('Données projet'!$B$14,Paramètres!$A$1:$I$89,3,0)*0.475*44/12</f>
        <v>18.086546534671196</v>
      </c>
      <c r="EC140" s="21">
        <f>EXP(-LN(2)/2)*EC139+(1-EXP(-LN(2)/2))/(LN(2)/2)*DW140*DZ140*VLOOKUP('Données projet'!$B$14,Paramètres!$A$1:$I$89,3,0)*0.475*44/12</f>
        <v>3.3854127874988676E-4</v>
      </c>
      <c r="ED140" s="22">
        <f t="shared" si="126"/>
        <v>111.06026374003703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-2.8421709430404007E-13</v>
      </c>
      <c r="EK140" s="17">
        <f>EJ140*VLOOKUP('Données projet'!$B$15,Paramètres!$A$1:$I$89,3,0)*VLOOKUP('Données projet'!$B$15,Paramètres!$A$1:$I$89,5,0)</f>
        <v>-1.69961822393816E-13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200.15574321350221</v>
      </c>
      <c r="EP140" s="59">
        <f t="shared" si="154"/>
        <v>200.70728852570426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28.232395775598079</v>
      </c>
      <c r="EW140" s="21">
        <f>EXP(-LN(2)/25)*EW139+(1-EXP(-LN(2)/25))/(LN(2)/25)*Calculateur!ER140*Calculateur!ET140*VLOOKUP('Données projet'!$B$15,Paramètres!$A$1:$I$89,3,0)*0.475*44/12</f>
        <v>4.273600547428777</v>
      </c>
      <c r="EX140" s="21">
        <f>EXP(-LN(2)/2)*EX139+(1-EXP(-LN(2)/2))/(LN(2)/2)*ER140*EU140*VLOOKUP('Données projet'!$B$15,Paramètres!$A$1:$I$89,3,0)*0.475*44/12</f>
        <v>8.2222493486558609E-11</v>
      </c>
      <c r="EY140" s="22">
        <f t="shared" si="129"/>
        <v>32.50599632310908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5.6843418860808015E-13</v>
      </c>
      <c r="FF140" s="17">
        <f>FE140*VLOOKUP('Données projet'!$B$16,Paramètres!$A$1:$I$89,3,0)*VLOOKUP('Données projet'!$B$16,Paramètres!$A$1:$I$89,5,0)</f>
        <v>6.1186256061773743E-13</v>
      </c>
      <c r="FG140" s="13">
        <f t="shared" si="155"/>
        <v>7.4445668332430206E-12</v>
      </c>
      <c r="FH140" s="20">
        <f t="shared" si="130"/>
        <v>1.4031614527640822E-11</v>
      </c>
      <c r="FI140" s="59">
        <f t="shared" si="131"/>
        <v>293.33333333334735</v>
      </c>
      <c r="FJ140" s="59">
        <f ca="1">AVERAGE(OFFSET($FI$3,0,0,'Données projet'!$E$16+1,1))-AVERAGE(OFFSET($H$3,0,0,'Données projet'!$E$16+1,1))</f>
        <v>347.17049316703486</v>
      </c>
      <c r="FK140" s="59">
        <f t="shared" si="156"/>
        <v>255.45365487683489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180.62424757161352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180.62424757161352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7">
        <f t="shared" si="110"/>
        <v>437.72836019627618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266.02599413192075</v>
      </c>
      <c r="T141" s="59">
        <f t="shared" si="142"/>
        <v>332.94146254783254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5.1431925385259092E-13</v>
      </c>
      <c r="AK141" s="13">
        <f t="shared" si="143"/>
        <v>6.3855359115685756E-12</v>
      </c>
      <c r="AL141" s="20">
        <f t="shared" si="112"/>
        <v>1.2017247746441865E-11</v>
      </c>
      <c r="AM141" s="59">
        <f t="shared" si="113"/>
        <v>293.33333333334531</v>
      </c>
      <c r="AN141" s="59">
        <f ca="1">AVERAGE(OFFSET($AM$3,0,0,'Données projet'!$E$10+1,1))-AVERAGE(OFFSET($H$3,0,0,'Données projet'!$E$10+1,1))</f>
        <v>282.13645166362238</v>
      </c>
      <c r="AO141" s="59">
        <f t="shared" si="144"/>
        <v>210.5345332979457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148.8518020623988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148.8518020623988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254.6443970237226</v>
      </c>
      <c r="BJ141" s="59">
        <f t="shared" si="146"/>
        <v>231.81667808018062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54.745139367005414</v>
      </c>
      <c r="BQ141" s="21">
        <f>EXP(-LN(2)/25)*BQ140+(1-EXP(-LN(2)/25))/(LN(2)/25)*Calculateur!BL141*Calculateur!BN141*VLOOKUP('Données projet'!$B$11,Paramètres!$A$1:$I$89,3,0)*0.475*44/12</f>
        <v>8.4128401596554774</v>
      </c>
      <c r="BR141" s="21">
        <f>EXP(-LN(2)/2)*BR140+(1-EXP(-LN(2)/2))/(LN(2)/2)*BL141*BO141*VLOOKUP('Données projet'!$B$11,Paramètres!$A$1:$I$89,3,0)*0.475*44/12</f>
        <v>2.3185485222122218E-9</v>
      </c>
      <c r="BS141" s="22">
        <f t="shared" si="117"/>
        <v>63.157979528979446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5.1063034188034209</v>
      </c>
      <c r="BY141" s="12">
        <f>IF('Données projet'!$A$114&gt;35,BY140+BX141-CG140,IF(A141&lt;'Données projet'!$A$114,$BV$205^A141,IF(A141='Données projet'!$A$114,'Données projet'!$B$114,BY140+BX141-CG140)))</f>
        <v>247.01655982905947</v>
      </c>
      <c r="BZ141" s="13">
        <f>BY141*VLOOKUP('Données projet'!$B$12,Paramètres!$A$1:$I$89,3,0)*VLOOKUP('Données projet'!$B$12,Paramètres!$A$1:$I$89,5,0)</f>
        <v>250.47479166666631</v>
      </c>
      <c r="CA141" s="13">
        <f t="shared" si="147"/>
        <v>60.687599112090453</v>
      </c>
      <c r="CB141" s="20">
        <f t="shared" si="118"/>
        <v>541.94116393966794</v>
      </c>
      <c r="CC141" s="59">
        <f t="shared" si="119"/>
        <v>835.27449727300132</v>
      </c>
      <c r="CD141" s="59">
        <f ca="1">AVERAGE(OFFSET($CC$3,0,0,'Données projet'!$E$12+1,1))-AVERAGE(OFFSET($H$3,0,0,'Données projet'!$E$12+1,1))</f>
        <v>264.08050363622294</v>
      </c>
      <c r="CE141" s="59">
        <f t="shared" si="148"/>
        <v>164.48884512322883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53.87095706783505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53.87095706783505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194.7221767407824</v>
      </c>
      <c r="CZ141" s="59">
        <f t="shared" si="150"/>
        <v>177.6550559568646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43.286854383213623</v>
      </c>
      <c r="DG141" s="21">
        <f>EXP(-LN(2)/25)*DG140+(1-EXP(-LN(2)/25))/(LN(2)/25)*Calculateur!DB141*Calculateur!DD141*VLOOKUP('Données projet'!$B$13,Paramètres!$A$1:$I$89,3,0)*0.475*44/12</f>
        <v>6.6520131494950379</v>
      </c>
      <c r="DH141" s="21">
        <f>EXP(-LN(2)/2)*DH140+(1-EXP(-LN(2)/2))/(LN(2)/2)*DB141*DE141*VLOOKUP('Données projet'!$B$13,Paramètres!$A$1:$I$89,3,0)*0.475*44/12</f>
        <v>1.8332709245399053E-9</v>
      </c>
      <c r="DI141" s="22">
        <f t="shared" si="123"/>
        <v>49.938867534541934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3.4106051316484809E-13</v>
      </c>
      <c r="DP141" s="17">
        <f>DO141*VLOOKUP('Données projet'!$B$14,Paramètres!$A$1:$I$89,3,0)*VLOOKUP('Données projet'!$B$14,Paramètres!$A$1:$I$89,5,0)</f>
        <v>1.5961632016114892E-13</v>
      </c>
      <c r="DQ141" s="13">
        <f t="shared" si="151"/>
        <v>2.2708641912150958E-12</v>
      </c>
      <c r="DR141" s="20">
        <f t="shared" si="124"/>
        <v>4.2330868906469593E-12</v>
      </c>
      <c r="DS141" s="59">
        <f t="shared" si="125"/>
        <v>293.33333333333752</v>
      </c>
      <c r="DT141" s="59">
        <f ca="1">AVERAGE(OFFSET($DS$3,0,0,'Données projet'!$E$14+1,1))-AVERAGE(OFFSET($H$3,0,0,'Données projet'!$E$14+1,1))</f>
        <v>207.25176714718668</v>
      </c>
      <c r="DU141" s="59">
        <f t="shared" si="152"/>
        <v>191.53228014642559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91.150227416645848</v>
      </c>
      <c r="EB141" s="21">
        <f>EXP(-LN(2)/25)*EB140+(1-EXP(-LN(2)/25))/(LN(2)/25)*Calculateur!DW141*Calculateur!DY141*VLOOKUP('Données projet'!$B$14,Paramètres!$A$1:$I$89,3,0)*0.475*44/12</f>
        <v>17.591968968550468</v>
      </c>
      <c r="EC141" s="21">
        <f>EXP(-LN(2)/2)*EC140+(1-EXP(-LN(2)/2))/(LN(2)/2)*DW141*DZ141*VLOOKUP('Données projet'!$B$14,Paramètres!$A$1:$I$89,3,0)*0.475*44/12</f>
        <v>2.3938483391561019E-4</v>
      </c>
      <c r="ED141" s="22">
        <f t="shared" si="126"/>
        <v>108.74243577003023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-2.8421709430404007E-13</v>
      </c>
      <c r="EK141" s="17">
        <f>EJ141*VLOOKUP('Données projet'!$B$15,Paramètres!$A$1:$I$89,3,0)*VLOOKUP('Données projet'!$B$15,Paramètres!$A$1:$I$89,5,0)</f>
        <v>-1.69961822393816E-13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200.15574321350221</v>
      </c>
      <c r="EP141" s="59">
        <f t="shared" si="154"/>
        <v>200.70728852570426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27.678775714499682</v>
      </c>
      <c r="EW141" s="21">
        <f>EXP(-LN(2)/25)*EW140+(1-EXP(-LN(2)/25))/(LN(2)/25)*Calculateur!ER141*Calculateur!ET141*VLOOKUP('Données projet'!$B$15,Paramètres!$A$1:$I$89,3,0)*0.475*44/12</f>
        <v>4.1567387157204516</v>
      </c>
      <c r="EX141" s="21">
        <f>EXP(-LN(2)/2)*EX140+(1-EXP(-LN(2)/2))/(LN(2)/2)*ER141*EU141*VLOOKUP('Données projet'!$B$15,Paramètres!$A$1:$I$89,3,0)*0.475*44/12</f>
        <v>5.8140082710412328E-11</v>
      </c>
      <c r="EY141" s="22">
        <f t="shared" si="129"/>
        <v>31.835514430278273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5.6843418860808015E-13</v>
      </c>
      <c r="FF141" s="17">
        <f>FE141*VLOOKUP('Données projet'!$B$16,Paramètres!$A$1:$I$89,3,0)*VLOOKUP('Données projet'!$B$16,Paramètres!$A$1:$I$89,5,0)</f>
        <v>6.1186256061773743E-13</v>
      </c>
      <c r="FG141" s="13">
        <f t="shared" si="155"/>
        <v>7.4445668332430206E-12</v>
      </c>
      <c r="FH141" s="20">
        <f t="shared" si="130"/>
        <v>1.4031614527640822E-11</v>
      </c>
      <c r="FI141" s="59">
        <f t="shared" si="131"/>
        <v>293.33333333334735</v>
      </c>
      <c r="FJ141" s="59">
        <f ca="1">AVERAGE(OFFSET($FI$3,0,0,'Données projet'!$E$16+1,1))-AVERAGE(OFFSET($H$3,0,0,'Données projet'!$E$16+1,1))</f>
        <v>347.17049316703486</v>
      </c>
      <c r="FK141" s="59">
        <f t="shared" si="156"/>
        <v>255.45365487683489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177.08231624664683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177.08231624664683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7">
        <f t="shared" si="110"/>
        <v>438.74769860442075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266.02599413192075</v>
      </c>
      <c r="T142" s="59">
        <f t="shared" si="142"/>
        <v>332.94146254783254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5.1431925385259092E-13</v>
      </c>
      <c r="AK142" s="13">
        <f t="shared" si="143"/>
        <v>6.3855359115685756E-12</v>
      </c>
      <c r="AL142" s="20">
        <f t="shared" si="112"/>
        <v>1.2017247746441865E-11</v>
      </c>
      <c r="AM142" s="59">
        <f t="shared" si="113"/>
        <v>293.33333333334531</v>
      </c>
      <c r="AN142" s="59">
        <f ca="1">AVERAGE(OFFSET($AM$3,0,0,'Données projet'!$E$10+1,1))-AVERAGE(OFFSET($H$3,0,0,'Données projet'!$E$10+1,1))</f>
        <v>282.13645166362238</v>
      </c>
      <c r="AO142" s="59">
        <f t="shared" si="144"/>
        <v>210.5345332979457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145.9329090145896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145.9329090145896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254.6443970237226</v>
      </c>
      <c r="BJ142" s="59">
        <f t="shared" si="146"/>
        <v>231.81667808018062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53.671620575256341</v>
      </c>
      <c r="BQ142" s="21">
        <f>EXP(-LN(2)/25)*BQ141+(1-EXP(-LN(2)/25))/(LN(2)/25)*Calculateur!BL142*Calculateur!BN142*VLOOKUP('Données projet'!$B$11,Paramètres!$A$1:$I$89,3,0)*0.475*44/12</f>
        <v>8.1827906030776614</v>
      </c>
      <c r="BR142" s="21">
        <f>EXP(-LN(2)/2)*BR141+(1-EXP(-LN(2)/2))/(LN(2)/2)*BL142*BO142*VLOOKUP('Données projet'!$B$11,Paramètres!$A$1:$I$89,3,0)*0.475*44/12</f>
        <v>1.6394613825663107E-9</v>
      </c>
      <c r="BS142" s="22">
        <f t="shared" si="117"/>
        <v>61.854411179973468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5.1063034188034209</v>
      </c>
      <c r="BY142" s="12">
        <f>IF('Données projet'!$A$114&gt;35,BY141+BX142-CG141,IF(A142&lt;'Données projet'!$A$114,$BV$205^A142,IF(A142='Données projet'!$A$114,'Données projet'!$B$114,BY141+BX142-CG141)))</f>
        <v>252.12286324786288</v>
      </c>
      <c r="BZ142" s="13">
        <f>BY142*VLOOKUP('Données projet'!$B$12,Paramètres!$A$1:$I$89,3,0)*VLOOKUP('Données projet'!$B$12,Paramètres!$A$1:$I$89,5,0)</f>
        <v>255.65258333333296</v>
      </c>
      <c r="CA142" s="13">
        <f t="shared" si="147"/>
        <v>61.794776930172596</v>
      </c>
      <c r="CB142" s="20">
        <f t="shared" si="118"/>
        <v>552.88748579227229</v>
      </c>
      <c r="CC142" s="59">
        <f t="shared" si="119"/>
        <v>846.22081912560566</v>
      </c>
      <c r="CD142" s="59">
        <f ca="1">AVERAGE(OFFSET($CC$3,0,0,'Données projet'!$E$12+1,1))-AVERAGE(OFFSET($H$3,0,0,'Données projet'!$E$12+1,1))</f>
        <v>264.08050363622294</v>
      </c>
      <c r="CE142" s="59">
        <f t="shared" si="148"/>
        <v>164.48884512322883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52.814580457774156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52.814580457774156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194.7221767407824</v>
      </c>
      <c r="CZ142" s="59">
        <f t="shared" si="150"/>
        <v>177.6550559568646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42.438025571132961</v>
      </c>
      <c r="DG142" s="21">
        <f>EXP(-LN(2)/25)*DG141+(1-EXP(-LN(2)/25))/(LN(2)/25)*Calculateur!DB142*Calculateur!DD142*VLOOKUP('Données projet'!$B$13,Paramètres!$A$1:$I$89,3,0)*0.475*44/12</f>
        <v>6.470113500107928</v>
      </c>
      <c r="DH142" s="21">
        <f>EXP(-LN(2)/2)*DH141+(1-EXP(-LN(2)/2))/(LN(2)/2)*DB142*DE142*VLOOKUP('Données projet'!$B$13,Paramètres!$A$1:$I$89,3,0)*0.475*44/12</f>
        <v>1.2963183024942986E-9</v>
      </c>
      <c r="DI142" s="22">
        <f t="shared" si="123"/>
        <v>48.90813907253721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3.4106051316484809E-13</v>
      </c>
      <c r="DP142" s="17">
        <f>DO142*VLOOKUP('Données projet'!$B$14,Paramètres!$A$1:$I$89,3,0)*VLOOKUP('Données projet'!$B$14,Paramètres!$A$1:$I$89,5,0)</f>
        <v>1.5961632016114892E-13</v>
      </c>
      <c r="DQ142" s="13">
        <f t="shared" si="151"/>
        <v>2.2708641912150958E-12</v>
      </c>
      <c r="DR142" s="20">
        <f t="shared" si="124"/>
        <v>4.2330868906469593E-12</v>
      </c>
      <c r="DS142" s="59">
        <f t="shared" si="125"/>
        <v>293.33333333333752</v>
      </c>
      <c r="DT142" s="59">
        <f ca="1">AVERAGE(OFFSET($DS$3,0,0,'Données projet'!$E$14+1,1))-AVERAGE(OFFSET($H$3,0,0,'Données projet'!$E$14+1,1))</f>
        <v>207.25176714718668</v>
      </c>
      <c r="DU142" s="59">
        <f t="shared" si="152"/>
        <v>191.53228014642559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89.36282705315449</v>
      </c>
      <c r="EB142" s="21">
        <f>EXP(-LN(2)/25)*EB141+(1-EXP(-LN(2)/25))/(LN(2)/25)*Calculateur!DW142*Calculateur!DY142*VLOOKUP('Données projet'!$B$14,Paramètres!$A$1:$I$89,3,0)*0.475*44/12</f>
        <v>17.110915651984016</v>
      </c>
      <c r="EC142" s="21">
        <f>EXP(-LN(2)/2)*EC141+(1-EXP(-LN(2)/2))/(LN(2)/2)*DW142*DZ142*VLOOKUP('Données projet'!$B$14,Paramètres!$A$1:$I$89,3,0)*0.475*44/12</f>
        <v>1.6927063937494341E-4</v>
      </c>
      <c r="ED142" s="22">
        <f t="shared" si="126"/>
        <v>106.47391197577788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-2.8421709430404007E-13</v>
      </c>
      <c r="EK142" s="17">
        <f>EJ142*VLOOKUP('Données projet'!$B$15,Paramètres!$A$1:$I$89,3,0)*VLOOKUP('Données projet'!$B$15,Paramètres!$A$1:$I$89,5,0)</f>
        <v>-1.69961822393816E-13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200.15574321350221</v>
      </c>
      <c r="EP142" s="59">
        <f t="shared" si="154"/>
        <v>200.70728852570426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27.136011805124532</v>
      </c>
      <c r="EW142" s="21">
        <f>EXP(-LN(2)/25)*EW141+(1-EXP(-LN(2)/25))/(LN(2)/25)*Calculateur!ER142*Calculateur!ET142*VLOOKUP('Données projet'!$B$15,Paramètres!$A$1:$I$89,3,0)*0.475*44/12</f>
        <v>4.0430724769456869</v>
      </c>
      <c r="EX142" s="21">
        <f>EXP(-LN(2)/2)*EX141+(1-EXP(-LN(2)/2))/(LN(2)/2)*ER142*EU142*VLOOKUP('Données projet'!$B$15,Paramètres!$A$1:$I$89,3,0)*0.475*44/12</f>
        <v>4.1111246743279311E-11</v>
      </c>
      <c r="EY142" s="22">
        <f t="shared" si="129"/>
        <v>31.179084282111333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5.6843418860808015E-13</v>
      </c>
      <c r="FF142" s="17">
        <f>FE142*VLOOKUP('Données projet'!$B$16,Paramètres!$A$1:$I$89,3,0)*VLOOKUP('Données projet'!$B$16,Paramètres!$A$1:$I$89,5,0)</f>
        <v>6.1186256061773743E-13</v>
      </c>
      <c r="FG142" s="13">
        <f t="shared" si="155"/>
        <v>7.4445668332430206E-12</v>
      </c>
      <c r="FH142" s="20">
        <f t="shared" si="130"/>
        <v>1.4031614527640822E-11</v>
      </c>
      <c r="FI142" s="59">
        <f t="shared" si="131"/>
        <v>293.33333333334735</v>
      </c>
      <c r="FJ142" s="59">
        <f ca="1">AVERAGE(OFFSET($FI$3,0,0,'Données projet'!$E$16+1,1))-AVERAGE(OFFSET($H$3,0,0,'Données projet'!$E$16+1,1))</f>
        <v>347.17049316703486</v>
      </c>
      <c r="FK142" s="59">
        <f t="shared" si="156"/>
        <v>255.45365487683489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173.60984003459794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173.60984003459794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7">
        <f t="shared" si="110"/>
        <v>439.76686605129692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266.02599413192075</v>
      </c>
      <c r="T143" s="59">
        <f t="shared" si="142"/>
        <v>332.94146254783254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5.1431925385259092E-13</v>
      </c>
      <c r="AK143" s="13">
        <f t="shared" si="143"/>
        <v>6.3855359115685756E-12</v>
      </c>
      <c r="AL143" s="20">
        <f t="shared" si="112"/>
        <v>1.2017247746441865E-11</v>
      </c>
      <c r="AM143" s="59">
        <f t="shared" si="113"/>
        <v>293.33333333334531</v>
      </c>
      <c r="AN143" s="59">
        <f ca="1">AVERAGE(OFFSET($AM$3,0,0,'Données projet'!$E$10+1,1))-AVERAGE(OFFSET($H$3,0,0,'Données projet'!$E$10+1,1))</f>
        <v>282.13645166362238</v>
      </c>
      <c r="AO143" s="59">
        <f t="shared" si="144"/>
        <v>210.5345332979457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143.07125367909896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143.07125367909896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254.6443970237226</v>
      </c>
      <c r="BJ143" s="59">
        <f t="shared" si="146"/>
        <v>231.81667808018062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52.619152832231656</v>
      </c>
      <c r="BQ143" s="21">
        <f>EXP(-LN(2)/25)*BQ142+(1-EXP(-LN(2)/25))/(LN(2)/25)*Calculateur!BL143*Calculateur!BN143*VLOOKUP('Données projet'!$B$11,Paramètres!$A$1:$I$89,3,0)*0.475*44/12</f>
        <v>7.9590317637222467</v>
      </c>
      <c r="BR143" s="21">
        <f>EXP(-LN(2)/2)*BR142+(1-EXP(-LN(2)/2))/(LN(2)/2)*BL143*BO143*VLOOKUP('Données projet'!$B$11,Paramètres!$A$1:$I$89,3,0)*0.475*44/12</f>
        <v>1.1592742611061109E-9</v>
      </c>
      <c r="BS143" s="22">
        <f t="shared" si="117"/>
        <v>60.578184597113172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5.1063034188034209</v>
      </c>
      <c r="BY143" s="12">
        <f>IF('Données projet'!$A$114&gt;35,BY142+BX143-CG142,IF(A143&lt;'Données projet'!$A$114,$BV$205^A143,IF(A143='Données projet'!$A$114,'Données projet'!$B$114,BY142+BX143-CG142)))</f>
        <v>257.22916666666629</v>
      </c>
      <c r="BZ143" s="13">
        <f>BY143*VLOOKUP('Données projet'!$B$12,Paramètres!$A$1:$I$89,3,0)*VLOOKUP('Données projet'!$B$12,Paramètres!$A$1:$I$89,5,0)</f>
        <v>260.83037499999961</v>
      </c>
      <c r="CA143" s="13">
        <f t="shared" si="147"/>
        <v>62.899347488444107</v>
      </c>
      <c r="CB143" s="20">
        <f t="shared" si="118"/>
        <v>563.82926666737285</v>
      </c>
      <c r="CC143" s="59">
        <f t="shared" si="119"/>
        <v>857.16260000070611</v>
      </c>
      <c r="CD143" s="59">
        <f ca="1">AVERAGE(OFFSET($CC$3,0,0,'Données projet'!$E$12+1,1))-AVERAGE(OFFSET($H$3,0,0,'Données projet'!$E$12+1,1))</f>
        <v>264.08050363622294</v>
      </c>
      <c r="CE143" s="59">
        <f t="shared" si="148"/>
        <v>164.48884512322883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51.778918748710446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51.778918748710446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194.7221767407824</v>
      </c>
      <c r="CZ143" s="59">
        <f t="shared" si="150"/>
        <v>177.6550559568646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41.605841774322748</v>
      </c>
      <c r="DG143" s="21">
        <f>EXP(-LN(2)/25)*DG142+(1-EXP(-LN(2)/25))/(LN(2)/25)*Calculateur!DB143*Calculateur!DD143*VLOOKUP('Données projet'!$B$13,Paramètres!$A$1:$I$89,3,0)*0.475*44/12</f>
        <v>6.2931879061989955</v>
      </c>
      <c r="DH143" s="21">
        <f>EXP(-LN(2)/2)*DH142+(1-EXP(-LN(2)/2))/(LN(2)/2)*DB143*DE143*VLOOKUP('Données projet'!$B$13,Paramètres!$A$1:$I$89,3,0)*0.475*44/12</f>
        <v>9.1663546226995275E-10</v>
      </c>
      <c r="DI143" s="22">
        <f t="shared" si="123"/>
        <v>47.899029681438378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3.4106051316484809E-13</v>
      </c>
      <c r="DP143" s="17">
        <f>DO143*VLOOKUP('Données projet'!$B$14,Paramètres!$A$1:$I$89,3,0)*VLOOKUP('Données projet'!$B$14,Paramètres!$A$1:$I$89,5,0)</f>
        <v>1.5961632016114892E-13</v>
      </c>
      <c r="DQ143" s="13">
        <f t="shared" si="151"/>
        <v>2.2708641912150958E-12</v>
      </c>
      <c r="DR143" s="20">
        <f t="shared" si="124"/>
        <v>4.2330868906469593E-12</v>
      </c>
      <c r="DS143" s="59">
        <f t="shared" si="125"/>
        <v>293.33333333333752</v>
      </c>
      <c r="DT143" s="59">
        <f ca="1">AVERAGE(OFFSET($DS$3,0,0,'Données projet'!$E$14+1,1))-AVERAGE(OFFSET($H$3,0,0,'Données projet'!$E$14+1,1))</f>
        <v>207.25176714718668</v>
      </c>
      <c r="DU143" s="59">
        <f t="shared" si="152"/>
        <v>191.53228014642559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87.610476520584612</v>
      </c>
      <c r="EB143" s="21">
        <f>EXP(-LN(2)/25)*EB142+(1-EXP(-LN(2)/25))/(LN(2)/25)*Calculateur!DW143*Calculateur!DY143*VLOOKUP('Données projet'!$B$14,Paramètres!$A$1:$I$89,3,0)*0.475*44/12</f>
        <v>16.643016763656565</v>
      </c>
      <c r="EC143" s="21">
        <f>EXP(-LN(2)/2)*EC142+(1-EXP(-LN(2)/2))/(LN(2)/2)*DW143*DZ143*VLOOKUP('Données projet'!$B$14,Paramètres!$A$1:$I$89,3,0)*0.475*44/12</f>
        <v>1.1969241695780511E-4</v>
      </c>
      <c r="ED143" s="22">
        <f t="shared" si="126"/>
        <v>104.25361297665813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-2.8421709430404007E-13</v>
      </c>
      <c r="EK143" s="17">
        <f>EJ143*VLOOKUP('Données projet'!$B$15,Paramètres!$A$1:$I$89,3,0)*VLOOKUP('Données projet'!$B$15,Paramètres!$A$1:$I$89,5,0)</f>
        <v>-1.69961822393816E-13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200.15574321350221</v>
      </c>
      <c r="EP143" s="59">
        <f t="shared" si="154"/>
        <v>200.70728852570426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26.603891164958934</v>
      </c>
      <c r="EW143" s="21">
        <f>EXP(-LN(2)/25)*EW142+(1-EXP(-LN(2)/25))/(LN(2)/25)*Calculateur!ER143*Calculateur!ET143*VLOOKUP('Données projet'!$B$15,Paramètres!$A$1:$I$89,3,0)*0.475*44/12</f>
        <v>3.9325144474476663</v>
      </c>
      <c r="EX143" s="21">
        <f>EXP(-LN(2)/2)*EX142+(1-EXP(-LN(2)/2))/(LN(2)/2)*ER143*EU143*VLOOKUP('Données projet'!$B$15,Paramètres!$A$1:$I$89,3,0)*0.475*44/12</f>
        <v>2.9070041355206171E-11</v>
      </c>
      <c r="EY143" s="22">
        <f t="shared" si="129"/>
        <v>30.536405612435669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5.6843418860808015E-13</v>
      </c>
      <c r="FF143" s="17">
        <f>FE143*VLOOKUP('Données projet'!$B$16,Paramètres!$A$1:$I$89,3,0)*VLOOKUP('Données projet'!$B$16,Paramètres!$A$1:$I$89,5,0)</f>
        <v>6.1186256061773743E-13</v>
      </c>
      <c r="FG143" s="13">
        <f t="shared" si="155"/>
        <v>7.4445668332430206E-12</v>
      </c>
      <c r="FH143" s="20">
        <f t="shared" si="130"/>
        <v>1.4031614527640822E-11</v>
      </c>
      <c r="FI143" s="59">
        <f t="shared" si="131"/>
        <v>293.33333333334735</v>
      </c>
      <c r="FJ143" s="59">
        <f ca="1">AVERAGE(OFFSET($FI$3,0,0,'Données projet'!$E$16+1,1))-AVERAGE(OFFSET($H$3,0,0,'Données projet'!$E$16+1,1))</f>
        <v>347.17049316703486</v>
      </c>
      <c r="FK143" s="59">
        <f t="shared" si="156"/>
        <v>255.45365487683489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170.20545696306598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170.20545696306598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7">
        <f t="shared" si="110"/>
        <v>440.78586389965557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266.02599413192075</v>
      </c>
      <c r="T144" s="59">
        <f t="shared" si="142"/>
        <v>332.94146254783254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5.1431925385259092E-13</v>
      </c>
      <c r="AK144" s="13">
        <f t="shared" si="143"/>
        <v>6.3855359115685756E-12</v>
      </c>
      <c r="AL144" s="20">
        <f t="shared" si="112"/>
        <v>1.2017247746441865E-11</v>
      </c>
      <c r="AM144" s="59">
        <f t="shared" si="113"/>
        <v>293.33333333334531</v>
      </c>
      <c r="AN144" s="59">
        <f ca="1">AVERAGE(OFFSET($AM$3,0,0,'Données projet'!$E$10+1,1))-AVERAGE(OFFSET($H$3,0,0,'Données projet'!$E$10+1,1))</f>
        <v>282.13645166362238</v>
      </c>
      <c r="AO144" s="59">
        <f t="shared" si="144"/>
        <v>210.5345332979457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140.26571365929988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140.26571365929988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254.6443970237226</v>
      </c>
      <c r="BJ144" s="59">
        <f t="shared" si="146"/>
        <v>231.81667808018062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51.587323339705748</v>
      </c>
      <c r="BQ144" s="21">
        <f>EXP(-LN(2)/25)*BQ143+(1-EXP(-LN(2)/25))/(LN(2)/25)*Calculateur!BL144*Calculateur!BN144*VLOOKUP('Données projet'!$B$11,Paramètres!$A$1:$I$89,3,0)*0.475*44/12</f>
        <v>7.7413916215959722</v>
      </c>
      <c r="BR144" s="21">
        <f>EXP(-LN(2)/2)*BR143+(1-EXP(-LN(2)/2))/(LN(2)/2)*BL144*BO144*VLOOKUP('Données projet'!$B$11,Paramètres!$A$1:$I$89,3,0)*0.475*44/12</f>
        <v>8.1973069128315534E-10</v>
      </c>
      <c r="BS144" s="22">
        <f t="shared" si="117"/>
        <v>59.328714962121452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5.1063034188034209</v>
      </c>
      <c r="BY144" s="12">
        <f>IF('Données projet'!$A$114&gt;35,BY143+BX144-CG143,IF(A144&lt;'Données projet'!$A$114,$BV$205^A144,IF(A144='Données projet'!$A$114,'Données projet'!$B$114,BY143+BX144-CG143)))</f>
        <v>262.33547008546969</v>
      </c>
      <c r="BZ144" s="13">
        <f>BY144*VLOOKUP('Données projet'!$B$12,Paramètres!$A$1:$I$89,3,0)*VLOOKUP('Données projet'!$B$12,Paramètres!$A$1:$I$89,5,0)</f>
        <v>266.00816666666628</v>
      </c>
      <c r="CA144" s="13">
        <f t="shared" si="147"/>
        <v>64.00136850958036</v>
      </c>
      <c r="CB144" s="20">
        <f t="shared" si="118"/>
        <v>574.76660709862961</v>
      </c>
      <c r="CC144" s="59">
        <f t="shared" si="119"/>
        <v>868.09994043196298</v>
      </c>
      <c r="CD144" s="59">
        <f ca="1">AVERAGE(OFFSET($CC$3,0,0,'Données projet'!$E$12+1,1))-AVERAGE(OFFSET($H$3,0,0,'Données projet'!$E$12+1,1))</f>
        <v>264.08050363622294</v>
      </c>
      <c r="CE144" s="59">
        <f t="shared" si="148"/>
        <v>164.48884512322883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50.763565734070205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50.763565734070205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194.7221767407824</v>
      </c>
      <c r="CZ144" s="59">
        <f t="shared" si="150"/>
        <v>177.6550559568646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40.789976594185987</v>
      </c>
      <c r="DG144" s="21">
        <f>EXP(-LN(2)/25)*DG143+(1-EXP(-LN(2)/25))/(LN(2)/25)*Calculateur!DB144*Calculateur!DD144*VLOOKUP('Données projet'!$B$13,Paramètres!$A$1:$I$89,3,0)*0.475*44/12</f>
        <v>6.1211003519596154</v>
      </c>
      <c r="DH144" s="21">
        <f>EXP(-LN(2)/2)*DH143+(1-EXP(-LN(2)/2))/(LN(2)/2)*DB144*DE144*VLOOKUP('Données projet'!$B$13,Paramètres!$A$1:$I$89,3,0)*0.475*44/12</f>
        <v>6.4815915124714941E-10</v>
      </c>
      <c r="DI144" s="22">
        <f t="shared" si="123"/>
        <v>46.911076946793756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3.4106051316484809E-13</v>
      </c>
      <c r="DP144" s="17">
        <f>DO144*VLOOKUP('Données projet'!$B$14,Paramètres!$A$1:$I$89,3,0)*VLOOKUP('Données projet'!$B$14,Paramètres!$A$1:$I$89,5,0)</f>
        <v>1.5961632016114892E-13</v>
      </c>
      <c r="DQ144" s="13">
        <f t="shared" si="151"/>
        <v>2.2708641912150958E-12</v>
      </c>
      <c r="DR144" s="20">
        <f t="shared" si="124"/>
        <v>4.2330868906469593E-12</v>
      </c>
      <c r="DS144" s="59">
        <f t="shared" si="125"/>
        <v>293.33333333333752</v>
      </c>
      <c r="DT144" s="59">
        <f ca="1">AVERAGE(OFFSET($DS$3,0,0,'Données projet'!$E$14+1,1))-AVERAGE(OFFSET($H$3,0,0,'Données projet'!$E$14+1,1))</f>
        <v>207.25176714718668</v>
      </c>
      <c r="DU144" s="59">
        <f t="shared" si="152"/>
        <v>191.53228014642559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85.892488513130147</v>
      </c>
      <c r="EB144" s="21">
        <f>EXP(-LN(2)/25)*EB143+(1-EXP(-LN(2)/25))/(LN(2)/25)*Calculateur!DW144*Calculateur!DY144*VLOOKUP('Données projet'!$B$14,Paramètres!$A$1:$I$89,3,0)*0.475*44/12</f>
        <v>16.187912595036163</v>
      </c>
      <c r="EC144" s="21">
        <f>EXP(-LN(2)/2)*EC143+(1-EXP(-LN(2)/2))/(LN(2)/2)*DW144*DZ144*VLOOKUP('Données projet'!$B$14,Paramètres!$A$1:$I$89,3,0)*0.475*44/12</f>
        <v>8.4635319687471718E-5</v>
      </c>
      <c r="ED144" s="22">
        <f t="shared" si="126"/>
        <v>102.08048574348599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-2.8421709430404007E-13</v>
      </c>
      <c r="EK144" s="17">
        <f>EJ144*VLOOKUP('Données projet'!$B$15,Paramètres!$A$1:$I$89,3,0)*VLOOKUP('Données projet'!$B$15,Paramètres!$A$1:$I$89,5,0)</f>
        <v>-1.69961822393816E-13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200.15574321350221</v>
      </c>
      <c r="EP144" s="59">
        <f t="shared" si="154"/>
        <v>200.70728852570426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26.082205085985439</v>
      </c>
      <c r="EW144" s="21">
        <f>EXP(-LN(2)/25)*EW143+(1-EXP(-LN(2)/25))/(LN(2)/25)*Calculateur!ER144*Calculateur!ET144*VLOOKUP('Données projet'!$B$15,Paramètres!$A$1:$I$89,3,0)*0.475*44/12</f>
        <v>3.8249796330802628</v>
      </c>
      <c r="EX144" s="21">
        <f>EXP(-LN(2)/2)*EX143+(1-EXP(-LN(2)/2))/(LN(2)/2)*ER144*EU144*VLOOKUP('Données projet'!$B$15,Paramètres!$A$1:$I$89,3,0)*0.475*44/12</f>
        <v>2.0555623371639659E-11</v>
      </c>
      <c r="EY144" s="22">
        <f t="shared" si="129"/>
        <v>29.90718471908626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5.6843418860808015E-13</v>
      </c>
      <c r="FF144" s="17">
        <f>FE144*VLOOKUP('Données projet'!$B$16,Paramètres!$A$1:$I$89,3,0)*VLOOKUP('Données projet'!$B$16,Paramètres!$A$1:$I$89,5,0)</f>
        <v>6.1186256061773743E-13</v>
      </c>
      <c r="FG144" s="13">
        <f t="shared" si="155"/>
        <v>7.4445668332430206E-12</v>
      </c>
      <c r="FH144" s="20">
        <f t="shared" si="130"/>
        <v>1.4031614527640822E-11</v>
      </c>
      <c r="FI144" s="59">
        <f t="shared" si="131"/>
        <v>293.33333333334735</v>
      </c>
      <c r="FJ144" s="59">
        <f ca="1">AVERAGE(OFFSET($FI$3,0,0,'Données projet'!$E$16+1,1))-AVERAGE(OFFSET($H$3,0,0,'Données projet'!$E$16+1,1))</f>
        <v>347.17049316703486</v>
      </c>
      <c r="FK144" s="59">
        <f t="shared" si="156"/>
        <v>255.45365487683489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166.86783176709812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166.86783176709812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7">
        <f t="shared" si="110"/>
        <v>441.80469349180032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266.02599413192075</v>
      </c>
      <c r="T145" s="59">
        <f t="shared" si="142"/>
        <v>332.94146254783254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5.1431925385259092E-13</v>
      </c>
      <c r="AK145" s="13">
        <f t="shared" si="143"/>
        <v>6.3855359115685756E-12</v>
      </c>
      <c r="AL145" s="20">
        <f t="shared" si="112"/>
        <v>1.2017247746441865E-11</v>
      </c>
      <c r="AM145" s="59">
        <f t="shared" si="113"/>
        <v>293.33333333334531</v>
      </c>
      <c r="AN145" s="59">
        <f ca="1">AVERAGE(OFFSET($AM$3,0,0,'Données projet'!$E$10+1,1))-AVERAGE(OFFSET($H$3,0,0,'Données projet'!$E$10+1,1))</f>
        <v>282.13645166362238</v>
      </c>
      <c r="AO145" s="59">
        <f t="shared" si="144"/>
        <v>210.5345332979457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137.51518856807863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137.51518856807863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254.6443970237226</v>
      </c>
      <c r="BJ145" s="59">
        <f t="shared" si="146"/>
        <v>231.81667808018062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50.575727394174429</v>
      </c>
      <c r="BQ145" s="21">
        <f>EXP(-LN(2)/25)*BQ144+(1-EXP(-LN(2)/25))/(LN(2)/25)*Calculateur!BL145*Calculateur!BN145*VLOOKUP('Données projet'!$B$11,Paramètres!$A$1:$I$89,3,0)*0.475*44/12</f>
        <v>7.5297028606013381</v>
      </c>
      <c r="BR145" s="21">
        <f>EXP(-LN(2)/2)*BR144+(1-EXP(-LN(2)/2))/(LN(2)/2)*BL145*BO145*VLOOKUP('Données projet'!$B$11,Paramètres!$A$1:$I$89,3,0)*0.475*44/12</f>
        <v>5.7963713055305545E-10</v>
      </c>
      <c r="BS145" s="22">
        <f t="shared" si="117"/>
        <v>58.105430255355408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5.1063034188034209</v>
      </c>
      <c r="BY145" s="12">
        <f>IF('Données projet'!$A$114&gt;35,BY144+BX145-CG144,IF(A145&lt;'Données projet'!$A$114,$BV$205^A145,IF(A145='Données projet'!$A$114,'Données projet'!$B$114,BY144+BX145-CG144)))</f>
        <v>267.4417735042731</v>
      </c>
      <c r="BZ145" s="13">
        <f>BY145*VLOOKUP('Données projet'!$B$12,Paramètres!$A$1:$I$89,3,0)*VLOOKUP('Données projet'!$B$12,Paramètres!$A$1:$I$89,5,0)</f>
        <v>271.18595833333296</v>
      </c>
      <c r="CA145" s="13">
        <f t="shared" si="147"/>
        <v>65.100895340597489</v>
      </c>
      <c r="CB145" s="20">
        <f t="shared" si="118"/>
        <v>585.69960348209554</v>
      </c>
      <c r="CC145" s="59">
        <f t="shared" si="119"/>
        <v>879.03293681542891</v>
      </c>
      <c r="CD145" s="59">
        <f ca="1">AVERAGE(OFFSET($CC$3,0,0,'Données projet'!$E$12+1,1))-AVERAGE(OFFSET($H$3,0,0,'Données projet'!$E$12+1,1))</f>
        <v>264.08050363622294</v>
      </c>
      <c r="CE145" s="59">
        <f t="shared" si="148"/>
        <v>164.48884512322883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49.768123172742875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49.768123172742875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194.7221767407824</v>
      </c>
      <c r="CZ145" s="59">
        <f t="shared" si="150"/>
        <v>177.6550559568646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39.990110032603084</v>
      </c>
      <c r="DG145" s="21">
        <f>EXP(-LN(2)/25)*DG144+(1-EXP(-LN(2)/25))/(LN(2)/25)*Calculateur!DB145*Calculateur!DD145*VLOOKUP('Données projet'!$B$13,Paramètres!$A$1:$I$89,3,0)*0.475*44/12</f>
        <v>5.9537185409406019</v>
      </c>
      <c r="DH145" s="21">
        <f>EXP(-LN(2)/2)*DH144+(1-EXP(-LN(2)/2))/(LN(2)/2)*DB145*DE145*VLOOKUP('Données projet'!$B$13,Paramètres!$A$1:$I$89,3,0)*0.475*44/12</f>
        <v>4.5831773113497648E-10</v>
      </c>
      <c r="DI145" s="22">
        <f t="shared" si="123"/>
        <v>45.943828574001998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3.4106051316484809E-13</v>
      </c>
      <c r="DP145" s="17">
        <f>DO145*VLOOKUP('Données projet'!$B$14,Paramètres!$A$1:$I$89,3,0)*VLOOKUP('Données projet'!$B$14,Paramètres!$A$1:$I$89,5,0)</f>
        <v>1.5961632016114892E-13</v>
      </c>
      <c r="DQ145" s="13">
        <f t="shared" si="151"/>
        <v>2.2708641912150958E-12</v>
      </c>
      <c r="DR145" s="20">
        <f t="shared" si="124"/>
        <v>4.2330868906469593E-12</v>
      </c>
      <c r="DS145" s="59">
        <f t="shared" si="125"/>
        <v>293.33333333333752</v>
      </c>
      <c r="DT145" s="59">
        <f ca="1">AVERAGE(OFFSET($DS$3,0,0,'Données projet'!$E$14+1,1))-AVERAGE(OFFSET($H$3,0,0,'Données projet'!$E$14+1,1))</f>
        <v>207.25176714718668</v>
      </c>
      <c r="DU145" s="59">
        <f t="shared" si="152"/>
        <v>191.53228014642559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84.208189202632653</v>
      </c>
      <c r="EB145" s="21">
        <f>EXP(-LN(2)/25)*EB144+(1-EXP(-LN(2)/25))/(LN(2)/25)*Calculateur!DW145*Calculateur!DY145*VLOOKUP('Données projet'!$B$14,Paramètres!$A$1:$I$89,3,0)*0.475*44/12</f>
        <v>15.745253273839573</v>
      </c>
      <c r="EC145" s="21">
        <f>EXP(-LN(2)/2)*EC144+(1-EXP(-LN(2)/2))/(LN(2)/2)*DW145*DZ145*VLOOKUP('Données projet'!$B$14,Paramètres!$A$1:$I$89,3,0)*0.475*44/12</f>
        <v>5.9846208478902567E-5</v>
      </c>
      <c r="ED145" s="22">
        <f t="shared" si="126"/>
        <v>99.953502322680691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-2.8421709430404007E-13</v>
      </c>
      <c r="EK145" s="17">
        <f>EJ145*VLOOKUP('Données projet'!$B$15,Paramètres!$A$1:$I$89,3,0)*VLOOKUP('Données projet'!$B$15,Paramètres!$A$1:$I$89,5,0)</f>
        <v>-1.69961822393816E-13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200.15574321350221</v>
      </c>
      <c r="EP145" s="59">
        <f t="shared" si="154"/>
        <v>200.70728852570426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25.570748952823525</v>
      </c>
      <c r="EW145" s="21">
        <f>EXP(-LN(2)/25)*EW144+(1-EXP(-LN(2)/25))/(LN(2)/25)*Calculateur!ER145*Calculateur!ET145*VLOOKUP('Données projet'!$B$15,Paramètres!$A$1:$I$89,3,0)*0.475*44/12</f>
        <v>3.7203853638667463</v>
      </c>
      <c r="EX145" s="21">
        <f>EXP(-LN(2)/2)*EX144+(1-EXP(-LN(2)/2))/(LN(2)/2)*ER145*EU145*VLOOKUP('Données projet'!$B$15,Paramètres!$A$1:$I$89,3,0)*0.475*44/12</f>
        <v>1.4535020677603087E-11</v>
      </c>
      <c r="EY145" s="22">
        <f t="shared" si="129"/>
        <v>29.291134316704806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5.6843418860808015E-13</v>
      </c>
      <c r="FF145" s="17">
        <f>FE145*VLOOKUP('Données projet'!$B$16,Paramètres!$A$1:$I$89,3,0)*VLOOKUP('Données projet'!$B$16,Paramètres!$A$1:$I$89,5,0)</f>
        <v>6.1186256061773743E-13</v>
      </c>
      <c r="FG145" s="13">
        <f t="shared" si="155"/>
        <v>7.4445668332430206E-12</v>
      </c>
      <c r="FH145" s="20">
        <f t="shared" si="130"/>
        <v>1.4031614527640822E-11</v>
      </c>
      <c r="FI145" s="59">
        <f t="shared" si="131"/>
        <v>293.33333333334735</v>
      </c>
      <c r="FJ145" s="59">
        <f ca="1">AVERAGE(OFFSET($FI$3,0,0,'Données projet'!$E$16+1,1))-AVERAGE(OFFSET($H$3,0,0,'Données projet'!$E$16+1,1))</f>
        <v>347.17049316703486</v>
      </c>
      <c r="FK145" s="59">
        <f t="shared" si="156"/>
        <v>255.45365487683489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163.59565536547282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163.59565536547282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7">
        <f t="shared" si="110"/>
        <v>442.82335615003672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266.02599413192075</v>
      </c>
      <c r="T146" s="59">
        <f t="shared" si="142"/>
        <v>332.94146254783254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5.1431925385259092E-13</v>
      </c>
      <c r="AK146" s="13">
        <f t="shared" si="143"/>
        <v>6.3855359115685756E-12</v>
      </c>
      <c r="AL146" s="20">
        <f t="shared" si="112"/>
        <v>1.2017247746441865E-11</v>
      </c>
      <c r="AM146" s="59">
        <f t="shared" si="113"/>
        <v>293.33333333334531</v>
      </c>
      <c r="AN146" s="59">
        <f ca="1">AVERAGE(OFFSET($AM$3,0,0,'Données projet'!$E$10+1,1))-AVERAGE(OFFSET($H$3,0,0,'Données projet'!$E$10+1,1))</f>
        <v>282.13645166362238</v>
      </c>
      <c r="AO146" s="59">
        <f t="shared" si="144"/>
        <v>210.5345332979457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134.81859959624157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134.81859959624157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254.6443970237226</v>
      </c>
      <c r="BJ146" s="59">
        <f t="shared" si="146"/>
        <v>231.81667808018062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49.58396822812238</v>
      </c>
      <c r="BQ146" s="21">
        <f>EXP(-LN(2)/25)*BQ145+(1-EXP(-LN(2)/25))/(LN(2)/25)*Calculateur!BL146*Calculateur!BN146*VLOOKUP('Données projet'!$B$11,Paramètres!$A$1:$I$89,3,0)*0.475*44/12</f>
        <v>7.3238027399083308</v>
      </c>
      <c r="BR146" s="21">
        <f>EXP(-LN(2)/2)*BR145+(1-EXP(-LN(2)/2))/(LN(2)/2)*BL146*BO146*VLOOKUP('Données projet'!$B$11,Paramètres!$A$1:$I$89,3,0)*0.475*44/12</f>
        <v>4.0986534564157767E-10</v>
      </c>
      <c r="BS146" s="22">
        <f t="shared" si="117"/>
        <v>56.907770968440573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5.1063034188034209</v>
      </c>
      <c r="BY146" s="12">
        <f>IF('Données projet'!$A$114&gt;35,BY145+BX146-CG145,IF(A146&lt;'Données projet'!$A$114,$BV$205^A146,IF(A146='Données projet'!$A$114,'Données projet'!$B$114,BY145+BX146-CG145)))</f>
        <v>272.54807692307651</v>
      </c>
      <c r="BZ146" s="13">
        <f>BY146*VLOOKUP('Données projet'!$B$12,Paramètres!$A$1:$I$89,3,0)*VLOOKUP('Données projet'!$B$12,Paramètres!$A$1:$I$89,5,0)</f>
        <v>276.36374999999958</v>
      </c>
      <c r="CA146" s="13">
        <f t="shared" si="147"/>
        <v>66.19798109408589</v>
      </c>
      <c r="CB146" s="20">
        <f t="shared" si="118"/>
        <v>596.6283483221988</v>
      </c>
      <c r="CC146" s="59">
        <f t="shared" si="119"/>
        <v>889.96168165553217</v>
      </c>
      <c r="CD146" s="59">
        <f ca="1">AVERAGE(OFFSET($CC$3,0,0,'Données projet'!$E$12+1,1))-AVERAGE(OFFSET($H$3,0,0,'Données projet'!$E$12+1,1))</f>
        <v>264.08050363622294</v>
      </c>
      <c r="CE146" s="59">
        <f t="shared" si="148"/>
        <v>164.48884512322883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48.792200632883159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48.792200632883159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194.7221767407824</v>
      </c>
      <c r="CZ146" s="59">
        <f t="shared" si="150"/>
        <v>177.6550559568646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39.205928366422391</v>
      </c>
      <c r="DG146" s="21">
        <f>EXP(-LN(2)/25)*DG145+(1-EXP(-LN(2)/25))/(LN(2)/25)*Calculateur!DB146*Calculateur!DD146*VLOOKUP('Données projet'!$B$13,Paramètres!$A$1:$I$89,3,0)*0.475*44/12</f>
        <v>5.7909137943461308</v>
      </c>
      <c r="DH146" s="21">
        <f>EXP(-LN(2)/2)*DH145+(1-EXP(-LN(2)/2))/(LN(2)/2)*DB146*DE146*VLOOKUP('Données projet'!$B$13,Paramètres!$A$1:$I$89,3,0)*0.475*44/12</f>
        <v>3.2407957562357476E-10</v>
      </c>
      <c r="DI146" s="22">
        <f t="shared" si="123"/>
        <v>44.996842161092601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3.4106051316484809E-13</v>
      </c>
      <c r="DP146" s="17">
        <f>DO146*VLOOKUP('Données projet'!$B$14,Paramètres!$A$1:$I$89,3,0)*VLOOKUP('Données projet'!$B$14,Paramètres!$A$1:$I$89,5,0)</f>
        <v>1.5961632016114892E-13</v>
      </c>
      <c r="DQ146" s="13">
        <f t="shared" si="151"/>
        <v>2.2708641912150958E-12</v>
      </c>
      <c r="DR146" s="20">
        <f t="shared" si="124"/>
        <v>4.2330868906469593E-12</v>
      </c>
      <c r="DS146" s="59">
        <f t="shared" si="125"/>
        <v>293.33333333333752</v>
      </c>
      <c r="DT146" s="59">
        <f ca="1">AVERAGE(OFFSET($DS$3,0,0,'Données projet'!$E$14+1,1))-AVERAGE(OFFSET($H$3,0,0,'Données projet'!$E$14+1,1))</f>
        <v>207.25176714718668</v>
      </c>
      <c r="DU146" s="59">
        <f t="shared" si="152"/>
        <v>191.53228014642559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82.556917974292872</v>
      </c>
      <c r="EB146" s="21">
        <f>EXP(-LN(2)/25)*EB145+(1-EXP(-LN(2)/25))/(LN(2)/25)*Calculateur!DW146*Calculateur!DY146*VLOOKUP('Données projet'!$B$14,Paramètres!$A$1:$I$89,3,0)*0.475*44/12</f>
        <v>15.314698495059547</v>
      </c>
      <c r="EC146" s="21">
        <f>EXP(-LN(2)/2)*EC145+(1-EXP(-LN(2)/2))/(LN(2)/2)*DW146*DZ146*VLOOKUP('Données projet'!$B$14,Paramètres!$A$1:$I$89,3,0)*0.475*44/12</f>
        <v>4.2317659843735866E-5</v>
      </c>
      <c r="ED146" s="22">
        <f t="shared" si="126"/>
        <v>97.871658787012265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-2.8421709430404007E-13</v>
      </c>
      <c r="EK146" s="17">
        <f>EJ146*VLOOKUP('Données projet'!$B$15,Paramètres!$A$1:$I$89,3,0)*VLOOKUP('Données projet'!$B$15,Paramètres!$A$1:$I$89,5,0)</f>
        <v>-1.69961822393816E-13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200.15574321350221</v>
      </c>
      <c r="EP146" s="59">
        <f t="shared" si="154"/>
        <v>200.70728852570426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25.06932216247548</v>
      </c>
      <c r="EW146" s="21">
        <f>EXP(-LN(2)/25)*EW145+(1-EXP(-LN(2)/25))/(LN(2)/25)*Calculateur!ER146*Calculateur!ET146*VLOOKUP('Données projet'!$B$15,Paramètres!$A$1:$I$89,3,0)*0.475*44/12</f>
        <v>3.6186512304452467</v>
      </c>
      <c r="EX146" s="21">
        <f>EXP(-LN(2)/2)*EX145+(1-EXP(-LN(2)/2))/(LN(2)/2)*ER146*EU146*VLOOKUP('Données projet'!$B$15,Paramètres!$A$1:$I$89,3,0)*0.475*44/12</f>
        <v>1.0277811685819831E-11</v>
      </c>
      <c r="EY146" s="22">
        <f t="shared" si="129"/>
        <v>28.687973392931003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5.6843418860808015E-13</v>
      </c>
      <c r="FF146" s="17">
        <f>FE146*VLOOKUP('Données projet'!$B$16,Paramètres!$A$1:$I$89,3,0)*VLOOKUP('Données projet'!$B$16,Paramètres!$A$1:$I$89,5,0)</f>
        <v>6.1186256061773743E-13</v>
      </c>
      <c r="FG146" s="13">
        <f t="shared" si="155"/>
        <v>7.4445668332430206E-12</v>
      </c>
      <c r="FH146" s="20">
        <f t="shared" si="130"/>
        <v>1.4031614527640822E-11</v>
      </c>
      <c r="FI146" s="59">
        <f t="shared" si="131"/>
        <v>293.33333333334735</v>
      </c>
      <c r="FJ146" s="59">
        <f ca="1">AVERAGE(OFFSET($FI$3,0,0,'Données projet'!$E$16+1,1))-AVERAGE(OFFSET($H$3,0,0,'Données projet'!$E$16+1,1))</f>
        <v>347.17049316703486</v>
      </c>
      <c r="FK146" s="59">
        <f t="shared" si="156"/>
        <v>255.45365487683489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160.38764434725286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160.38764434725286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7">
        <f t="shared" si="110"/>
        <v>443.84185317710774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266.02599413192075</v>
      </c>
      <c r="T147" s="59">
        <f t="shared" si="142"/>
        <v>332.94146254783254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5.1431925385259092E-13</v>
      </c>
      <c r="AK147" s="13">
        <f t="shared" si="143"/>
        <v>6.3855359115685756E-12</v>
      </c>
      <c r="AL147" s="20">
        <f t="shared" si="112"/>
        <v>1.2017247746441865E-11</v>
      </c>
      <c r="AM147" s="59">
        <f t="shared" si="113"/>
        <v>293.33333333334531</v>
      </c>
      <c r="AN147" s="59">
        <f ca="1">AVERAGE(OFFSET($AM$3,0,0,'Données projet'!$E$10+1,1))-AVERAGE(OFFSET($H$3,0,0,'Données projet'!$E$10+1,1))</f>
        <v>282.13645166362238</v>
      </c>
      <c r="AO147" s="59">
        <f t="shared" si="144"/>
        <v>210.5345332979457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132.17488908938537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132.17488908938537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254.6443970237226</v>
      </c>
      <c r="BJ147" s="59">
        <f t="shared" si="146"/>
        <v>231.81667808018062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48.61165685440325</v>
      </c>
      <c r="BQ147" s="21">
        <f>EXP(-LN(2)/25)*BQ146+(1-EXP(-LN(2)/25))/(LN(2)/25)*Calculateur!BL147*Calculateur!BN147*VLOOKUP('Données projet'!$B$11,Paramètres!$A$1:$I$89,3,0)*0.475*44/12</f>
        <v>7.1235329688434899</v>
      </c>
      <c r="BR147" s="21">
        <f>EXP(-LN(2)/2)*BR146+(1-EXP(-LN(2)/2))/(LN(2)/2)*BL147*BO147*VLOOKUP('Données projet'!$B$11,Paramètres!$A$1:$I$89,3,0)*0.475*44/12</f>
        <v>2.8981856527652773E-10</v>
      </c>
      <c r="BS147" s="22">
        <f t="shared" si="117"/>
        <v>55.735189823536558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5.1063034188034209</v>
      </c>
      <c r="BY147" s="12">
        <f>IF('Données projet'!$A$114&gt;35,BY146+BX147-CG146,IF(A147&lt;'Données projet'!$A$114,$BV$205^A147,IF(A147='Données projet'!$A$114,'Données projet'!$B$114,BY146+BX147-CG146)))</f>
        <v>277.65438034187991</v>
      </c>
      <c r="BZ147" s="13">
        <f>BY147*VLOOKUP('Données projet'!$B$12,Paramètres!$A$1:$I$89,3,0)*VLOOKUP('Données projet'!$B$12,Paramètres!$A$1:$I$89,5,0)</f>
        <v>281.54154166666626</v>
      </c>
      <c r="CA147" s="13">
        <f t="shared" si="147"/>
        <v>67.292676778560462</v>
      </c>
      <c r="CB147" s="20">
        <f t="shared" si="118"/>
        <v>607.55293045876988</v>
      </c>
      <c r="CC147" s="59">
        <f t="shared" si="119"/>
        <v>900.88626379210314</v>
      </c>
      <c r="CD147" s="59">
        <f ca="1">AVERAGE(OFFSET($CC$3,0,0,'Données projet'!$E$12+1,1))-AVERAGE(OFFSET($H$3,0,0,'Données projet'!$E$12+1,1))</f>
        <v>264.08050363622294</v>
      </c>
      <c r="CE147" s="59">
        <f t="shared" si="148"/>
        <v>164.48884512322883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47.835415338776123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47.835415338776123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194.7221767407824</v>
      </c>
      <c r="CZ147" s="59">
        <f t="shared" si="150"/>
        <v>177.6550559568646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38.437124024411915</v>
      </c>
      <c r="DG147" s="21">
        <f>EXP(-LN(2)/25)*DG146+(1-EXP(-LN(2)/25))/(LN(2)/25)*Calculateur!DB147*Calculateur!DD147*VLOOKUP('Données projet'!$B$13,Paramètres!$A$1:$I$89,3,0)*0.475*44/12</f>
        <v>5.6325609521088147</v>
      </c>
      <c r="DH147" s="21">
        <f>EXP(-LN(2)/2)*DH146+(1-EXP(-LN(2)/2))/(LN(2)/2)*DB147*DE147*VLOOKUP('Données projet'!$B$13,Paramètres!$A$1:$I$89,3,0)*0.475*44/12</f>
        <v>2.2915886556748827E-10</v>
      </c>
      <c r="DI147" s="22">
        <f t="shared" si="123"/>
        <v>44.06968497674989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3.4106051316484809E-13</v>
      </c>
      <c r="DP147" s="17">
        <f>DO147*VLOOKUP('Données projet'!$B$14,Paramètres!$A$1:$I$89,3,0)*VLOOKUP('Données projet'!$B$14,Paramètres!$A$1:$I$89,5,0)</f>
        <v>1.5961632016114892E-13</v>
      </c>
      <c r="DQ147" s="13">
        <f t="shared" si="151"/>
        <v>2.2708641912150958E-12</v>
      </c>
      <c r="DR147" s="20">
        <f t="shared" si="124"/>
        <v>4.2330868906469593E-12</v>
      </c>
      <c r="DS147" s="59">
        <f t="shared" si="125"/>
        <v>293.33333333333752</v>
      </c>
      <c r="DT147" s="59">
        <f ca="1">AVERAGE(OFFSET($DS$3,0,0,'Données projet'!$E$14+1,1))-AVERAGE(OFFSET($H$3,0,0,'Données projet'!$E$14+1,1))</f>
        <v>207.25176714718668</v>
      </c>
      <c r="DU147" s="59">
        <f t="shared" si="152"/>
        <v>191.53228014642559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80.93802716756484</v>
      </c>
      <c r="EB147" s="21">
        <f>EXP(-LN(2)/25)*EB146+(1-EXP(-LN(2)/25))/(LN(2)/25)*Calculateur!DW147*Calculateur!DY147*VLOOKUP('Données projet'!$B$14,Paramètres!$A$1:$I$89,3,0)*0.475*44/12</f>
        <v>14.895917259347152</v>
      </c>
      <c r="EC147" s="21">
        <f>EXP(-LN(2)/2)*EC146+(1-EXP(-LN(2)/2))/(LN(2)/2)*DW147*DZ147*VLOOKUP('Données projet'!$B$14,Paramètres!$A$1:$I$89,3,0)*0.475*44/12</f>
        <v>2.9923104239451287E-5</v>
      </c>
      <c r="ED147" s="22">
        <f t="shared" si="126"/>
        <v>95.833974350016234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-2.8421709430404007E-13</v>
      </c>
      <c r="EK147" s="17">
        <f>EJ147*VLOOKUP('Données projet'!$B$15,Paramètres!$A$1:$I$89,3,0)*VLOOKUP('Données projet'!$B$15,Paramètres!$A$1:$I$89,5,0)</f>
        <v>-1.69961822393816E-13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200.15574321350221</v>
      </c>
      <c r="EP147" s="59">
        <f t="shared" si="154"/>
        <v>200.70728852570426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24.577728045646015</v>
      </c>
      <c r="EW147" s="21">
        <f>EXP(-LN(2)/25)*EW146+(1-EXP(-LN(2)/25))/(LN(2)/25)*Calculateur!ER147*Calculateur!ET147*VLOOKUP('Données projet'!$B$15,Paramètres!$A$1:$I$89,3,0)*0.475*44/12</f>
        <v>3.5196990222521238</v>
      </c>
      <c r="EX147" s="21">
        <f>EXP(-LN(2)/2)*EX146+(1-EXP(-LN(2)/2))/(LN(2)/2)*ER147*EU147*VLOOKUP('Données projet'!$B$15,Paramètres!$A$1:$I$89,3,0)*0.475*44/12</f>
        <v>7.2675103388015451E-12</v>
      </c>
      <c r="EY147" s="22">
        <f t="shared" si="129"/>
        <v>28.097427067905407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5.6843418860808015E-13</v>
      </c>
      <c r="FF147" s="17">
        <f>FE147*VLOOKUP('Données projet'!$B$16,Paramètres!$A$1:$I$89,3,0)*VLOOKUP('Données projet'!$B$16,Paramètres!$A$1:$I$89,5,0)</f>
        <v>6.1186256061773743E-13</v>
      </c>
      <c r="FG147" s="13">
        <f t="shared" si="155"/>
        <v>7.4445668332430206E-12</v>
      </c>
      <c r="FH147" s="20">
        <f t="shared" si="130"/>
        <v>1.4031614527640822E-11</v>
      </c>
      <c r="FI147" s="59">
        <f t="shared" si="131"/>
        <v>293.33333333334735</v>
      </c>
      <c r="FJ147" s="59">
        <f ca="1">AVERAGE(OFFSET($FI$3,0,0,'Données projet'!$E$16+1,1))-AVERAGE(OFFSET($H$3,0,0,'Données projet'!$E$16+1,1))</f>
        <v>347.17049316703486</v>
      </c>
      <c r="FK147" s="59">
        <f t="shared" si="156"/>
        <v>255.45365487683489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157.2425404684067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157.2425404684067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7">
        <f t="shared" si="110"/>
        <v>444.86018585661668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266.02599413192075</v>
      </c>
      <c r="T148" s="59">
        <f t="shared" si="142"/>
        <v>332.94146254783254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5.1431925385259092E-13</v>
      </c>
      <c r="AK148" s="13">
        <f t="shared" si="143"/>
        <v>6.3855359115685756E-12</v>
      </c>
      <c r="AL148" s="20">
        <f t="shared" si="112"/>
        <v>1.2017247746441865E-11</v>
      </c>
      <c r="AM148" s="59">
        <f t="shared" si="113"/>
        <v>293.33333333334531</v>
      </c>
      <c r="AN148" s="59">
        <f ca="1">AVERAGE(OFFSET($AM$3,0,0,'Données projet'!$E$10+1,1))-AVERAGE(OFFSET($H$3,0,0,'Données projet'!$E$10+1,1))</f>
        <v>282.13645166362238</v>
      </c>
      <c r="AO148" s="59">
        <f t="shared" si="144"/>
        <v>210.5345332979457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129.58302013306442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129.58302013306442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254.6443970237226</v>
      </c>
      <c r="BJ148" s="59">
        <f t="shared" si="146"/>
        <v>231.81667808018062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47.658411913671372</v>
      </c>
      <c r="BQ148" s="21">
        <f>EXP(-LN(2)/25)*BQ147+(1-EXP(-LN(2)/25))/(LN(2)/25)*Calculateur!BL148*Calculateur!BN148*VLOOKUP('Données projet'!$B$11,Paramètres!$A$1:$I$89,3,0)*0.475*44/12</f>
        <v>6.9287395852001472</v>
      </c>
      <c r="BR148" s="21">
        <f>EXP(-LN(2)/2)*BR147+(1-EXP(-LN(2)/2))/(LN(2)/2)*BL148*BO148*VLOOKUP('Données projet'!$B$11,Paramètres!$A$1:$I$89,3,0)*0.475*44/12</f>
        <v>2.0493267282078883E-10</v>
      </c>
      <c r="BS148" s="22">
        <f t="shared" si="117"/>
        <v>54.587151499076455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5.1063034188034209</v>
      </c>
      <c r="BY148" s="12">
        <f>IF('Données projet'!$A$114&gt;35,BY147+BX148-CG147,IF(A148&lt;'Données projet'!$A$114,$BV$205^A148,IF(A148='Données projet'!$A$114,'Données projet'!$B$114,BY147+BX148-CG147)))</f>
        <v>282.76068376068332</v>
      </c>
      <c r="BZ148" s="13">
        <f>BY148*VLOOKUP('Données projet'!$B$12,Paramètres!$A$1:$I$89,3,0)*VLOOKUP('Données projet'!$B$12,Paramètres!$A$1:$I$89,5,0)</f>
        <v>286.71933333333288</v>
      </c>
      <c r="CA148" s="13">
        <f t="shared" si="147"/>
        <v>68.38503141894958</v>
      </c>
      <c r="CB148" s="20">
        <f t="shared" si="118"/>
        <v>618.47343527689191</v>
      </c>
      <c r="CC148" s="59">
        <f t="shared" si="119"/>
        <v>911.80676861022516</v>
      </c>
      <c r="CD148" s="59">
        <f ca="1">AVERAGE(OFFSET($CC$3,0,0,'Données projet'!$E$12+1,1))-AVERAGE(OFFSET($H$3,0,0,'Données projet'!$E$12+1,1))</f>
        <v>264.08050363622294</v>
      </c>
      <c r="CE148" s="59">
        <f t="shared" si="148"/>
        <v>164.48884512322883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46.897392020705119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46.897392020705119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194.7221767407824</v>
      </c>
      <c r="CZ148" s="59">
        <f t="shared" si="150"/>
        <v>177.6550559568646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37.683395466623914</v>
      </c>
      <c r="DG148" s="21">
        <f>EXP(-LN(2)/25)*DG147+(1-EXP(-LN(2)/25))/(LN(2)/25)*Calculateur!DB148*Calculateur!DD148*VLOOKUP('Données projet'!$B$13,Paramètres!$A$1:$I$89,3,0)*0.475*44/12</f>
        <v>5.4785382766698918</v>
      </c>
      <c r="DH148" s="21">
        <f>EXP(-LN(2)/2)*DH147+(1-EXP(-LN(2)/2))/(LN(2)/2)*DB148*DE148*VLOOKUP('Données projet'!$B$13,Paramètres!$A$1:$I$89,3,0)*0.475*44/12</f>
        <v>1.6203978781178741E-10</v>
      </c>
      <c r="DI148" s="22">
        <f t="shared" si="123"/>
        <v>43.161933743455847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3.4106051316484809E-13</v>
      </c>
      <c r="DP148" s="17">
        <f>DO148*VLOOKUP('Données projet'!$B$14,Paramètres!$A$1:$I$89,3,0)*VLOOKUP('Données projet'!$B$14,Paramètres!$A$1:$I$89,5,0)</f>
        <v>1.5961632016114892E-13</v>
      </c>
      <c r="DQ148" s="13">
        <f t="shared" si="151"/>
        <v>2.2708641912150958E-12</v>
      </c>
      <c r="DR148" s="20">
        <f t="shared" si="124"/>
        <v>4.2330868906469593E-12</v>
      </c>
      <c r="DS148" s="59">
        <f t="shared" si="125"/>
        <v>293.33333333333752</v>
      </c>
      <c r="DT148" s="59">
        <f ca="1">AVERAGE(OFFSET($DS$3,0,0,'Données projet'!$E$14+1,1))-AVERAGE(OFFSET($H$3,0,0,'Données projet'!$E$14+1,1))</f>
        <v>207.25176714718668</v>
      </c>
      <c r="DU148" s="59">
        <f t="shared" si="152"/>
        <v>191.53228014642559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79.350881822130845</v>
      </c>
      <c r="EB148" s="21">
        <f>EXP(-LN(2)/25)*EB147+(1-EXP(-LN(2)/25))/(LN(2)/25)*Calculateur!DW148*Calculateur!DY148*VLOOKUP('Données projet'!$B$14,Paramètres!$A$1:$I$89,3,0)*0.475*44/12</f>
        <v>14.488587618548062</v>
      </c>
      <c r="EC148" s="21">
        <f>EXP(-LN(2)/2)*EC147+(1-EXP(-LN(2)/2))/(LN(2)/2)*DW148*DZ148*VLOOKUP('Données projet'!$B$14,Paramètres!$A$1:$I$89,3,0)*0.475*44/12</f>
        <v>2.1158829921867936E-5</v>
      </c>
      <c r="ED148" s="22">
        <f t="shared" si="126"/>
        <v>93.839490599508835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-2.8421709430404007E-13</v>
      </c>
      <c r="EK148" s="17">
        <f>EJ148*VLOOKUP('Données projet'!$B$15,Paramètres!$A$1:$I$89,3,0)*VLOOKUP('Données projet'!$B$15,Paramètres!$A$1:$I$89,5,0)</f>
        <v>-1.69961822393816E-13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200.15574321350221</v>
      </c>
      <c r="EP148" s="59">
        <f t="shared" si="154"/>
        <v>200.70728852570426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24.095773789604774</v>
      </c>
      <c r="EW148" s="21">
        <f>EXP(-LN(2)/25)*EW147+(1-EXP(-LN(2)/25))/(LN(2)/25)*Calculateur!ER148*Calculateur!ET148*VLOOKUP('Données projet'!$B$15,Paramètres!$A$1:$I$89,3,0)*0.475*44/12</f>
        <v>3.4234526673957122</v>
      </c>
      <c r="EX148" s="21">
        <f>EXP(-LN(2)/2)*EX147+(1-EXP(-LN(2)/2))/(LN(2)/2)*ER148*EU148*VLOOKUP('Données projet'!$B$15,Paramètres!$A$1:$I$89,3,0)*0.475*44/12</f>
        <v>5.1389058429099163E-12</v>
      </c>
      <c r="EY148" s="22">
        <f t="shared" si="129"/>
        <v>27.519226457005622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5.6843418860808015E-13</v>
      </c>
      <c r="FF148" s="17">
        <f>FE148*VLOOKUP('Données projet'!$B$16,Paramètres!$A$1:$I$89,3,0)*VLOOKUP('Données projet'!$B$16,Paramètres!$A$1:$I$89,5,0)</f>
        <v>6.1186256061773743E-13</v>
      </c>
      <c r="FG148" s="13">
        <f t="shared" si="155"/>
        <v>7.4445668332430206E-12</v>
      </c>
      <c r="FH148" s="20">
        <f t="shared" si="130"/>
        <v>1.4031614527640822E-11</v>
      </c>
      <c r="FI148" s="59">
        <f t="shared" si="131"/>
        <v>293.33333333334735</v>
      </c>
      <c r="FJ148" s="59">
        <f ca="1">AVERAGE(OFFSET($FI$3,0,0,'Données projet'!$E$16+1,1))-AVERAGE(OFFSET($H$3,0,0,'Données projet'!$E$16+1,1))</f>
        <v>347.17049316703486</v>
      </c>
      <c r="FK148" s="59">
        <f t="shared" si="156"/>
        <v>255.45365487683489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154.15911015830076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154.15911015830076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7">
        <f t="shared" si="110"/>
        <v>445.87835545343899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266.02599413192075</v>
      </c>
      <c r="T149" s="59">
        <f t="shared" si="142"/>
        <v>332.94146254783254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5.1431925385259092E-13</v>
      </c>
      <c r="AK149" s="13">
        <f t="shared" si="143"/>
        <v>6.3855359115685756E-12</v>
      </c>
      <c r="AL149" s="20">
        <f t="shared" si="112"/>
        <v>1.2017247746441865E-11</v>
      </c>
      <c r="AM149" s="59">
        <f t="shared" si="113"/>
        <v>293.33333333334531</v>
      </c>
      <c r="AN149" s="59">
        <f ca="1">AVERAGE(OFFSET($AM$3,0,0,'Données projet'!$E$10+1,1))-AVERAGE(OFFSET($H$3,0,0,'Données projet'!$E$10+1,1))</f>
        <v>282.13645166362238</v>
      </c>
      <c r="AO149" s="59">
        <f t="shared" si="144"/>
        <v>210.5345332979457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127.04197614609298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127.04197614609298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254.6443970237226</v>
      </c>
      <c r="BJ149" s="59">
        <f t="shared" si="146"/>
        <v>231.81667808018062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46.723859524805242</v>
      </c>
      <c r="BQ149" s="21">
        <f>EXP(-LN(2)/25)*BQ148+(1-EXP(-LN(2)/25))/(LN(2)/25)*Calculateur!BL149*Calculateur!BN149*VLOOKUP('Données projet'!$B$11,Paramètres!$A$1:$I$89,3,0)*0.475*44/12</f>
        <v>6.7392728368762702</v>
      </c>
      <c r="BR149" s="21">
        <f>EXP(-LN(2)/2)*BR148+(1-EXP(-LN(2)/2))/(LN(2)/2)*BL149*BO149*VLOOKUP('Données projet'!$B$11,Paramètres!$A$1:$I$89,3,0)*0.475*44/12</f>
        <v>1.4490928263826386E-10</v>
      </c>
      <c r="BS149" s="22">
        <f t="shared" si="117"/>
        <v>53.463132361826418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5.1063034188034209</v>
      </c>
      <c r="BY149" s="12">
        <f>IF('Données projet'!$A$114&gt;35,BY148+BX149-CG148,IF(A149&lt;'Données projet'!$A$114,$BV$205^A149,IF(A149='Données projet'!$A$114,'Données projet'!$B$114,BY148+BX149-CG148)))</f>
        <v>287.86698717948673</v>
      </c>
      <c r="BZ149" s="13">
        <f>BY149*VLOOKUP('Données projet'!$B$12,Paramètres!$A$1:$I$89,3,0)*VLOOKUP('Données projet'!$B$12,Paramètres!$A$1:$I$89,5,0)</f>
        <v>291.89712499999956</v>
      </c>
      <c r="CA149" s="13">
        <f t="shared" si="147"/>
        <v>69.47509216813539</v>
      </c>
      <c r="CB149" s="20">
        <f t="shared" si="118"/>
        <v>629.38994490116841</v>
      </c>
      <c r="CC149" s="59">
        <f t="shared" si="119"/>
        <v>922.72327823450178</v>
      </c>
      <c r="CD149" s="59">
        <f ca="1">AVERAGE(OFFSET($CC$3,0,0,'Données projet'!$E$12+1,1))-AVERAGE(OFFSET($H$3,0,0,'Données projet'!$E$12+1,1))</f>
        <v>264.08050363622294</v>
      </c>
      <c r="CE149" s="59">
        <f t="shared" si="148"/>
        <v>164.48884512322883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45.977762767763757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45.977762767763757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194.7221767407824</v>
      </c>
      <c r="CZ149" s="59">
        <f t="shared" si="150"/>
        <v>177.6550559568646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36.944447066125115</v>
      </c>
      <c r="DG149" s="21">
        <f>EXP(-LN(2)/25)*DG148+(1-EXP(-LN(2)/25))/(LN(2)/25)*Calculateur!DB149*Calculateur!DD149*VLOOKUP('Données projet'!$B$13,Paramètres!$A$1:$I$89,3,0)*0.475*44/12</f>
        <v>5.3287273593905473</v>
      </c>
      <c r="DH149" s="21">
        <f>EXP(-LN(2)/2)*DH148+(1-EXP(-LN(2)/2))/(LN(2)/2)*DB149*DE149*VLOOKUP('Données projet'!$B$13,Paramètres!$A$1:$I$89,3,0)*0.475*44/12</f>
        <v>1.1457943278374416E-10</v>
      </c>
      <c r="DI149" s="22">
        <f t="shared" si="123"/>
        <v>42.273174425630245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3.4106051316484809E-13</v>
      </c>
      <c r="DP149" s="17">
        <f>DO149*VLOOKUP('Données projet'!$B$14,Paramètres!$A$1:$I$89,3,0)*VLOOKUP('Données projet'!$B$14,Paramètres!$A$1:$I$89,5,0)</f>
        <v>1.5961632016114892E-13</v>
      </c>
      <c r="DQ149" s="13">
        <f t="shared" si="151"/>
        <v>2.2708641912150958E-12</v>
      </c>
      <c r="DR149" s="20">
        <f t="shared" si="124"/>
        <v>4.2330868906469593E-12</v>
      </c>
      <c r="DS149" s="59">
        <f t="shared" si="125"/>
        <v>293.33333333333752</v>
      </c>
      <c r="DT149" s="59">
        <f ca="1">AVERAGE(OFFSET($DS$3,0,0,'Données projet'!$E$14+1,1))-AVERAGE(OFFSET($H$3,0,0,'Données projet'!$E$14+1,1))</f>
        <v>207.25176714718668</v>
      </c>
      <c r="DU149" s="59">
        <f t="shared" si="152"/>
        <v>191.53228014642559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77.794859428857734</v>
      </c>
      <c r="EB149" s="21">
        <f>EXP(-LN(2)/25)*EB148+(1-EXP(-LN(2)/25))/(LN(2)/25)*Calculateur!DW149*Calculateur!DY149*VLOOKUP('Données projet'!$B$14,Paramètres!$A$1:$I$89,3,0)*0.475*44/12</f>
        <v>14.092396428197157</v>
      </c>
      <c r="EC149" s="21">
        <f>EXP(-LN(2)/2)*EC148+(1-EXP(-LN(2)/2))/(LN(2)/2)*DW149*DZ149*VLOOKUP('Données projet'!$B$14,Paramètres!$A$1:$I$89,3,0)*0.475*44/12</f>
        <v>1.4961552119725647E-5</v>
      </c>
      <c r="ED149" s="22">
        <f t="shared" si="126"/>
        <v>91.887270818607021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-2.8421709430404007E-13</v>
      </c>
      <c r="EK149" s="17">
        <f>EJ149*VLOOKUP('Données projet'!$B$15,Paramètres!$A$1:$I$89,3,0)*VLOOKUP('Données projet'!$B$15,Paramètres!$A$1:$I$89,5,0)</f>
        <v>-1.69961822393816E-13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200.15574321350221</v>
      </c>
      <c r="EP149" s="59">
        <f t="shared" si="154"/>
        <v>200.70728852570426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23.623270362561431</v>
      </c>
      <c r="EW149" s="21">
        <f>EXP(-LN(2)/25)*EW148+(1-EXP(-LN(2)/25))/(LN(2)/25)*Calculateur!ER149*Calculateur!ET149*VLOOKUP('Données projet'!$B$15,Paramètres!$A$1:$I$89,3,0)*0.475*44/12</f>
        <v>3.3298381741742249</v>
      </c>
      <c r="EX149" s="21">
        <f>EXP(-LN(2)/2)*EX148+(1-EXP(-LN(2)/2))/(LN(2)/2)*ER149*EU149*VLOOKUP('Données projet'!$B$15,Paramètres!$A$1:$I$89,3,0)*0.475*44/12</f>
        <v>3.6337551694007729E-12</v>
      </c>
      <c r="EY149" s="22">
        <f t="shared" si="129"/>
        <v>26.95310853673929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5.6843418860808015E-13</v>
      </c>
      <c r="FF149" s="17">
        <f>FE149*VLOOKUP('Données projet'!$B$16,Paramètres!$A$1:$I$89,3,0)*VLOOKUP('Données projet'!$B$16,Paramètres!$A$1:$I$89,5,0)</f>
        <v>6.1186256061773743E-13</v>
      </c>
      <c r="FG149" s="13">
        <f t="shared" si="155"/>
        <v>7.4445668332430206E-12</v>
      </c>
      <c r="FH149" s="20">
        <f t="shared" si="130"/>
        <v>1.4031614527640822E-11</v>
      </c>
      <c r="FI149" s="59">
        <f t="shared" si="131"/>
        <v>293.33333333334735</v>
      </c>
      <c r="FJ149" s="59">
        <f ca="1">AVERAGE(OFFSET($FI$3,0,0,'Données projet'!$E$16+1,1))-AVERAGE(OFFSET($H$3,0,0,'Données projet'!$E$16+1,1))</f>
        <v>347.17049316703486</v>
      </c>
      <c r="FK149" s="59">
        <f t="shared" si="156"/>
        <v>255.45365487683489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151.13614403586922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151.13614403586922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7">
        <f t="shared" si="110"/>
        <v>446.89636321412115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266.02599413192075</v>
      </c>
      <c r="T150" s="59">
        <f t="shared" si="142"/>
        <v>332.94146254783254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5.1431925385259092E-13</v>
      </c>
      <c r="AK150" s="13">
        <f t="shared" si="143"/>
        <v>6.3855359115685756E-12</v>
      </c>
      <c r="AL150" s="20">
        <f t="shared" si="112"/>
        <v>1.2017247746441865E-11</v>
      </c>
      <c r="AM150" s="59">
        <f t="shared" si="113"/>
        <v>293.33333333334531</v>
      </c>
      <c r="AN150" s="59">
        <f ca="1">AVERAGE(OFFSET($AM$3,0,0,'Données projet'!$E$10+1,1))-AVERAGE(OFFSET($H$3,0,0,'Données projet'!$E$10+1,1))</f>
        <v>282.13645166362238</v>
      </c>
      <c r="AO150" s="59">
        <f t="shared" si="144"/>
        <v>210.5345332979457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124.55076048182224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124.55076048182224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254.6443970237226</v>
      </c>
      <c r="BJ150" s="59">
        <f t="shared" si="146"/>
        <v>231.81667808018062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45.807633138264102</v>
      </c>
      <c r="BQ150" s="21">
        <f>EXP(-LN(2)/25)*BQ149+(1-EXP(-LN(2)/25))/(LN(2)/25)*Calculateur!BL150*Calculateur!BN150*VLOOKUP('Données projet'!$B$11,Paramètres!$A$1:$I$89,3,0)*0.475*44/12</f>
        <v>6.5549870667489332</v>
      </c>
      <c r="BR150" s="21">
        <f>EXP(-LN(2)/2)*BR149+(1-EXP(-LN(2)/2))/(LN(2)/2)*BL150*BO150*VLOOKUP('Données projet'!$B$11,Paramètres!$A$1:$I$89,3,0)*0.475*44/12</f>
        <v>1.0246633641039442E-10</v>
      </c>
      <c r="BS150" s="22">
        <f t="shared" si="117"/>
        <v>52.362620205115505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5.1063034188034209</v>
      </c>
      <c r="BY150" s="12">
        <f>IF('Données projet'!$A$114&gt;35,BY149+BX150-CG149,IF(A150&lt;'Données projet'!$A$114,$BV$205^A150,IF(A150='Données projet'!$A$114,'Données projet'!$B$114,BY149+BX150-CG149)))</f>
        <v>292.97329059829013</v>
      </c>
      <c r="BZ150" s="13">
        <f>BY150*VLOOKUP('Données projet'!$B$12,Paramètres!$A$1:$I$89,3,0)*VLOOKUP('Données projet'!$B$12,Paramètres!$A$1:$I$89,5,0)</f>
        <v>297.07491666666618</v>
      </c>
      <c r="CA150" s="13">
        <f t="shared" si="147"/>
        <v>70.562904410355046</v>
      </c>
      <c r="CB150" s="20">
        <f t="shared" si="118"/>
        <v>640.30253837581188</v>
      </c>
      <c r="CC150" s="59">
        <f t="shared" si="119"/>
        <v>933.63587170914525</v>
      </c>
      <c r="CD150" s="59">
        <f ca="1">AVERAGE(OFFSET($CC$3,0,0,'Données projet'!$E$12+1,1))-AVERAGE(OFFSET($H$3,0,0,'Données projet'!$E$12+1,1))</f>
        <v>264.08050363622294</v>
      </c>
      <c r="CE150" s="59">
        <f t="shared" si="148"/>
        <v>164.48884512322883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45.076166883554116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45.076166883554116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194.7221767407824</v>
      </c>
      <c r="CZ150" s="59">
        <f t="shared" si="150"/>
        <v>177.6550559568646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36.219988993046073</v>
      </c>
      <c r="DG150" s="21">
        <f>EXP(-LN(2)/25)*DG149+(1-EXP(-LN(2)/25))/(LN(2)/25)*Calculateur!DB150*Calculateur!DD150*VLOOKUP('Données projet'!$B$13,Paramètres!$A$1:$I$89,3,0)*0.475*44/12</f>
        <v>5.1830130295224199</v>
      </c>
      <c r="DH150" s="21">
        <f>EXP(-LN(2)/2)*DH149+(1-EXP(-LN(2)/2))/(LN(2)/2)*DB150*DE150*VLOOKUP('Données projet'!$B$13,Paramètres!$A$1:$I$89,3,0)*0.475*44/12</f>
        <v>8.1019893905893715E-11</v>
      </c>
      <c r="DI150" s="22">
        <f t="shared" si="123"/>
        <v>41.403002022649517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3.4106051316484809E-13</v>
      </c>
      <c r="DP150" s="17">
        <f>DO150*VLOOKUP('Données projet'!$B$14,Paramètres!$A$1:$I$89,3,0)*VLOOKUP('Données projet'!$B$14,Paramètres!$A$1:$I$89,5,0)</f>
        <v>1.5961632016114892E-13</v>
      </c>
      <c r="DQ150" s="13">
        <f t="shared" si="151"/>
        <v>2.2708641912150958E-12</v>
      </c>
      <c r="DR150" s="20">
        <f t="shared" si="124"/>
        <v>4.2330868906469593E-12</v>
      </c>
      <c r="DS150" s="59">
        <f t="shared" si="125"/>
        <v>293.33333333333752</v>
      </c>
      <c r="DT150" s="59">
        <f ca="1">AVERAGE(OFFSET($DS$3,0,0,'Données projet'!$E$14+1,1))-AVERAGE(OFFSET($H$3,0,0,'Données projet'!$E$14+1,1))</f>
        <v>207.25176714718668</v>
      </c>
      <c r="DU150" s="59">
        <f t="shared" si="152"/>
        <v>191.53228014642559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76.269349685636769</v>
      </c>
      <c r="EB150" s="21">
        <f>EXP(-LN(2)/25)*EB149+(1-EXP(-LN(2)/25))/(LN(2)/25)*Calculateur!DW150*Calculateur!DY150*VLOOKUP('Données projet'!$B$14,Paramètres!$A$1:$I$89,3,0)*0.475*44/12</f>
        <v>13.707039106781187</v>
      </c>
      <c r="EC150" s="21">
        <f>EXP(-LN(2)/2)*EC149+(1-EXP(-LN(2)/2))/(LN(2)/2)*DW150*DZ150*VLOOKUP('Données projet'!$B$14,Paramètres!$A$1:$I$89,3,0)*0.475*44/12</f>
        <v>1.057941496093397E-5</v>
      </c>
      <c r="ED150" s="22">
        <f t="shared" si="126"/>
        <v>89.976399371832912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-2.8421709430404007E-13</v>
      </c>
      <c r="EK150" s="17">
        <f>EJ150*VLOOKUP('Données projet'!$B$15,Paramètres!$A$1:$I$89,3,0)*VLOOKUP('Données projet'!$B$15,Paramètres!$A$1:$I$89,5,0)</f>
        <v>-1.69961822393816E-13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200.15574321350221</v>
      </c>
      <c r="EP150" s="59">
        <f t="shared" si="154"/>
        <v>200.70728852570426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23.160032439523775</v>
      </c>
      <c r="EW150" s="21">
        <f>EXP(-LN(2)/25)*EW149+(1-EXP(-LN(2)/25))/(LN(2)/25)*Calculateur!ER150*Calculateur!ET150*VLOOKUP('Données projet'!$B$15,Paramètres!$A$1:$I$89,3,0)*0.475*44/12</f>
        <v>3.2387835741928517</v>
      </c>
      <c r="EX150" s="21">
        <f>EXP(-LN(2)/2)*EX149+(1-EXP(-LN(2)/2))/(LN(2)/2)*ER150*EU150*VLOOKUP('Données projet'!$B$15,Paramètres!$A$1:$I$89,3,0)*0.475*44/12</f>
        <v>2.5694529214549585E-12</v>
      </c>
      <c r="EY150" s="22">
        <f t="shared" si="129"/>
        <v>26.398816013719195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5.6843418860808015E-13</v>
      </c>
      <c r="FF150" s="17">
        <f>FE150*VLOOKUP('Données projet'!$B$16,Paramètres!$A$1:$I$89,3,0)*VLOOKUP('Données projet'!$B$16,Paramètres!$A$1:$I$89,5,0)</f>
        <v>6.1186256061773743E-13</v>
      </c>
      <c r="FG150" s="13">
        <f t="shared" si="155"/>
        <v>7.4445668332430206E-12</v>
      </c>
      <c r="FH150" s="20">
        <f t="shared" si="130"/>
        <v>1.4031614527640822E-11</v>
      </c>
      <c r="FI150" s="59">
        <f t="shared" si="131"/>
        <v>293.33333333334735</v>
      </c>
      <c r="FJ150" s="59">
        <f ca="1">AVERAGE(OFFSET($FI$3,0,0,'Données projet'!$E$16+1,1))-AVERAGE(OFFSET($H$3,0,0,'Données projet'!$E$16+1,1))</f>
        <v>347.17049316703486</v>
      </c>
      <c r="FK150" s="59">
        <f t="shared" si="156"/>
        <v>255.45365487683489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148.17245643527127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148.17245643527127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7">
        <f t="shared" si="110"/>
        <v>447.91421036726967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266.02599413192075</v>
      </c>
      <c r="T151" s="59">
        <f t="shared" si="142"/>
        <v>332.94146254783254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5.1431925385259092E-13</v>
      </c>
      <c r="AK151" s="13">
        <f t="shared" si="143"/>
        <v>6.3855359115685756E-12</v>
      </c>
      <c r="AL151" s="20">
        <f t="shared" si="112"/>
        <v>1.2017247746441865E-11</v>
      </c>
      <c r="AM151" s="59">
        <f t="shared" si="113"/>
        <v>293.33333333334531</v>
      </c>
      <c r="AN151" s="59">
        <f ca="1">AVERAGE(OFFSET($AM$3,0,0,'Données projet'!$E$10+1,1))-AVERAGE(OFFSET($H$3,0,0,'Données projet'!$E$10+1,1))</f>
        <v>282.13645166362238</v>
      </c>
      <c r="AO151" s="59">
        <f t="shared" si="144"/>
        <v>210.5345332979457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122.10839603723633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122.10839603723633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254.6443970237226</v>
      </c>
      <c r="BJ151" s="59">
        <f t="shared" si="146"/>
        <v>231.81667808018062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44.90937339232012</v>
      </c>
      <c r="BQ151" s="21">
        <f>EXP(-LN(2)/25)*BQ150+(1-EXP(-LN(2)/25))/(LN(2)/25)*Calculateur!BL151*Calculateur!BN151*VLOOKUP('Données projet'!$B$11,Paramètres!$A$1:$I$89,3,0)*0.475*44/12</f>
        <v>6.3757406006968953</v>
      </c>
      <c r="BR151" s="21">
        <f>EXP(-LN(2)/2)*BR150+(1-EXP(-LN(2)/2))/(LN(2)/2)*BL151*BO151*VLOOKUP('Données projet'!$B$11,Paramètres!$A$1:$I$89,3,0)*0.475*44/12</f>
        <v>7.2454641319131931E-11</v>
      </c>
      <c r="BS151" s="22">
        <f t="shared" si="117"/>
        <v>51.285113993089467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5.1063034188034209</v>
      </c>
      <c r="BY151" s="12">
        <f>IF('Données projet'!$A$114&gt;35,BY150+BX151-CG150,IF(A151&lt;'Données projet'!$A$114,$BV$205^A151,IF(A151='Données projet'!$A$114,'Données projet'!$B$114,BY150+BX151-CG150)))</f>
        <v>298.07959401709354</v>
      </c>
      <c r="BZ151" s="13">
        <f>BY151*VLOOKUP('Données projet'!$B$12,Paramètres!$A$1:$I$89,3,0)*VLOOKUP('Données projet'!$B$12,Paramètres!$A$1:$I$89,5,0)</f>
        <v>302.25270833333286</v>
      </c>
      <c r="CA151" s="13">
        <f t="shared" si="147"/>
        <v>71.648511857189575</v>
      </c>
      <c r="CB151" s="20">
        <f t="shared" si="118"/>
        <v>651.21129183182666</v>
      </c>
      <c r="CC151" s="59">
        <f t="shared" si="119"/>
        <v>944.54462516515991</v>
      </c>
      <c r="CD151" s="59">
        <f ca="1">AVERAGE(OFFSET($CC$3,0,0,'Données projet'!$E$12+1,1))-AVERAGE(OFFSET($H$3,0,0,'Données projet'!$E$12+1,1))</f>
        <v>264.08050363622294</v>
      </c>
      <c r="CE151" s="59">
        <f t="shared" si="148"/>
        <v>164.48884512322883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44.192250744714634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44.192250744714634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194.7221767407824</v>
      </c>
      <c r="CZ151" s="59">
        <f t="shared" si="150"/>
        <v>177.6550559568646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35.509737100904317</v>
      </c>
      <c r="DG151" s="21">
        <f>EXP(-LN(2)/25)*DG150+(1-EXP(-LN(2)/25))/(LN(2)/25)*Calculateur!DB151*Calculateur!DD151*VLOOKUP('Données projet'!$B$13,Paramètres!$A$1:$I$89,3,0)*0.475*44/12</f>
        <v>5.0412832656673201</v>
      </c>
      <c r="DH151" s="21">
        <f>EXP(-LN(2)/2)*DH150+(1-EXP(-LN(2)/2))/(LN(2)/2)*DB151*DE151*VLOOKUP('Données projet'!$B$13,Paramètres!$A$1:$I$89,3,0)*0.475*44/12</f>
        <v>5.7289716391872086E-11</v>
      </c>
      <c r="DI151" s="22">
        <f t="shared" si="123"/>
        <v>40.551020366628926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3.4106051316484809E-13</v>
      </c>
      <c r="DP151" s="17">
        <f>DO151*VLOOKUP('Données projet'!$B$14,Paramètres!$A$1:$I$89,3,0)*VLOOKUP('Données projet'!$B$14,Paramètres!$A$1:$I$89,5,0)</f>
        <v>1.5961632016114892E-13</v>
      </c>
      <c r="DQ151" s="13">
        <f t="shared" si="151"/>
        <v>2.2708641912150958E-12</v>
      </c>
      <c r="DR151" s="20">
        <f t="shared" si="124"/>
        <v>4.2330868906469593E-12</v>
      </c>
      <c r="DS151" s="59">
        <f t="shared" si="125"/>
        <v>293.33333333333752</v>
      </c>
      <c r="DT151" s="59">
        <f ca="1">AVERAGE(OFFSET($DS$3,0,0,'Données projet'!$E$14+1,1))-AVERAGE(OFFSET($H$3,0,0,'Données projet'!$E$14+1,1))</f>
        <v>207.25176714718668</v>
      </c>
      <c r="DU151" s="59">
        <f t="shared" si="152"/>
        <v>191.53228014642559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74.773754258011294</v>
      </c>
      <c r="EB151" s="21">
        <f>EXP(-LN(2)/25)*EB150+(1-EXP(-LN(2)/25))/(LN(2)/25)*Calculateur!DW151*Calculateur!DY151*VLOOKUP('Données projet'!$B$14,Paramètres!$A$1:$I$89,3,0)*0.475*44/12</f>
        <v>13.332219401584396</v>
      </c>
      <c r="EC151" s="21">
        <f>EXP(-LN(2)/2)*EC150+(1-EXP(-LN(2)/2))/(LN(2)/2)*DW151*DZ151*VLOOKUP('Données projet'!$B$14,Paramètres!$A$1:$I$89,3,0)*0.475*44/12</f>
        <v>7.4807760598628243E-6</v>
      </c>
      <c r="ED151" s="22">
        <f t="shared" si="126"/>
        <v>88.105981140371753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-2.8421709430404007E-13</v>
      </c>
      <c r="EK151" s="17">
        <f>EJ151*VLOOKUP('Données projet'!$B$15,Paramètres!$A$1:$I$89,3,0)*VLOOKUP('Données projet'!$B$15,Paramètres!$A$1:$I$89,5,0)</f>
        <v>-1.69961822393816E-13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200.15574321350221</v>
      </c>
      <c r="EP151" s="59">
        <f t="shared" si="154"/>
        <v>200.70728852570426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22.705878329609654</v>
      </c>
      <c r="EW151" s="21">
        <f>EXP(-LN(2)/25)*EW150+(1-EXP(-LN(2)/25))/(LN(2)/25)*Calculateur!ER151*Calculateur!ET151*VLOOKUP('Données projet'!$B$15,Paramètres!$A$1:$I$89,3,0)*0.475*44/12</f>
        <v>3.1502188670363225</v>
      </c>
      <c r="EX151" s="21">
        <f>EXP(-LN(2)/2)*EX150+(1-EXP(-LN(2)/2))/(LN(2)/2)*ER151*EU151*VLOOKUP('Données projet'!$B$15,Paramètres!$A$1:$I$89,3,0)*0.475*44/12</f>
        <v>1.8168775847003869E-12</v>
      </c>
      <c r="EY151" s="22">
        <f t="shared" si="129"/>
        <v>25.856097196647791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5.6843418860808015E-13</v>
      </c>
      <c r="FF151" s="17">
        <f>FE151*VLOOKUP('Données projet'!$B$16,Paramètres!$A$1:$I$89,3,0)*VLOOKUP('Données projet'!$B$16,Paramètres!$A$1:$I$89,5,0)</f>
        <v>6.1186256061773743E-13</v>
      </c>
      <c r="FG151" s="13">
        <f t="shared" si="155"/>
        <v>7.4445668332430206E-12</v>
      </c>
      <c r="FH151" s="20">
        <f t="shared" si="130"/>
        <v>1.4031614527640822E-11</v>
      </c>
      <c r="FI151" s="59">
        <f t="shared" si="131"/>
        <v>293.33333333334735</v>
      </c>
      <c r="FJ151" s="59">
        <f ca="1">AVERAGE(OFFSET($FI$3,0,0,'Données projet'!$E$16+1,1))-AVERAGE(OFFSET($H$3,0,0,'Données projet'!$E$16+1,1))</f>
        <v>347.17049316703486</v>
      </c>
      <c r="FK151" s="59">
        <f t="shared" si="156"/>
        <v>255.45365487683489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145.2668849408501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145.2668849408501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7">
        <f t="shared" si="110"/>
        <v>448.93189812392848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266.02599413192075</v>
      </c>
      <c r="T152" s="59">
        <f t="shared" si="142"/>
        <v>332.94146254783254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5.1431925385259092E-13</v>
      </c>
      <c r="AK152" s="13">
        <f t="shared" si="143"/>
        <v>6.3855359115685756E-12</v>
      </c>
      <c r="AL152" s="20">
        <f t="shared" si="112"/>
        <v>1.2017247746441865E-11</v>
      </c>
      <c r="AM152" s="59">
        <f t="shared" si="113"/>
        <v>293.33333333334531</v>
      </c>
      <c r="AN152" s="59">
        <f ca="1">AVERAGE(OFFSET($AM$3,0,0,'Données projet'!$E$10+1,1))-AVERAGE(OFFSET($H$3,0,0,'Données projet'!$E$10+1,1))</f>
        <v>282.13645166362238</v>
      </c>
      <c r="AO152" s="59">
        <f t="shared" si="144"/>
        <v>210.5345332979457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119.71392486971354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119.71392486971354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254.6443970237226</v>
      </c>
      <c r="BJ152" s="59">
        <f t="shared" si="146"/>
        <v>231.81667808018062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44.028727972109756</v>
      </c>
      <c r="BQ152" s="21">
        <f>EXP(-LN(2)/25)*BQ151+(1-EXP(-LN(2)/25))/(LN(2)/25)*Calculateur!BL152*Calculateur!BN152*VLOOKUP('Données projet'!$B$11,Paramètres!$A$1:$I$89,3,0)*0.475*44/12</f>
        <v>6.201395638685212</v>
      </c>
      <c r="BR152" s="21">
        <f>EXP(-LN(2)/2)*BR151+(1-EXP(-LN(2)/2))/(LN(2)/2)*BL152*BO152*VLOOKUP('Données projet'!$B$11,Paramètres!$A$1:$I$89,3,0)*0.475*44/12</f>
        <v>5.1233168205197209E-11</v>
      </c>
      <c r="BS152" s="22">
        <f t="shared" si="117"/>
        <v>50.230123610846199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>
        <f>VLOOKUP(A152,'Données projet'!$A$113:$I$133,2,0)</f>
        <v>303.18589743589746</v>
      </c>
      <c r="BW152" s="12">
        <f>VLOOKUP(A152,'Données projet'!$A$113:$I$133,9,0)</f>
        <v>5.1063034188034209</v>
      </c>
      <c r="BX152" s="12">
        <f t="array" ref="BX152">INDEX(BW:BW,MIN(IF(ISNUMBER(BW152:BW348),ROW(BW152:BW348),"")))</f>
        <v>5.1063034188034209</v>
      </c>
      <c r="BY152" s="12">
        <f>IF('Données projet'!$A$114&gt;35,BY151+BX152-CG151,IF(A152&lt;'Données projet'!$A$114,$BV$205^A152,IF(A152='Données projet'!$A$114,'Données projet'!$B$114,BY151+BX152-CG151)))</f>
        <v>303.18589743589695</v>
      </c>
      <c r="BZ152" s="13">
        <f>BY152*VLOOKUP('Données projet'!$B$12,Paramètres!$A$1:$I$89,3,0)*VLOOKUP('Données projet'!$B$12,Paramètres!$A$1:$I$89,5,0)</f>
        <v>307.43049999999948</v>
      </c>
      <c r="CA152" s="13">
        <f t="shared" si="147"/>
        <v>72.731956636788439</v>
      </c>
      <c r="CB152" s="20">
        <f t="shared" si="118"/>
        <v>662.11627864240563</v>
      </c>
      <c r="CC152" s="59">
        <f t="shared" si="119"/>
        <v>955.44961197573889</v>
      </c>
      <c r="CD152" s="59">
        <f ca="1">AVERAGE(OFFSET($CC$3,0,0,'Données projet'!$E$12+1,1))-AVERAGE(OFFSET($H$3,0,0,'Données projet'!$E$12+1,1))</f>
        <v>264.08050363622294</v>
      </c>
      <c r="CE152" s="59">
        <f t="shared" si="148"/>
        <v>164.48884512322883</v>
      </c>
      <c r="CF152" s="15">
        <f>IF(ISNA(VLOOKUP(A152,'Données projet'!$A$113:$I$133,3,0)),0,VLOOKUP(A152,'Données projet'!$A$113:$I$133,3,0))</f>
        <v>12</v>
      </c>
      <c r="CG152" s="15">
        <f>IF(ISNA(VLOOKUP(A152,'Données projet'!$A$113:$I$133,4,0)),0,VLOOKUP(A152,'Données projet'!$A$113:$I$133,4,0))</f>
        <v>120.50641025641026</v>
      </c>
      <c r="CH152" s="16">
        <f>IF(ISNA(VLOOKUP(A152,'Données projet'!$A$113:$I$133,5,0)),0%,VLOOKUP(A152,'Données projet'!$A$113:$I$133,5,0)*VLOOKUP('Données projet'!$B$12,Paramètres!$A$1:$I$89,7,0))</f>
        <v>0.38700000000000001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95.602128758127037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95.602128758127037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194.7221767407824</v>
      </c>
      <c r="CZ152" s="59">
        <f t="shared" si="150"/>
        <v>177.6550559568646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34.813412815156589</v>
      </c>
      <c r="DG152" s="21">
        <f>EXP(-LN(2)/25)*DG151+(1-EXP(-LN(2)/25))/(LN(2)/25)*Calculateur!DB152*Calculateur!DD152*VLOOKUP('Données projet'!$B$13,Paramètres!$A$1:$I$89,3,0)*0.475*44/12</f>
        <v>4.9034291096580827</v>
      </c>
      <c r="DH152" s="21">
        <f>EXP(-LN(2)/2)*DH151+(1-EXP(-LN(2)/2))/(LN(2)/2)*DB152*DE152*VLOOKUP('Données projet'!$B$13,Paramètres!$A$1:$I$89,3,0)*0.475*44/12</f>
        <v>4.0509946952946864E-11</v>
      </c>
      <c r="DI152" s="22">
        <f t="shared" si="123"/>
        <v>39.716841924855181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3.4106051316484809E-13</v>
      </c>
      <c r="DP152" s="17">
        <f>DO152*VLOOKUP('Données projet'!$B$14,Paramètres!$A$1:$I$89,3,0)*VLOOKUP('Données projet'!$B$14,Paramètres!$A$1:$I$89,5,0)</f>
        <v>1.5961632016114892E-13</v>
      </c>
      <c r="DQ152" s="13">
        <f t="shared" si="151"/>
        <v>2.2708641912150958E-12</v>
      </c>
      <c r="DR152" s="20">
        <f t="shared" si="124"/>
        <v>4.2330868906469593E-12</v>
      </c>
      <c r="DS152" s="59">
        <f t="shared" si="125"/>
        <v>293.33333333333752</v>
      </c>
      <c r="DT152" s="59">
        <f ca="1">AVERAGE(OFFSET($DS$3,0,0,'Données projet'!$E$14+1,1))-AVERAGE(OFFSET($H$3,0,0,'Données projet'!$E$14+1,1))</f>
        <v>207.25176714718668</v>
      </c>
      <c r="DU152" s="59">
        <f t="shared" si="152"/>
        <v>191.53228014642559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73.307486544498431</v>
      </c>
      <c r="EB152" s="21">
        <f>EXP(-LN(2)/25)*EB151+(1-EXP(-LN(2)/25))/(LN(2)/25)*Calculateur!DW152*Calculateur!DY152*VLOOKUP('Données projet'!$B$14,Paramètres!$A$1:$I$89,3,0)*0.475*44/12</f>
        <v>12.967649160937123</v>
      </c>
      <c r="EC152" s="21">
        <f>EXP(-LN(2)/2)*EC151+(1-EXP(-LN(2)/2))/(LN(2)/2)*DW152*DZ152*VLOOKUP('Données projet'!$B$14,Paramètres!$A$1:$I$89,3,0)*0.475*44/12</f>
        <v>5.2897074804669857E-6</v>
      </c>
      <c r="ED152" s="22">
        <f t="shared" si="126"/>
        <v>86.275140995143033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-2.8421709430404007E-13</v>
      </c>
      <c r="EK152" s="17">
        <f>EJ152*VLOOKUP('Données projet'!$B$15,Paramètres!$A$1:$I$89,3,0)*VLOOKUP('Données projet'!$B$15,Paramètres!$A$1:$I$89,5,0)</f>
        <v>-1.69961822393816E-13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200.15574321350221</v>
      </c>
      <c r="EP152" s="59">
        <f t="shared" si="154"/>
        <v>200.70728852570426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22.260629904784292</v>
      </c>
      <c r="EW152" s="21">
        <f>EXP(-LN(2)/25)*EW151+(1-EXP(-LN(2)/25))/(LN(2)/25)*Calculateur!ER152*Calculateur!ET152*VLOOKUP('Données projet'!$B$15,Paramètres!$A$1:$I$89,3,0)*0.475*44/12</f>
        <v>3.0640759664544039</v>
      </c>
      <c r="EX152" s="21">
        <f>EXP(-LN(2)/2)*EX151+(1-EXP(-LN(2)/2))/(LN(2)/2)*ER152*EU152*VLOOKUP('Données projet'!$B$15,Paramètres!$A$1:$I$89,3,0)*0.475*44/12</f>
        <v>1.2847264607274795E-12</v>
      </c>
      <c r="EY152" s="22">
        <f t="shared" si="129"/>
        <v>25.324705871239981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5.6843418860808015E-13</v>
      </c>
      <c r="FF152" s="17">
        <f>FE152*VLOOKUP('Données projet'!$B$16,Paramètres!$A$1:$I$89,3,0)*VLOOKUP('Données projet'!$B$16,Paramètres!$A$1:$I$89,5,0)</f>
        <v>6.1186256061773743E-13</v>
      </c>
      <c r="FG152" s="13">
        <f t="shared" si="155"/>
        <v>7.4445668332430206E-12</v>
      </c>
      <c r="FH152" s="20">
        <f t="shared" si="130"/>
        <v>1.4031614527640822E-11</v>
      </c>
      <c r="FI152" s="59">
        <f t="shared" si="131"/>
        <v>293.33333333334735</v>
      </c>
      <c r="FJ152" s="59">
        <f ca="1">AVERAGE(OFFSET($FI$3,0,0,'Données projet'!$E$16+1,1))-AVERAGE(OFFSET($H$3,0,0,'Données projet'!$E$16+1,1))</f>
        <v>347.17049316703486</v>
      </c>
      <c r="FK152" s="59">
        <f t="shared" si="156"/>
        <v>255.45365487683489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142.41828993121092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142.41828993121092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7">
        <f t="shared" si="110"/>
        <v>449.94942767794601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266.02599413192075</v>
      </c>
      <c r="T153" s="59">
        <f t="shared" si="142"/>
        <v>332.94146254783254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5.1431925385259092E-13</v>
      </c>
      <c r="AK153" s="13">
        <f t="shared" si="143"/>
        <v>6.3855359115685756E-12</v>
      </c>
      <c r="AL153" s="20">
        <f t="shared" si="112"/>
        <v>1.2017247746441865E-11</v>
      </c>
      <c r="AM153" s="59">
        <f t="shared" si="113"/>
        <v>293.33333333334531</v>
      </c>
      <c r="AN153" s="59">
        <f ca="1">AVERAGE(OFFSET($AM$3,0,0,'Données projet'!$E$10+1,1))-AVERAGE(OFFSET($H$3,0,0,'Données projet'!$E$10+1,1))</f>
        <v>282.13645166362238</v>
      </c>
      <c r="AO153" s="59">
        <f t="shared" si="144"/>
        <v>210.5345332979457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117.36640782130267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117.36640782130267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254.6443970237226</v>
      </c>
      <c r="BJ153" s="59">
        <f t="shared" si="146"/>
        <v>231.81667808018062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43.16535147144905</v>
      </c>
      <c r="BQ153" s="21">
        <f>EXP(-LN(2)/25)*BQ152+(1-EXP(-LN(2)/25))/(LN(2)/25)*Calculateur!BL153*Calculateur!BN153*VLOOKUP('Données projet'!$B$11,Paramètres!$A$1:$I$89,3,0)*0.475*44/12</f>
        <v>6.0318181488281422</v>
      </c>
      <c r="BR153" s="21">
        <f>EXP(-LN(2)/2)*BR152+(1-EXP(-LN(2)/2))/(LN(2)/2)*BL153*BO153*VLOOKUP('Données projet'!$B$11,Paramètres!$A$1:$I$89,3,0)*0.475*44/12</f>
        <v>3.6227320659565966E-11</v>
      </c>
      <c r="BS153" s="22">
        <f t="shared" si="117"/>
        <v>49.197169620313424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3.0945512820512704</v>
      </c>
      <c r="BY153" s="12">
        <f>IF('Données projet'!$A$114&gt;35,BY152+BX153-CG152,IF(A153&lt;'Données projet'!$A$114,$BV$205^A153,IF(A153='Données projet'!$A$114,'Données projet'!$B$114,BY152+BX153-CG152)))</f>
        <v>185.77403846153794</v>
      </c>
      <c r="BZ153" s="13">
        <f>BY153*VLOOKUP('Données projet'!$B$12,Paramètres!$A$1:$I$89,3,0)*VLOOKUP('Données projet'!$B$12,Paramètres!$A$1:$I$89,5,0)</f>
        <v>188.37487499999949</v>
      </c>
      <c r="CA153" s="13">
        <f t="shared" si="147"/>
        <v>47.180481359608336</v>
      </c>
      <c r="CB153" s="20">
        <f t="shared" si="118"/>
        <v>410.25891232631693</v>
      </c>
      <c r="CC153" s="59">
        <f t="shared" si="119"/>
        <v>703.59224565965019</v>
      </c>
      <c r="CD153" s="59">
        <f ca="1">AVERAGE(OFFSET($CC$3,0,0,'Données projet'!$E$12+1,1))-AVERAGE(OFFSET($H$3,0,0,'Données projet'!$E$12+1,1))</f>
        <v>264.08050363622294</v>
      </c>
      <c r="CE153" s="59">
        <f t="shared" si="148"/>
        <v>164.48884512322883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93.727429324720916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93.727429324720916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194.7221767407824</v>
      </c>
      <c r="CZ153" s="59">
        <f t="shared" si="150"/>
        <v>177.6550559568646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34.130743023936496</v>
      </c>
      <c r="DG153" s="21">
        <f>EXP(-LN(2)/25)*DG152+(1-EXP(-LN(2)/25))/(LN(2)/25)*Calculateur!DB153*Calculateur!DD153*VLOOKUP('Données projet'!$B$13,Paramètres!$A$1:$I$89,3,0)*0.475*44/12</f>
        <v>4.7693445827943526</v>
      </c>
      <c r="DH153" s="21">
        <f>EXP(-LN(2)/2)*DH152+(1-EXP(-LN(2)/2))/(LN(2)/2)*DB153*DE153*VLOOKUP('Données projet'!$B$13,Paramètres!$A$1:$I$89,3,0)*0.475*44/12</f>
        <v>2.8644858195936049E-11</v>
      </c>
      <c r="DI153" s="22">
        <f t="shared" si="123"/>
        <v>38.900087606759492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3.4106051316484809E-13</v>
      </c>
      <c r="DP153" s="17">
        <f>DO153*VLOOKUP('Données projet'!$B$14,Paramètres!$A$1:$I$89,3,0)*VLOOKUP('Données projet'!$B$14,Paramètres!$A$1:$I$89,5,0)</f>
        <v>1.5961632016114892E-13</v>
      </c>
      <c r="DQ153" s="13">
        <f t="shared" si="151"/>
        <v>2.2708641912150958E-12</v>
      </c>
      <c r="DR153" s="20">
        <f t="shared" si="124"/>
        <v>4.2330868906469593E-12</v>
      </c>
      <c r="DS153" s="59">
        <f t="shared" si="125"/>
        <v>293.33333333333752</v>
      </c>
      <c r="DT153" s="59">
        <f ca="1">AVERAGE(OFFSET($DS$3,0,0,'Données projet'!$E$14+1,1))-AVERAGE(OFFSET($H$3,0,0,'Données projet'!$E$14+1,1))</f>
        <v>207.25176714718668</v>
      </c>
      <c r="DU153" s="59">
        <f t="shared" si="152"/>
        <v>191.53228014642559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71.869971446512551</v>
      </c>
      <c r="EB153" s="21">
        <f>EXP(-LN(2)/25)*EB152+(1-EXP(-LN(2)/25))/(LN(2)/25)*Calculateur!DW153*Calculateur!DY153*VLOOKUP('Données projet'!$B$14,Paramètres!$A$1:$I$89,3,0)*0.475*44/12</f>
        <v>12.613048112692265</v>
      </c>
      <c r="EC153" s="21">
        <f>EXP(-LN(2)/2)*EC152+(1-EXP(-LN(2)/2))/(LN(2)/2)*DW153*DZ153*VLOOKUP('Données projet'!$B$14,Paramètres!$A$1:$I$89,3,0)*0.475*44/12</f>
        <v>3.7403880299314126E-6</v>
      </c>
      <c r="ED153" s="22">
        <f t="shared" si="126"/>
        <v>84.483023299592844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-2.8421709430404007E-13</v>
      </c>
      <c r="EK153" s="17">
        <f>EJ153*VLOOKUP('Données projet'!$B$15,Paramètres!$A$1:$I$89,3,0)*VLOOKUP('Données projet'!$B$15,Paramètres!$A$1:$I$89,5,0)</f>
        <v>-1.69961822393816E-13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200.15574321350221</v>
      </c>
      <c r="EP153" s="59">
        <f t="shared" si="154"/>
        <v>200.70728852570426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21.824112529995034</v>
      </c>
      <c r="EW153" s="21">
        <f>EXP(-LN(2)/25)*EW152+(1-EXP(-LN(2)/25))/(LN(2)/25)*Calculateur!ER153*Calculateur!ET153*VLOOKUP('Données projet'!$B$15,Paramètres!$A$1:$I$89,3,0)*0.475*44/12</f>
        <v>2.9802886480189561</v>
      </c>
      <c r="EX153" s="21">
        <f>EXP(-LN(2)/2)*EX152+(1-EXP(-LN(2)/2))/(LN(2)/2)*ER153*EU153*VLOOKUP('Données projet'!$B$15,Paramètres!$A$1:$I$89,3,0)*0.475*44/12</f>
        <v>9.0843879235019354E-13</v>
      </c>
      <c r="EY153" s="22">
        <f t="shared" si="129"/>
        <v>24.804401178014899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5.6843418860808015E-13</v>
      </c>
      <c r="FF153" s="17">
        <f>FE153*VLOOKUP('Données projet'!$B$16,Paramètres!$A$1:$I$89,3,0)*VLOOKUP('Données projet'!$B$16,Paramètres!$A$1:$I$89,5,0)</f>
        <v>6.1186256061773743E-13</v>
      </c>
      <c r="FG153" s="13">
        <f t="shared" si="155"/>
        <v>7.4445668332430206E-12</v>
      </c>
      <c r="FH153" s="20">
        <f t="shared" si="130"/>
        <v>1.4031614527640822E-11</v>
      </c>
      <c r="FI153" s="59">
        <f t="shared" si="131"/>
        <v>293.33333333334735</v>
      </c>
      <c r="FJ153" s="59">
        <f ca="1">AVERAGE(OFFSET($FI$3,0,0,'Données projet'!$E$16+1,1))-AVERAGE(OFFSET($H$3,0,0,'Données projet'!$E$16+1,1))</f>
        <v>347.17049316703486</v>
      </c>
      <c r="FK153" s="59">
        <f t="shared" si="156"/>
        <v>255.45365487683489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139.62555413223936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139.62555413223936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7">
        <f t="shared" si="110"/>
        <v>450.96680020633255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266.02599413192075</v>
      </c>
      <c r="T154" s="59">
        <f t="shared" si="142"/>
        <v>332.94146254783254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5.1431925385259092E-13</v>
      </c>
      <c r="AK154" s="13">
        <f t="shared" ref="AK154:AK203" si="164">EXP(-1.0587+0.8836*LN(AJ154)+0.284)</f>
        <v>6.3855359115685756E-12</v>
      </c>
      <c r="AL154" s="20">
        <f t="shared" ref="AL154:AL203" si="165">(AJ154+AK154)*0.475*44/12</f>
        <v>1.2017247746441865E-11</v>
      </c>
      <c r="AM154" s="59">
        <f t="shared" si="113"/>
        <v>293.33333333334531</v>
      </c>
      <c r="AN154" s="59">
        <f ca="1">AVERAGE(OFFSET($AM$3,0,0,'Données projet'!$E$10+1,1))-AVERAGE(OFFSET($H$3,0,0,'Données projet'!$E$10+1,1))</f>
        <v>282.13645166362238</v>
      </c>
      <c r="AO154" s="59">
        <f t="shared" si="144"/>
        <v>210.5345332979457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115.06492415036712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115.06492415036712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254.6443970237226</v>
      </c>
      <c r="BJ154" s="59">
        <f t="shared" si="146"/>
        <v>231.81667808018062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42.31890525735863</v>
      </c>
      <c r="BQ154" s="21">
        <f>EXP(-LN(2)/25)*BQ153+(1-EXP(-LN(2)/25))/(LN(2)/25)*Calculateur!BL154*Calculateur!BN154*VLOOKUP('Données projet'!$B$11,Paramètres!$A$1:$I$89,3,0)*0.475*44/12</f>
        <v>5.8668777643489065</v>
      </c>
      <c r="BR154" s="21">
        <f>EXP(-LN(2)/2)*BR153+(1-EXP(-LN(2)/2))/(LN(2)/2)*BL154*BO154*VLOOKUP('Données projet'!$B$11,Paramètres!$A$1:$I$89,3,0)*0.475*44/12</f>
        <v>2.5616584102598604E-11</v>
      </c>
      <c r="BS154" s="22">
        <f t="shared" ref="BS154:BS203" si="169">SUM(BP154:BR154)</f>
        <v>48.185783021733151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3.0945512820512704</v>
      </c>
      <c r="BY154" s="12">
        <f>IF('Données projet'!$A$114&gt;35,BY153+BX154-CG153,IF(A154&lt;'Données projet'!$A$114,$BV$205^A154,IF(A154='Données projet'!$A$114,'Données projet'!$B$114,BY153+BX154-CG153)))</f>
        <v>188.86858974358921</v>
      </c>
      <c r="BZ154" s="13">
        <f>BY154*VLOOKUP('Données projet'!$B$12,Paramètres!$A$1:$I$89,3,0)*VLOOKUP('Données projet'!$B$12,Paramètres!$A$1:$I$89,5,0)</f>
        <v>191.51274999999947</v>
      </c>
      <c r="CA154" s="13">
        <f t="shared" ref="CA154:CA203" si="170">EXP(-1.0587+0.8836*LN(BZ154)+0.284)</f>
        <v>47.874245879088207</v>
      </c>
      <c r="CB154" s="20">
        <f t="shared" ref="CB154:CB203" si="171">(BZ154+CA154)*0.475*44/12</f>
        <v>416.93235115607769</v>
      </c>
      <c r="CC154" s="59">
        <f t="shared" si="119"/>
        <v>710.265684489411</v>
      </c>
      <c r="CD154" s="59">
        <f ca="1">AVERAGE(OFFSET($CC$3,0,0,'Données projet'!$E$12+1,1))-AVERAGE(OFFSET($H$3,0,0,'Données projet'!$E$12+1,1))</f>
        <v>264.08050363622294</v>
      </c>
      <c r="CE154" s="59">
        <f t="shared" si="148"/>
        <v>164.48884512322883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91.889491603750145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91.889491603750145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194.7221767407824</v>
      </c>
      <c r="CZ154" s="59">
        <f t="shared" si="150"/>
        <v>177.6550559568646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33.461459970934769</v>
      </c>
      <c r="DG154" s="21">
        <f>EXP(-LN(2)/25)*DG153+(1-EXP(-LN(2)/25))/(LN(2)/25)*Calculateur!DB154*Calculateur!DD154*VLOOKUP('Données projet'!$B$13,Paramètres!$A$1:$I$89,3,0)*0.475*44/12</f>
        <v>4.6389266043689101</v>
      </c>
      <c r="DH154" s="21">
        <f>EXP(-LN(2)/2)*DH153+(1-EXP(-LN(2)/2))/(LN(2)/2)*DB154*DE154*VLOOKUP('Données projet'!$B$13,Paramètres!$A$1:$I$89,3,0)*0.475*44/12</f>
        <v>2.0254973476473435E-11</v>
      </c>
      <c r="DI154" s="22">
        <f t="shared" ref="DI154:DI203" si="175">SUM(DF154:DH154)</f>
        <v>38.100386575323938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3.4106051316484809E-13</v>
      </c>
      <c r="DP154" s="17">
        <f>DO154*VLOOKUP('Données projet'!$B$14,Paramètres!$A$1:$I$89,3,0)*VLOOKUP('Données projet'!$B$14,Paramètres!$A$1:$I$89,5,0)</f>
        <v>1.5961632016114892E-13</v>
      </c>
      <c r="DQ154" s="13">
        <f t="shared" ref="DQ154:DQ203" si="176">EXP(-1.0587+0.8836*LN(DP154)+0.284)</f>
        <v>2.2708641912150958E-12</v>
      </c>
      <c r="DR154" s="20">
        <f t="shared" ref="DR154:DR203" si="177">(DP154+DQ154)*0.475*44/12</f>
        <v>4.2330868906469593E-12</v>
      </c>
      <c r="DS154" s="59">
        <f t="shared" si="125"/>
        <v>293.33333333333752</v>
      </c>
      <c r="DT154" s="59">
        <f ca="1">AVERAGE(OFFSET($DS$3,0,0,'Données projet'!$E$14+1,1))-AVERAGE(OFFSET($H$3,0,0,'Données projet'!$E$14+1,1))</f>
        <v>207.25176714718668</v>
      </c>
      <c r="DU154" s="59">
        <f t="shared" si="152"/>
        <v>191.53228014642559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70.460645142800544</v>
      </c>
      <c r="EB154" s="21">
        <f>EXP(-LN(2)/25)*EB153+(1-EXP(-LN(2)/25))/(LN(2)/25)*Calculateur!DW154*Calculateur!DY154*VLOOKUP('Données projet'!$B$14,Paramètres!$A$1:$I$89,3,0)*0.475*44/12</f>
        <v>12.268143648759322</v>
      </c>
      <c r="EC154" s="21">
        <f>EXP(-LN(2)/2)*EC153+(1-EXP(-LN(2)/2))/(LN(2)/2)*DW154*DZ154*VLOOKUP('Données projet'!$B$14,Paramètres!$A$1:$I$89,3,0)*0.475*44/12</f>
        <v>2.6448537402334933E-6</v>
      </c>
      <c r="ED154" s="22">
        <f t="shared" ref="ED154:ED203" si="178">SUM(EA154:EC154)</f>
        <v>82.728791436413601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-2.8421709430404007E-13</v>
      </c>
      <c r="EK154" s="17">
        <f>EJ154*VLOOKUP('Données projet'!$B$15,Paramètres!$A$1:$I$89,3,0)*VLOOKUP('Données projet'!$B$15,Paramètres!$A$1:$I$89,5,0)</f>
        <v>-1.69961822393816E-13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200.15574321350221</v>
      </c>
      <c r="EP154" s="59">
        <f t="shared" si="154"/>
        <v>200.70728852570426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21.396154994676085</v>
      </c>
      <c r="EW154" s="21">
        <f>EXP(-LN(2)/25)*EW153+(1-EXP(-LN(2)/25))/(LN(2)/25)*Calculateur!ER154*Calculateur!ET154*VLOOKUP('Données projet'!$B$15,Paramètres!$A$1:$I$89,3,0)*0.475*44/12</f>
        <v>2.8987924982123094</v>
      </c>
      <c r="EX154" s="21">
        <f>EXP(-LN(2)/2)*EX153+(1-EXP(-LN(2)/2))/(LN(2)/2)*ER154*EU154*VLOOKUP('Données projet'!$B$15,Paramètres!$A$1:$I$89,3,0)*0.475*44/12</f>
        <v>6.4236323036373984E-13</v>
      </c>
      <c r="EY154" s="22">
        <f t="shared" ref="EY154:EY203" si="181">SUM(EV154:EX154)</f>
        <v>24.294947492889037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5.6843418860808015E-13</v>
      </c>
      <c r="FF154" s="17">
        <f>FE154*VLOOKUP('Données projet'!$B$16,Paramètres!$A$1:$I$89,3,0)*VLOOKUP('Données projet'!$B$16,Paramètres!$A$1:$I$89,5,0)</f>
        <v>6.1186256061773743E-13</v>
      </c>
      <c r="FG154" s="13">
        <f t="shared" ref="FG154:FG203" si="182">EXP(-1.0587+0.8836*LN(FF154)+0.284)</f>
        <v>7.4445668332430206E-12</v>
      </c>
      <c r="FH154" s="20">
        <f t="shared" ref="FH154:FH203" si="183">(FF154+FG154)*0.475*44/12</f>
        <v>1.4031614527640822E-11</v>
      </c>
      <c r="FI154" s="59">
        <f t="shared" si="131"/>
        <v>293.33333333334735</v>
      </c>
      <c r="FJ154" s="59">
        <f ca="1">AVERAGE(OFFSET($FI$3,0,0,'Données projet'!$E$16+1,1))-AVERAGE(OFFSET($H$3,0,0,'Données projet'!$E$16+1,1))</f>
        <v>347.17049316703486</v>
      </c>
      <c r="FK154" s="59">
        <f t="shared" si="156"/>
        <v>255.45365487683489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136.887582178885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136.887582178885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7">
        <f t="shared" si="110"/>
        <v>451.98401686960767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266.02599413192075</v>
      </c>
      <c r="T155" s="59">
        <f t="shared" si="142"/>
        <v>332.94146254783254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5.1431925385259092E-13</v>
      </c>
      <c r="AK155" s="13">
        <f t="shared" si="164"/>
        <v>6.3855359115685756E-12</v>
      </c>
      <c r="AL155" s="20">
        <f t="shared" si="165"/>
        <v>1.2017247746441865E-11</v>
      </c>
      <c r="AM155" s="59">
        <f t="shared" si="113"/>
        <v>293.33333333334531</v>
      </c>
      <c r="AN155" s="59">
        <f ca="1">AVERAGE(OFFSET($AM$3,0,0,'Données projet'!$E$10+1,1))-AVERAGE(OFFSET($H$3,0,0,'Données projet'!$E$10+1,1))</f>
        <v>282.13645166362238</v>
      </c>
      <c r="AO155" s="59">
        <f t="shared" si="144"/>
        <v>210.5345332979457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112.80857117045218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112.80857117045218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254.6443970237226</v>
      </c>
      <c r="BJ155" s="59">
        <f t="shared" si="146"/>
        <v>231.81667808018062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41.489057337245313</v>
      </c>
      <c r="BQ155" s="21">
        <f>EXP(-LN(2)/25)*BQ154+(1-EXP(-LN(2)/25))/(LN(2)/25)*Calculateur!BL155*Calculateur!BN155*VLOOKUP('Données projet'!$B$11,Paramètres!$A$1:$I$89,3,0)*0.475*44/12</f>
        <v>5.7064476833570934</v>
      </c>
      <c r="BR155" s="21">
        <f>EXP(-LN(2)/2)*BR154+(1-EXP(-LN(2)/2))/(LN(2)/2)*BL155*BO155*VLOOKUP('Données projet'!$B$11,Paramètres!$A$1:$I$89,3,0)*0.475*44/12</f>
        <v>1.8113660329782983E-11</v>
      </c>
      <c r="BS155" s="22">
        <f t="shared" si="169"/>
        <v>47.195505020620516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3.0945512820512704</v>
      </c>
      <c r="BY155" s="12">
        <f>IF('Données projet'!$A$114&gt;35,BY154+BX155-CG154,IF(A155&lt;'Données projet'!$A$114,$BV$205^A155,IF(A155='Données projet'!$A$114,'Données projet'!$B$114,BY154+BX155-CG154)))</f>
        <v>191.96314102564048</v>
      </c>
      <c r="BZ155" s="13">
        <f>BY155*VLOOKUP('Données projet'!$B$12,Paramètres!$A$1:$I$89,3,0)*VLOOKUP('Données projet'!$B$12,Paramètres!$A$1:$I$89,5,0)</f>
        <v>194.65062499999945</v>
      </c>
      <c r="CA155" s="13">
        <f t="shared" si="170"/>
        <v>48.566688465444784</v>
      </c>
      <c r="CB155" s="20">
        <f t="shared" si="171"/>
        <v>423.60348761898211</v>
      </c>
      <c r="CC155" s="59">
        <f t="shared" si="119"/>
        <v>716.93682095231543</v>
      </c>
      <c r="CD155" s="59">
        <f ca="1">AVERAGE(OFFSET($CC$3,0,0,'Données projet'!$E$12+1,1))-AVERAGE(OFFSET($H$3,0,0,'Données projet'!$E$12+1,1))</f>
        <v>264.08050363622294</v>
      </c>
      <c r="CE155" s="59">
        <f t="shared" si="148"/>
        <v>164.48884512322883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90.087594720456295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90.087594720456295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194.7221767407824</v>
      </c>
      <c r="CZ155" s="59">
        <f t="shared" si="150"/>
        <v>177.6550559568646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32.805301150380053</v>
      </c>
      <c r="DG155" s="21">
        <f>EXP(-LN(2)/25)*DG154+(1-EXP(-LN(2)/25))/(LN(2)/25)*Calculateur!DB155*Calculateur!DD155*VLOOKUP('Données projet'!$B$13,Paramètres!$A$1:$I$89,3,0)*0.475*44/12</f>
        <v>4.5120749124218946</v>
      </c>
      <c r="DH155" s="21">
        <f>EXP(-LN(2)/2)*DH154+(1-EXP(-LN(2)/2))/(LN(2)/2)*DB155*DE155*VLOOKUP('Données projet'!$B$13,Paramètres!$A$1:$I$89,3,0)*0.475*44/12</f>
        <v>1.4322429097968026E-11</v>
      </c>
      <c r="DI155" s="22">
        <f t="shared" si="175"/>
        <v>37.317376062816273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3.4106051316484809E-13</v>
      </c>
      <c r="DP155" s="17">
        <f>DO155*VLOOKUP('Données projet'!$B$14,Paramètres!$A$1:$I$89,3,0)*VLOOKUP('Données projet'!$B$14,Paramètres!$A$1:$I$89,5,0)</f>
        <v>1.5961632016114892E-13</v>
      </c>
      <c r="DQ155" s="13">
        <f t="shared" si="176"/>
        <v>2.2708641912150958E-12</v>
      </c>
      <c r="DR155" s="20">
        <f t="shared" si="177"/>
        <v>4.2330868906469593E-12</v>
      </c>
      <c r="DS155" s="59">
        <f t="shared" si="125"/>
        <v>293.33333333333752</v>
      </c>
      <c r="DT155" s="59">
        <f ca="1">AVERAGE(OFFSET($DS$3,0,0,'Données projet'!$E$14+1,1))-AVERAGE(OFFSET($H$3,0,0,'Données projet'!$E$14+1,1))</f>
        <v>207.25176714718668</v>
      </c>
      <c r="DU155" s="59">
        <f t="shared" si="152"/>
        <v>191.53228014642559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69.078954868300158</v>
      </c>
      <c r="EB155" s="21">
        <f>EXP(-LN(2)/25)*EB154+(1-EXP(-LN(2)/25))/(LN(2)/25)*Calculateur!DW155*Calculateur!DY155*VLOOKUP('Données projet'!$B$14,Paramètres!$A$1:$I$89,3,0)*0.475*44/12</f>
        <v>11.932670615530363</v>
      </c>
      <c r="EC155" s="21">
        <f>EXP(-LN(2)/2)*EC154+(1-EXP(-LN(2)/2))/(LN(2)/2)*DW155*DZ155*VLOOKUP('Données projet'!$B$14,Paramètres!$A$1:$I$89,3,0)*0.475*44/12</f>
        <v>1.8701940149657067E-6</v>
      </c>
      <c r="ED155" s="22">
        <f t="shared" si="178"/>
        <v>81.01162735402454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-2.8421709430404007E-13</v>
      </c>
      <c r="EK155" s="17">
        <f>EJ155*VLOOKUP('Données projet'!$B$15,Paramètres!$A$1:$I$89,3,0)*VLOOKUP('Données projet'!$B$15,Paramètres!$A$1:$I$89,5,0)</f>
        <v>-1.69961822393816E-13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200.15574321350221</v>
      </c>
      <c r="EP155" s="59">
        <f t="shared" si="154"/>
        <v>200.70728852570426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20.976589445596417</v>
      </c>
      <c r="EW155" s="21">
        <f>EXP(-LN(2)/25)*EW154+(1-EXP(-LN(2)/25))/(LN(2)/25)*Calculateur!ER155*Calculateur!ET155*VLOOKUP('Données projet'!$B$15,Paramètres!$A$1:$I$89,3,0)*0.475*44/12</f>
        <v>2.8195248649078217</v>
      </c>
      <c r="EX155" s="21">
        <f>EXP(-LN(2)/2)*EX154+(1-EXP(-LN(2)/2))/(LN(2)/2)*ER155*EU155*VLOOKUP('Données projet'!$B$15,Paramètres!$A$1:$I$89,3,0)*0.475*44/12</f>
        <v>4.5421939617509682E-13</v>
      </c>
      <c r="EY155" s="22">
        <f t="shared" si="181"/>
        <v>23.796114310504695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5.6843418860808015E-13</v>
      </c>
      <c r="FF155" s="17">
        <f>FE155*VLOOKUP('Données projet'!$B$16,Paramètres!$A$1:$I$89,3,0)*VLOOKUP('Données projet'!$B$16,Paramètres!$A$1:$I$89,5,0)</f>
        <v>6.1186256061773743E-13</v>
      </c>
      <c r="FG155" s="13">
        <f t="shared" si="182"/>
        <v>7.4445668332430206E-12</v>
      </c>
      <c r="FH155" s="20">
        <f t="shared" si="183"/>
        <v>1.4031614527640822E-11</v>
      </c>
      <c r="FI155" s="59">
        <f t="shared" si="131"/>
        <v>293.33333333334735</v>
      </c>
      <c r="FJ155" s="59">
        <f ca="1">AVERAGE(OFFSET($FI$3,0,0,'Données projet'!$E$16+1,1))-AVERAGE(OFFSET($H$3,0,0,'Données projet'!$E$16+1,1))</f>
        <v>347.17049316703486</v>
      </c>
      <c r="FK155" s="59">
        <f t="shared" si="156"/>
        <v>255.45365487683489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134.20330018553793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134.20330018553793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7">
        <f t="shared" si="110"/>
        <v>453.00107881213773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266.02599413192075</v>
      </c>
      <c r="T156" s="59">
        <f t="shared" si="142"/>
        <v>332.94146254783254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5.1431925385259092E-13</v>
      </c>
      <c r="AK156" s="13">
        <f t="shared" si="164"/>
        <v>6.3855359115685756E-12</v>
      </c>
      <c r="AL156" s="20">
        <f t="shared" si="165"/>
        <v>1.2017247746441865E-11</v>
      </c>
      <c r="AM156" s="59">
        <f t="shared" si="113"/>
        <v>293.33333333334531</v>
      </c>
      <c r="AN156" s="59">
        <f ca="1">AVERAGE(OFFSET($AM$3,0,0,'Données projet'!$E$10+1,1))-AVERAGE(OFFSET($H$3,0,0,'Données projet'!$E$10+1,1))</f>
        <v>282.13645166362238</v>
      </c>
      <c r="AO156" s="59">
        <f t="shared" si="144"/>
        <v>210.5345332979457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110.59646389623396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110.59646389623396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254.6443970237226</v>
      </c>
      <c r="BJ156" s="59">
        <f t="shared" si="146"/>
        <v>231.81667808018062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40.675482228688168</v>
      </c>
      <c r="BQ156" s="21">
        <f>EXP(-LN(2)/25)*BQ155+(1-EXP(-LN(2)/25))/(LN(2)/25)*Calculateur!BL156*Calculateur!BN156*VLOOKUP('Données projet'!$B$11,Paramètres!$A$1:$I$89,3,0)*0.475*44/12</f>
        <v>5.5504045713666521</v>
      </c>
      <c r="BR156" s="21">
        <f>EXP(-LN(2)/2)*BR155+(1-EXP(-LN(2)/2))/(LN(2)/2)*BL156*BO156*VLOOKUP('Données projet'!$B$11,Paramètres!$A$1:$I$89,3,0)*0.475*44/12</f>
        <v>1.2808292051299302E-11</v>
      </c>
      <c r="BS156" s="22">
        <f t="shared" si="169"/>
        <v>46.225886800067634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195.05769230769226</v>
      </c>
      <c r="BW156" s="12">
        <f>VLOOKUP(A156,'Données projet'!$A$113:$I$133,9,0)</f>
        <v>3.0945512820512704</v>
      </c>
      <c r="BX156" s="12">
        <f t="array" ref="BX156">INDEX(BW:BW,MIN(IF(ISNUMBER(BW156:BW352),ROW(BW156:BW352),"")))</f>
        <v>3.0945512820512704</v>
      </c>
      <c r="BY156" s="12">
        <f>IF('Données projet'!$A$114&gt;35,BY155+BX156-CG155,IF(A156&lt;'Données projet'!$A$114,$BV$205^A156,IF(A156='Données projet'!$A$114,'Données projet'!$B$114,BY155+BX156-CG155)))</f>
        <v>195.05769230769175</v>
      </c>
      <c r="BZ156" s="13">
        <f>BY156*VLOOKUP('Données projet'!$B$12,Paramètres!$A$1:$I$89,3,0)*VLOOKUP('Données projet'!$B$12,Paramètres!$A$1:$I$89,5,0)</f>
        <v>197.78849999999943</v>
      </c>
      <c r="CA156" s="13">
        <f t="shared" si="170"/>
        <v>49.257832889250977</v>
      </c>
      <c r="CB156" s="20">
        <f t="shared" si="171"/>
        <v>430.27236311544448</v>
      </c>
      <c r="CC156" s="59">
        <f t="shared" si="119"/>
        <v>723.60569644877773</v>
      </c>
      <c r="CD156" s="59">
        <f ca="1">AVERAGE(OFFSET($CC$3,0,0,'Données projet'!$E$12+1,1))-AVERAGE(OFFSET($H$3,0,0,'Données projet'!$E$12+1,1))</f>
        <v>264.08050363622294</v>
      </c>
      <c r="CE156" s="59">
        <f t="shared" si="148"/>
        <v>164.48884512322883</v>
      </c>
      <c r="CF156" s="15">
        <f>IF(ISNA(VLOOKUP(A156,'Données projet'!$A$113:$I$133,3,0)),0,VLOOKUP(A156,'Données projet'!$A$113:$I$133,3,0))</f>
        <v>13</v>
      </c>
      <c r="CG156" s="15">
        <f>IF(ISNA(VLOOKUP(A156,'Données projet'!$A$113:$I$133,4,0)),0,VLOOKUP(A156,'Données projet'!$A$113:$I$133,4,0))</f>
        <v>70.115384615384613</v>
      </c>
      <c r="CH156" s="16">
        <f>IF(ISNA(VLOOKUP(A156,'Données projet'!$A$113:$I$133,5,0)),0%,VLOOKUP(A156,'Données projet'!$A$113:$I$133,5,0)*VLOOKUP('Données projet'!$B$12,Paramètres!$A$1:$I$89,7,0))</f>
        <v>0.38700000000000001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118.73753980699942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118.73753980699942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194.7221767407824</v>
      </c>
      <c r="CZ156" s="59">
        <f t="shared" si="150"/>
        <v>177.6550559568646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32.162009204079055</v>
      </c>
      <c r="DG156" s="21">
        <f>EXP(-LN(2)/25)*DG155+(1-EXP(-LN(2)/25))/(LN(2)/25)*Calculateur!DB156*Calculateur!DD156*VLOOKUP('Données projet'!$B$13,Paramètres!$A$1:$I$89,3,0)*0.475*44/12</f>
        <v>4.3886919866620104</v>
      </c>
      <c r="DH156" s="21">
        <f>EXP(-LN(2)/2)*DH155+(1-EXP(-LN(2)/2))/(LN(2)/2)*DB156*DE156*VLOOKUP('Données projet'!$B$13,Paramètres!$A$1:$I$89,3,0)*0.475*44/12</f>
        <v>1.0127486738236719E-11</v>
      </c>
      <c r="DI156" s="22">
        <f t="shared" si="175"/>
        <v>36.550701190751191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3.4106051316484809E-13</v>
      </c>
      <c r="DP156" s="17">
        <f>DO156*VLOOKUP('Données projet'!$B$14,Paramètres!$A$1:$I$89,3,0)*VLOOKUP('Données projet'!$B$14,Paramètres!$A$1:$I$89,5,0)</f>
        <v>1.5961632016114892E-13</v>
      </c>
      <c r="DQ156" s="13">
        <f t="shared" si="176"/>
        <v>2.2708641912150958E-12</v>
      </c>
      <c r="DR156" s="20">
        <f t="shared" si="177"/>
        <v>4.2330868906469593E-12</v>
      </c>
      <c r="DS156" s="59">
        <f t="shared" si="125"/>
        <v>293.33333333333752</v>
      </c>
      <c r="DT156" s="59">
        <f ca="1">AVERAGE(OFFSET($DS$3,0,0,'Données projet'!$E$14+1,1))-AVERAGE(OFFSET($H$3,0,0,'Données projet'!$E$14+1,1))</f>
        <v>207.25176714718668</v>
      </c>
      <c r="DU156" s="59">
        <f t="shared" si="152"/>
        <v>191.53228014642559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67.724358697334878</v>
      </c>
      <c r="EB156" s="21">
        <f>EXP(-LN(2)/25)*EB155+(1-EXP(-LN(2)/25))/(LN(2)/25)*Calculateur!DW156*Calculateur!DY156*VLOOKUP('Données projet'!$B$14,Paramètres!$A$1:$I$89,3,0)*0.475*44/12</f>
        <v>11.606371110036809</v>
      </c>
      <c r="EC156" s="21">
        <f>EXP(-LN(2)/2)*EC155+(1-EXP(-LN(2)/2))/(LN(2)/2)*DW156*DZ156*VLOOKUP('Données projet'!$B$14,Paramètres!$A$1:$I$89,3,0)*0.475*44/12</f>
        <v>1.3224268701167469E-6</v>
      </c>
      <c r="ED156" s="22">
        <f t="shared" si="178"/>
        <v>79.330731129798551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-2.8421709430404007E-13</v>
      </c>
      <c r="EK156" s="17">
        <f>EJ156*VLOOKUP('Données projet'!$B$15,Paramètres!$A$1:$I$89,3,0)*VLOOKUP('Données projet'!$B$15,Paramètres!$A$1:$I$89,5,0)</f>
        <v>-1.69961822393816E-13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200.15574321350221</v>
      </c>
      <c r="EP156" s="59">
        <f t="shared" si="154"/>
        <v>200.70728852570426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20.565251321024487</v>
      </c>
      <c r="EW156" s="21">
        <f>EXP(-LN(2)/25)*EW155+(1-EXP(-LN(2)/25))/(LN(2)/25)*Calculateur!ER156*Calculateur!ET156*VLOOKUP('Données projet'!$B$15,Paramètres!$A$1:$I$89,3,0)*0.475*44/12</f>
        <v>2.7424248092045489</v>
      </c>
      <c r="EX156" s="21">
        <f>EXP(-LN(2)/2)*EX155+(1-EXP(-LN(2)/2))/(LN(2)/2)*ER156*EU156*VLOOKUP('Données projet'!$B$15,Paramètres!$A$1:$I$89,3,0)*0.475*44/12</f>
        <v>3.2118161518186997E-13</v>
      </c>
      <c r="EY156" s="22">
        <f t="shared" si="181"/>
        <v>23.307676130229357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5.6843418860808015E-13</v>
      </c>
      <c r="FF156" s="17">
        <f>FE156*VLOOKUP('Données projet'!$B$16,Paramètres!$A$1:$I$89,3,0)*VLOOKUP('Données projet'!$B$16,Paramètres!$A$1:$I$89,5,0)</f>
        <v>6.1186256061773743E-13</v>
      </c>
      <c r="FG156" s="13">
        <f t="shared" si="182"/>
        <v>7.4445668332430206E-12</v>
      </c>
      <c r="FH156" s="20">
        <f t="shared" si="183"/>
        <v>1.4031614527640822E-11</v>
      </c>
      <c r="FI156" s="59">
        <f t="shared" si="131"/>
        <v>293.33333333334735</v>
      </c>
      <c r="FJ156" s="59">
        <f ca="1">AVERAGE(OFFSET($FI$3,0,0,'Données projet'!$E$16+1,1))-AVERAGE(OFFSET($H$3,0,0,'Données projet'!$E$16+1,1))</f>
        <v>347.17049316703486</v>
      </c>
      <c r="FK156" s="59">
        <f t="shared" si="156"/>
        <v>255.45365487683489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131.57165532483003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131.57165532483003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7">
        <f t="shared" si="110"/>
        <v>454.01798716246549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266.02599413192075</v>
      </c>
      <c r="T157" s="59">
        <f t="shared" si="142"/>
        <v>332.94146254783254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5.1431925385259092E-13</v>
      </c>
      <c r="AK157" s="13">
        <f t="shared" si="164"/>
        <v>6.3855359115685756E-12</v>
      </c>
      <c r="AL157" s="20">
        <f t="shared" si="165"/>
        <v>1.2017247746441865E-11</v>
      </c>
      <c r="AM157" s="59">
        <f t="shared" si="113"/>
        <v>293.33333333334531</v>
      </c>
      <c r="AN157" s="59">
        <f ca="1">AVERAGE(OFFSET($AM$3,0,0,'Données projet'!$E$10+1,1))-AVERAGE(OFFSET($H$3,0,0,'Données projet'!$E$10+1,1))</f>
        <v>282.13645166362238</v>
      </c>
      <c r="AO157" s="59">
        <f t="shared" si="144"/>
        <v>210.5345332979457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108.42773469641094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108.42773469641094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254.6443970237226</v>
      </c>
      <c r="BJ157" s="59">
        <f t="shared" si="146"/>
        <v>231.81667808018062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39.877860831778008</v>
      </c>
      <c r="BQ157" s="21">
        <f>EXP(-LN(2)/25)*BQ156+(1-EXP(-LN(2)/25))/(LN(2)/25)*Calculateur!BL157*Calculateur!BN157*VLOOKUP('Données projet'!$B$11,Paramètres!$A$1:$I$89,3,0)*0.475*44/12</f>
        <v>5.3986284664795399</v>
      </c>
      <c r="BR157" s="21">
        <f>EXP(-LN(2)/2)*BR156+(1-EXP(-LN(2)/2))/(LN(2)/2)*BL157*BO157*VLOOKUP('Données projet'!$B$11,Paramètres!$A$1:$I$89,3,0)*0.475*44/12</f>
        <v>9.0568301648914914E-12</v>
      </c>
      <c r="BS157" s="22">
        <f t="shared" si="169"/>
        <v>45.276489298266604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1.8717948717948829</v>
      </c>
      <c r="BY157" s="12">
        <f>IF('Données projet'!$A$114&gt;35,BY156+BX157-CG156,IF(A157&lt;'Données projet'!$A$114,$BV$205^A157,IF(A157='Données projet'!$A$114,'Données projet'!$B$114,BY156+BX157-CG156)))</f>
        <v>126.81410256410203</v>
      </c>
      <c r="BZ157" s="13">
        <f>BY157*VLOOKUP('Données projet'!$B$12,Paramètres!$A$1:$I$89,3,0)*VLOOKUP('Données projet'!$B$12,Paramètres!$A$1:$I$89,5,0)</f>
        <v>128.58949999999948</v>
      </c>
      <c r="CA157" s="13">
        <f t="shared" si="170"/>
        <v>33.670227547903842</v>
      </c>
      <c r="CB157" s="20">
        <f t="shared" si="171"/>
        <v>282.60235881259825</v>
      </c>
      <c r="CC157" s="59">
        <f t="shared" si="119"/>
        <v>575.93569214593163</v>
      </c>
      <c r="CD157" s="59">
        <f ca="1">AVERAGE(OFFSET($CC$3,0,0,'Données projet'!$E$12+1,1))-AVERAGE(OFFSET($H$3,0,0,'Données projet'!$E$12+1,1))</f>
        <v>264.08050363622294</v>
      </c>
      <c r="CE157" s="59">
        <f t="shared" si="148"/>
        <v>164.48884512322883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116.40916907413229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116.40916907413229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194.7221767407824</v>
      </c>
      <c r="CZ157" s="59">
        <f t="shared" si="150"/>
        <v>177.6550559568646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31.531331820475671</v>
      </c>
      <c r="DG157" s="21">
        <f>EXP(-LN(2)/25)*DG156+(1-EXP(-LN(2)/25))/(LN(2)/25)*Calculateur!DB157*Calculateur!DD157*VLOOKUP('Données projet'!$B$13,Paramètres!$A$1:$I$89,3,0)*0.475*44/12</f>
        <v>4.2686829734954568</v>
      </c>
      <c r="DH157" s="21">
        <f>EXP(-LN(2)/2)*DH156+(1-EXP(-LN(2)/2))/(LN(2)/2)*DB157*DE157*VLOOKUP('Données projet'!$B$13,Paramètres!$A$1:$I$89,3,0)*0.475*44/12</f>
        <v>7.1612145489840139E-12</v>
      </c>
      <c r="DI157" s="22">
        <f t="shared" si="175"/>
        <v>35.800014793978292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3.4106051316484809E-13</v>
      </c>
      <c r="DP157" s="17">
        <f>DO157*VLOOKUP('Données projet'!$B$14,Paramètres!$A$1:$I$89,3,0)*VLOOKUP('Données projet'!$B$14,Paramètres!$A$1:$I$89,5,0)</f>
        <v>1.5961632016114892E-13</v>
      </c>
      <c r="DQ157" s="13">
        <f t="shared" si="176"/>
        <v>2.2708641912150958E-12</v>
      </c>
      <c r="DR157" s="20">
        <f t="shared" si="177"/>
        <v>4.2330868906469593E-12</v>
      </c>
      <c r="DS157" s="59">
        <f t="shared" si="125"/>
        <v>293.33333333333752</v>
      </c>
      <c r="DT157" s="59">
        <f ca="1">AVERAGE(OFFSET($DS$3,0,0,'Données projet'!$E$14+1,1))-AVERAGE(OFFSET($H$3,0,0,'Données projet'!$E$14+1,1))</f>
        <v>207.25176714718668</v>
      </c>
      <c r="DU157" s="59">
        <f t="shared" si="152"/>
        <v>191.53228014642559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66.39632533106014</v>
      </c>
      <c r="EB157" s="21">
        <f>EXP(-LN(2)/25)*EB156+(1-EXP(-LN(2)/25))/(LN(2)/25)*Calculateur!DW157*Calculateur!DY157*VLOOKUP('Données projet'!$B$14,Paramètres!$A$1:$I$89,3,0)*0.475*44/12</f>
        <v>11.288994281680322</v>
      </c>
      <c r="EC157" s="21">
        <f>EXP(-LN(2)/2)*EC156+(1-EXP(-LN(2)/2))/(LN(2)/2)*DW157*DZ157*VLOOKUP('Données projet'!$B$14,Paramètres!$A$1:$I$89,3,0)*0.475*44/12</f>
        <v>9.3509700748285346E-7</v>
      </c>
      <c r="ED157" s="22">
        <f t="shared" si="178"/>
        <v>77.685320547837463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-2.8421709430404007E-13</v>
      </c>
      <c r="EK157" s="17">
        <f>EJ157*VLOOKUP('Données projet'!$B$15,Paramètres!$A$1:$I$89,3,0)*VLOOKUP('Données projet'!$B$15,Paramètres!$A$1:$I$89,5,0)</f>
        <v>-1.69961822393816E-13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200.15574321350221</v>
      </c>
      <c r="EP157" s="59">
        <f t="shared" si="154"/>
        <v>200.70728852570426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20.161979286183929</v>
      </c>
      <c r="EW157" s="21">
        <f>EXP(-LN(2)/25)*EW156+(1-EXP(-LN(2)/25))/(LN(2)/25)*Calculateur!ER157*Calculateur!ET157*VLOOKUP('Données projet'!$B$15,Paramètres!$A$1:$I$89,3,0)*0.475*44/12</f>
        <v>2.6674330585789976</v>
      </c>
      <c r="EX157" s="21">
        <f>EXP(-LN(2)/2)*EX156+(1-EXP(-LN(2)/2))/(LN(2)/2)*ER157*EU157*VLOOKUP('Données projet'!$B$15,Paramètres!$A$1:$I$89,3,0)*0.475*44/12</f>
        <v>2.2710969808754846E-13</v>
      </c>
      <c r="EY157" s="22">
        <f t="shared" si="181"/>
        <v>22.829412344763153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5.6843418860808015E-13</v>
      </c>
      <c r="FF157" s="17">
        <f>FE157*VLOOKUP('Données projet'!$B$16,Paramètres!$A$1:$I$89,3,0)*VLOOKUP('Données projet'!$B$16,Paramètres!$A$1:$I$89,5,0)</f>
        <v>6.1186256061773743E-13</v>
      </c>
      <c r="FG157" s="13">
        <f t="shared" si="182"/>
        <v>7.4445668332430206E-12</v>
      </c>
      <c r="FH157" s="20">
        <f t="shared" si="183"/>
        <v>1.4031614527640822E-11</v>
      </c>
      <c r="FI157" s="59">
        <f t="shared" si="131"/>
        <v>293.33333333334735</v>
      </c>
      <c r="FJ157" s="59">
        <f ca="1">AVERAGE(OFFSET($FI$3,0,0,'Données projet'!$E$16+1,1))-AVERAGE(OFFSET($H$3,0,0,'Données projet'!$E$16+1,1))</f>
        <v>347.17049316703486</v>
      </c>
      <c r="FK157" s="59">
        <f t="shared" si="156"/>
        <v>255.45365487683489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128.99161541469576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128.99161541469576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7">
        <f t="shared" si="110"/>
        <v>455.03474303362952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266.02599413192075</v>
      </c>
      <c r="T158" s="59">
        <f t="shared" si="142"/>
        <v>332.94146254783254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5.1431925385259092E-13</v>
      </c>
      <c r="AK158" s="13">
        <f t="shared" si="164"/>
        <v>6.3855359115685756E-12</v>
      </c>
      <c r="AL158" s="20">
        <f t="shared" si="165"/>
        <v>1.2017247746441865E-11</v>
      </c>
      <c r="AM158" s="59">
        <f t="shared" si="113"/>
        <v>293.33333333334531</v>
      </c>
      <c r="AN158" s="59">
        <f ca="1">AVERAGE(OFFSET($AM$3,0,0,'Données projet'!$E$10+1,1))-AVERAGE(OFFSET($H$3,0,0,'Données projet'!$E$10+1,1))</f>
        <v>282.13645166362238</v>
      </c>
      <c r="AO158" s="59">
        <f t="shared" si="144"/>
        <v>210.5345332979457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106.30153295340226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106.30153295340226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254.6443970237226</v>
      </c>
      <c r="BJ158" s="59">
        <f t="shared" si="146"/>
        <v>231.81667808018062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39.095880303960243</v>
      </c>
      <c r="BQ158" s="21">
        <f>EXP(-LN(2)/25)*BQ157+(1-EXP(-LN(2)/25))/(LN(2)/25)*Calculateur!BL158*Calculateur!BN158*VLOOKUP('Données projet'!$B$11,Paramètres!$A$1:$I$89,3,0)*0.475*44/12</f>
        <v>5.2510026871621243</v>
      </c>
      <c r="BR158" s="21">
        <f>EXP(-LN(2)/2)*BR157+(1-EXP(-LN(2)/2))/(LN(2)/2)*BL158*BO158*VLOOKUP('Données projet'!$B$11,Paramètres!$A$1:$I$89,3,0)*0.475*44/12</f>
        <v>6.4041460256496511E-12</v>
      </c>
      <c r="BS158" s="22">
        <f t="shared" si="169"/>
        <v>44.346882991128773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1.8717948717948829</v>
      </c>
      <c r="BY158" s="12">
        <f>IF('Données projet'!$A$114&gt;35,BY157+BX158-CG157,IF(A158&lt;'Données projet'!$A$114,$BV$205^A158,IF(A158='Données projet'!$A$114,'Données projet'!$B$114,BY157+BX158-CG157)))</f>
        <v>128.68589743589692</v>
      </c>
      <c r="BZ158" s="13">
        <f>BY158*VLOOKUP('Données projet'!$B$12,Paramètres!$A$1:$I$89,3,0)*VLOOKUP('Données projet'!$B$12,Paramètres!$A$1:$I$89,5,0)</f>
        <v>130.4874999999995</v>
      </c>
      <c r="CA158" s="13">
        <f t="shared" si="170"/>
        <v>34.108981718044198</v>
      </c>
      <c r="CB158" s="20">
        <f t="shared" si="171"/>
        <v>286.67220565892609</v>
      </c>
      <c r="CC158" s="59">
        <f t="shared" si="119"/>
        <v>580.0055389922594</v>
      </c>
      <c r="CD158" s="59">
        <f ca="1">AVERAGE(OFFSET($CC$3,0,0,'Données projet'!$E$12+1,1))-AVERAGE(OFFSET($H$3,0,0,'Données projet'!$E$12+1,1))</f>
        <v>264.08050363622294</v>
      </c>
      <c r="CE158" s="59">
        <f t="shared" si="148"/>
        <v>164.48884512322883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114.12645627117077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114.12645627117077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194.7221767407824</v>
      </c>
      <c r="CZ158" s="59">
        <f t="shared" si="150"/>
        <v>177.6550559568646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30.913021635689532</v>
      </c>
      <c r="DG158" s="21">
        <f>EXP(-LN(2)/25)*DG157+(1-EXP(-LN(2)/25))/(LN(2)/25)*Calculateur!DB158*Calculateur!DD158*VLOOKUP('Données projet'!$B$13,Paramètres!$A$1:$I$89,3,0)*0.475*44/12</f>
        <v>4.151955613104942</v>
      </c>
      <c r="DH158" s="21">
        <f>EXP(-LN(2)/2)*DH157+(1-EXP(-LN(2)/2))/(LN(2)/2)*DB158*DE158*VLOOKUP('Données projet'!$B$13,Paramètres!$A$1:$I$89,3,0)*0.475*44/12</f>
        <v>5.0637433691183604E-12</v>
      </c>
      <c r="DI158" s="22">
        <f t="shared" si="175"/>
        <v>35.064977248799543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3.4106051316484809E-13</v>
      </c>
      <c r="DP158" s="17">
        <f>DO158*VLOOKUP('Données projet'!$B$14,Paramètres!$A$1:$I$89,3,0)*VLOOKUP('Données projet'!$B$14,Paramètres!$A$1:$I$89,5,0)</f>
        <v>1.5961632016114892E-13</v>
      </c>
      <c r="DQ158" s="13">
        <f t="shared" si="176"/>
        <v>2.2708641912150958E-12</v>
      </c>
      <c r="DR158" s="20">
        <f t="shared" si="177"/>
        <v>4.2330868906469593E-12</v>
      </c>
      <c r="DS158" s="59">
        <f t="shared" si="125"/>
        <v>293.33333333333752</v>
      </c>
      <c r="DT158" s="59">
        <f ca="1">AVERAGE(OFFSET($DS$3,0,0,'Données projet'!$E$14+1,1))-AVERAGE(OFFSET($H$3,0,0,'Données projet'!$E$14+1,1))</f>
        <v>207.25176714718668</v>
      </c>
      <c r="DU158" s="59">
        <f t="shared" si="152"/>
        <v>191.53228014642559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65.094333889077674</v>
      </c>
      <c r="EB158" s="21">
        <f>EXP(-LN(2)/25)*EB157+(1-EXP(-LN(2)/25))/(LN(2)/25)*Calculateur!DW158*Calculateur!DY158*VLOOKUP('Données projet'!$B$14,Paramètres!$A$1:$I$89,3,0)*0.475*44/12</f>
        <v>10.980296139385366</v>
      </c>
      <c r="EC158" s="21">
        <f>EXP(-LN(2)/2)*EC157+(1-EXP(-LN(2)/2))/(LN(2)/2)*DW158*DZ158*VLOOKUP('Données projet'!$B$14,Paramètres!$A$1:$I$89,3,0)*0.475*44/12</f>
        <v>6.6121343505837354E-7</v>
      </c>
      <c r="ED158" s="22">
        <f t="shared" si="178"/>
        <v>76.074630689676482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-2.8421709430404007E-13</v>
      </c>
      <c r="EK158" s="17">
        <f>EJ158*VLOOKUP('Données projet'!$B$15,Paramètres!$A$1:$I$89,3,0)*VLOOKUP('Données projet'!$B$15,Paramètres!$A$1:$I$89,5,0)</f>
        <v>-1.69961822393816E-13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200.15574321350221</v>
      </c>
      <c r="EP158" s="59">
        <f t="shared" si="154"/>
        <v>200.70728852570426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19.766615169974941</v>
      </c>
      <c r="EW158" s="21">
        <f>EXP(-LN(2)/25)*EW157+(1-EXP(-LN(2)/25))/(LN(2)/25)*Calculateur!ER158*Calculateur!ET158*VLOOKUP('Données projet'!$B$15,Paramètres!$A$1:$I$89,3,0)*0.475*44/12</f>
        <v>2.5944919613179467</v>
      </c>
      <c r="EX158" s="21">
        <f>EXP(-LN(2)/2)*EX157+(1-EXP(-LN(2)/2))/(LN(2)/2)*ER158*EU158*VLOOKUP('Données projet'!$B$15,Paramètres!$A$1:$I$89,3,0)*0.475*44/12</f>
        <v>1.6059080759093501E-13</v>
      </c>
      <c r="EY158" s="22">
        <f t="shared" si="181"/>
        <v>22.361107131293046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5.6843418860808015E-13</v>
      </c>
      <c r="FF158" s="17">
        <f>FE158*VLOOKUP('Données projet'!$B$16,Paramètres!$A$1:$I$89,3,0)*VLOOKUP('Données projet'!$B$16,Paramètres!$A$1:$I$89,5,0)</f>
        <v>6.1186256061773743E-13</v>
      </c>
      <c r="FG158" s="13">
        <f t="shared" si="182"/>
        <v>7.4445668332430206E-12</v>
      </c>
      <c r="FH158" s="20">
        <f t="shared" si="183"/>
        <v>1.4031614527640822E-11</v>
      </c>
      <c r="FI158" s="59">
        <f t="shared" si="131"/>
        <v>293.33333333334735</v>
      </c>
      <c r="FJ158" s="59">
        <f ca="1">AVERAGE(OFFSET($FI$3,0,0,'Données projet'!$E$16+1,1))-AVERAGE(OFFSET($H$3,0,0,'Données projet'!$E$16+1,1))</f>
        <v>347.17049316703486</v>
      </c>
      <c r="FK158" s="59">
        <f t="shared" si="156"/>
        <v>255.45365487683489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126.46216851353026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126.46216851353026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7">
        <f t="shared" si="110"/>
        <v>456.05134752347647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266.02599413192075</v>
      </c>
      <c r="T159" s="59">
        <f t="shared" si="142"/>
        <v>332.94146254783254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5.1431925385259092E-13</v>
      </c>
      <c r="AK159" s="13">
        <f t="shared" si="164"/>
        <v>6.3855359115685756E-12</v>
      </c>
      <c r="AL159" s="20">
        <f t="shared" si="165"/>
        <v>1.2017247746441865E-11</v>
      </c>
      <c r="AM159" s="59">
        <f t="shared" si="113"/>
        <v>293.33333333334531</v>
      </c>
      <c r="AN159" s="59">
        <f ca="1">AVERAGE(OFFSET($AM$3,0,0,'Données projet'!$E$10+1,1))-AVERAGE(OFFSET($H$3,0,0,'Données projet'!$E$10+1,1))</f>
        <v>282.13645166362238</v>
      </c>
      <c r="AO159" s="59">
        <f t="shared" si="144"/>
        <v>210.5345332979457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104.21702472971897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104.21702472971897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254.6443970237226</v>
      </c>
      <c r="BJ159" s="59">
        <f t="shared" si="146"/>
        <v>231.81667808018062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38.329233937331956</v>
      </c>
      <c r="BQ159" s="21">
        <f>EXP(-LN(2)/25)*BQ158+(1-EXP(-LN(2)/25))/(LN(2)/25)*Calculateur!BL159*Calculateur!BN159*VLOOKUP('Données projet'!$B$11,Paramètres!$A$1:$I$89,3,0)*0.475*44/12</f>
        <v>5.1074137425434456</v>
      </c>
      <c r="BR159" s="21">
        <f>EXP(-LN(2)/2)*BR158+(1-EXP(-LN(2)/2))/(LN(2)/2)*BL159*BO159*VLOOKUP('Données projet'!$B$11,Paramètres!$A$1:$I$89,3,0)*0.475*44/12</f>
        <v>4.5284150824457457E-12</v>
      </c>
      <c r="BS159" s="22">
        <f t="shared" si="169"/>
        <v>43.436647679879925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1.8717948717948829</v>
      </c>
      <c r="BY159" s="12">
        <f>IF('Données projet'!$A$114&gt;35,BY158+BX159-CG158,IF(A159&lt;'Données projet'!$A$114,$BV$205^A159,IF(A159='Données projet'!$A$114,'Données projet'!$B$114,BY158+BX159-CG158)))</f>
        <v>130.55769230769181</v>
      </c>
      <c r="BZ159" s="13">
        <f>BY159*VLOOKUP('Données projet'!$B$12,Paramètres!$A$1:$I$89,3,0)*VLOOKUP('Données projet'!$B$12,Paramètres!$A$1:$I$89,5,0)</f>
        <v>132.38549999999952</v>
      </c>
      <c r="CA159" s="13">
        <f t="shared" si="170"/>
        <v>34.546993638315641</v>
      </c>
      <c r="CB159" s="20">
        <f t="shared" si="171"/>
        <v>290.74075975339895</v>
      </c>
      <c r="CC159" s="59">
        <f t="shared" si="119"/>
        <v>584.07409308673232</v>
      </c>
      <c r="CD159" s="59">
        <f ca="1">AVERAGE(OFFSET($CC$3,0,0,'Données projet'!$E$12+1,1))-AVERAGE(OFFSET($H$3,0,0,'Données projet'!$E$12+1,1))</f>
        <v>264.08050363622294</v>
      </c>
      <c r="CE159" s="59">
        <f t="shared" si="148"/>
        <v>164.48884512322883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111.88850607395798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111.88850607395798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194.7221767407824</v>
      </c>
      <c r="CZ159" s="59">
        <f t="shared" si="150"/>
        <v>177.6550559568646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30.306836136495072</v>
      </c>
      <c r="DG159" s="21">
        <f>EXP(-LN(2)/25)*DG158+(1-EXP(-LN(2)/25))/(LN(2)/25)*Calculateur!DB159*Calculateur!DD159*VLOOKUP('Données projet'!$B$13,Paramètres!$A$1:$I$89,3,0)*0.475*44/12</f>
        <v>4.0384201685227312</v>
      </c>
      <c r="DH159" s="21">
        <f>EXP(-LN(2)/2)*DH158+(1-EXP(-LN(2)/2))/(LN(2)/2)*DB159*DE159*VLOOKUP('Données projet'!$B$13,Paramètres!$A$1:$I$89,3,0)*0.475*44/12</f>
        <v>3.5806072744920078E-12</v>
      </c>
      <c r="DI159" s="22">
        <f t="shared" si="175"/>
        <v>34.345256305021387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3.4106051316484809E-13</v>
      </c>
      <c r="DP159" s="17">
        <f>DO159*VLOOKUP('Données projet'!$B$14,Paramètres!$A$1:$I$89,3,0)*VLOOKUP('Données projet'!$B$14,Paramètres!$A$1:$I$89,5,0)</f>
        <v>1.5961632016114892E-13</v>
      </c>
      <c r="DQ159" s="13">
        <f t="shared" si="176"/>
        <v>2.2708641912150958E-12</v>
      </c>
      <c r="DR159" s="20">
        <f t="shared" si="177"/>
        <v>4.2330868906469593E-12</v>
      </c>
      <c r="DS159" s="59">
        <f t="shared" si="125"/>
        <v>293.33333333333752</v>
      </c>
      <c r="DT159" s="59">
        <f ca="1">AVERAGE(OFFSET($DS$3,0,0,'Données projet'!$E$14+1,1))-AVERAGE(OFFSET($H$3,0,0,'Données projet'!$E$14+1,1))</f>
        <v>207.25176714718668</v>
      </c>
      <c r="DU159" s="59">
        <f t="shared" si="152"/>
        <v>191.53228014642559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63.81787370513613</v>
      </c>
      <c r="EB159" s="21">
        <f>EXP(-LN(2)/25)*EB158+(1-EXP(-LN(2)/25))/(LN(2)/25)*Calculateur!DW159*Calculateur!DY159*VLOOKUP('Données projet'!$B$14,Paramètres!$A$1:$I$89,3,0)*0.475*44/12</f>
        <v>10.680039364025195</v>
      </c>
      <c r="EC159" s="21">
        <f>EXP(-LN(2)/2)*EC158+(1-EXP(-LN(2)/2))/(LN(2)/2)*DW159*DZ159*VLOOKUP('Données projet'!$B$14,Paramètres!$A$1:$I$89,3,0)*0.475*44/12</f>
        <v>4.6754850374142684E-7</v>
      </c>
      <c r="ED159" s="22">
        <f t="shared" si="178"/>
        <v>74.497913536709831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-2.8421709430404007E-13</v>
      </c>
      <c r="EK159" s="17">
        <f>EJ159*VLOOKUP('Données projet'!$B$15,Paramètres!$A$1:$I$89,3,0)*VLOOKUP('Données projet'!$B$15,Paramètres!$A$1:$I$89,5,0)</f>
        <v>-1.69961822393816E-13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200.15574321350221</v>
      </c>
      <c r="EP159" s="59">
        <f t="shared" si="154"/>
        <v>200.70728852570426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19.37900390293651</v>
      </c>
      <c r="EW159" s="21">
        <f>EXP(-LN(2)/25)*EW158+(1-EXP(-LN(2)/25))/(LN(2)/25)*Calculateur!ER159*Calculateur!ET159*VLOOKUP('Données projet'!$B$15,Paramètres!$A$1:$I$89,3,0)*0.475*44/12</f>
        <v>2.5235454421973049</v>
      </c>
      <c r="EX159" s="21">
        <f>EXP(-LN(2)/2)*EX158+(1-EXP(-LN(2)/2))/(LN(2)/2)*ER159*EU159*VLOOKUP('Données projet'!$B$15,Paramètres!$A$1:$I$89,3,0)*0.475*44/12</f>
        <v>1.1355484904377424E-13</v>
      </c>
      <c r="EY159" s="22">
        <f t="shared" si="181"/>
        <v>21.902549345133927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5.6843418860808015E-13</v>
      </c>
      <c r="FF159" s="17">
        <f>FE159*VLOOKUP('Données projet'!$B$16,Paramètres!$A$1:$I$89,3,0)*VLOOKUP('Données projet'!$B$16,Paramètres!$A$1:$I$89,5,0)</f>
        <v>6.1186256061773743E-13</v>
      </c>
      <c r="FG159" s="13">
        <f t="shared" si="182"/>
        <v>7.4445668332430206E-12</v>
      </c>
      <c r="FH159" s="20">
        <f t="shared" si="183"/>
        <v>1.4031614527640822E-11</v>
      </c>
      <c r="FI159" s="59">
        <f t="shared" si="131"/>
        <v>293.33333333334735</v>
      </c>
      <c r="FJ159" s="59">
        <f ca="1">AVERAGE(OFFSET($FI$3,0,0,'Données projet'!$E$16+1,1))-AVERAGE(OFFSET($H$3,0,0,'Données projet'!$E$16+1,1))</f>
        <v>347.17049316703486</v>
      </c>
      <c r="FK159" s="59">
        <f t="shared" si="156"/>
        <v>255.45365487683489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123.98232252328634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123.98232252328634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7">
        <f t="shared" si="110"/>
        <v>457.06780171496393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266.02599413192075</v>
      </c>
      <c r="T160" s="59">
        <f t="shared" si="142"/>
        <v>332.94146254783254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5.1431925385259092E-13</v>
      </c>
      <c r="AK160" s="13">
        <f t="shared" si="164"/>
        <v>6.3855359115685756E-12</v>
      </c>
      <c r="AL160" s="20">
        <f t="shared" si="165"/>
        <v>1.2017247746441865E-11</v>
      </c>
      <c r="AM160" s="59">
        <f t="shared" si="113"/>
        <v>293.33333333334531</v>
      </c>
      <c r="AN160" s="59">
        <f ca="1">AVERAGE(OFFSET($AM$3,0,0,'Données projet'!$E$10+1,1))-AVERAGE(OFFSET($H$3,0,0,'Données projet'!$E$10+1,1))</f>
        <v>282.13645166362238</v>
      </c>
      <c r="AO160" s="59">
        <f t="shared" si="144"/>
        <v>210.5345332979457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102.17339244087763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102.17339244087763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254.6443970237226</v>
      </c>
      <c r="BJ160" s="59">
        <f t="shared" si="146"/>
        <v>231.81667808018062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37.577621038345143</v>
      </c>
      <c r="BQ160" s="21">
        <f>EXP(-LN(2)/25)*BQ159+(1-EXP(-LN(2)/25))/(LN(2)/25)*Calculateur!BL160*Calculateur!BN160*VLOOKUP('Données projet'!$B$11,Paramètres!$A$1:$I$89,3,0)*0.475*44/12</f>
        <v>4.9677512451663794</v>
      </c>
      <c r="BR160" s="21">
        <f>EXP(-LN(2)/2)*BR159+(1-EXP(-LN(2)/2))/(LN(2)/2)*BL160*BO160*VLOOKUP('Données projet'!$B$11,Paramètres!$A$1:$I$89,3,0)*0.475*44/12</f>
        <v>3.2020730128248255E-12</v>
      </c>
      <c r="BS160" s="22">
        <f t="shared" si="169"/>
        <v>42.54537228351473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>
        <f>VLOOKUP(A160,'Données projet'!$A$113:$I$133,2,0)</f>
        <v>132.42948717948718</v>
      </c>
      <c r="BW160" s="12">
        <f>VLOOKUP(A160,'Données projet'!$A$113:$I$133,9,0)</f>
        <v>1.8717948717948829</v>
      </c>
      <c r="BX160" s="12">
        <f t="array" ref="BX160">INDEX(BW:BW,MIN(IF(ISNUMBER(BW160:BW356),ROW(BW160:BW356),"")))</f>
        <v>1.8717948717948829</v>
      </c>
      <c r="BY160" s="12">
        <f>IF('Données projet'!$A$114&gt;35,BY159+BX160-CG159,IF(A160&lt;'Données projet'!$A$114,$BV$205^A160,IF(A160='Données projet'!$A$114,'Données projet'!$B$114,BY159+BX160-CG159)))</f>
        <v>132.4294871794867</v>
      </c>
      <c r="BZ160" s="13">
        <f>BY160*VLOOKUP('Données projet'!$B$12,Paramètres!$A$1:$I$89,3,0)*VLOOKUP('Données projet'!$B$12,Paramètres!$A$1:$I$89,5,0)</f>
        <v>134.28349999999952</v>
      </c>
      <c r="CA160" s="13">
        <f t="shared" si="170"/>
        <v>34.984275179883873</v>
      </c>
      <c r="CB160" s="20">
        <f t="shared" si="171"/>
        <v>294.80804177163026</v>
      </c>
      <c r="CC160" s="59">
        <f t="shared" si="119"/>
        <v>588.14137510496357</v>
      </c>
      <c r="CD160" s="59">
        <f ca="1">AVERAGE(OFFSET($CC$3,0,0,'Données projet'!$E$12+1,1))-AVERAGE(OFFSET($H$3,0,0,'Données projet'!$E$12+1,1))</f>
        <v>264.08050363622294</v>
      </c>
      <c r="CE160" s="59">
        <f t="shared" si="148"/>
        <v>164.48884512322883</v>
      </c>
      <c r="CF160" s="15">
        <f>IF(ISNA(VLOOKUP(A160,'Données projet'!$A$113:$I$133,3,0)),0,VLOOKUP(A160,'Données projet'!$A$113:$I$133,3,0))</f>
        <v>14</v>
      </c>
      <c r="CG160" s="15">
        <f>IF(ISNA(VLOOKUP(A160,'Données projet'!$A$113:$I$133,4,0)),0,VLOOKUP(A160,'Données projet'!$A$113:$I$133,4,0))</f>
        <v>45.71153846153846</v>
      </c>
      <c r="CH160" s="16">
        <f>IF(ISNA(VLOOKUP(A160,'Données projet'!$A$113:$I$133,5,0)),0%,VLOOKUP(A160,'Données projet'!$A$113:$I$133,5,0)*VLOOKUP('Données projet'!$B$12,Paramètres!$A$1:$I$89,7,0))</f>
        <v>0.38700000000000001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129.52440210000634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129.52440210000634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194.7221767407824</v>
      </c>
      <c r="CZ160" s="59">
        <f t="shared" si="150"/>
        <v>177.6550559568646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29.712537565203171</v>
      </c>
      <c r="DG160" s="21">
        <f>EXP(-LN(2)/25)*DG159+(1-EXP(-LN(2)/25))/(LN(2)/25)*Calculateur!DB160*Calculateur!DD160*VLOOKUP('Données projet'!$B$13,Paramètres!$A$1:$I$89,3,0)*0.475*44/12</f>
        <v>3.9279893566431903</v>
      </c>
      <c r="DH160" s="21">
        <f>EXP(-LN(2)/2)*DH159+(1-EXP(-LN(2)/2))/(LN(2)/2)*DB160*DE160*VLOOKUP('Données projet'!$B$13,Paramètres!$A$1:$I$89,3,0)*0.475*44/12</f>
        <v>2.5318716845591806E-12</v>
      </c>
      <c r="DI160" s="22">
        <f t="shared" si="175"/>
        <v>33.640526921848888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3.4106051316484809E-13</v>
      </c>
      <c r="DP160" s="17">
        <f>DO160*VLOOKUP('Données projet'!$B$14,Paramètres!$A$1:$I$89,3,0)*VLOOKUP('Données projet'!$B$14,Paramètres!$A$1:$I$89,5,0)</f>
        <v>1.5961632016114892E-13</v>
      </c>
      <c r="DQ160" s="13">
        <f t="shared" si="176"/>
        <v>2.2708641912150958E-12</v>
      </c>
      <c r="DR160" s="20">
        <f t="shared" si="177"/>
        <v>4.2330868906469593E-12</v>
      </c>
      <c r="DS160" s="59">
        <f t="shared" si="125"/>
        <v>293.33333333333752</v>
      </c>
      <c r="DT160" s="59">
        <f ca="1">AVERAGE(OFFSET($DS$3,0,0,'Données projet'!$E$14+1,1))-AVERAGE(OFFSET($H$3,0,0,'Données projet'!$E$14+1,1))</f>
        <v>207.25176714718668</v>
      </c>
      <c r="DU160" s="59">
        <f t="shared" si="152"/>
        <v>191.53228014642559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62.566444126837837</v>
      </c>
      <c r="EB160" s="21">
        <f>EXP(-LN(2)/25)*EB159+(1-EXP(-LN(2)/25))/(LN(2)/25)*Calculateur!DW160*Calculateur!DY160*VLOOKUP('Données projet'!$B$14,Paramètres!$A$1:$I$89,3,0)*0.475*44/12</f>
        <v>10.387993125977065</v>
      </c>
      <c r="EC160" s="21">
        <f>EXP(-LN(2)/2)*EC159+(1-EXP(-LN(2)/2))/(LN(2)/2)*DW160*DZ160*VLOOKUP('Données projet'!$B$14,Paramètres!$A$1:$I$89,3,0)*0.475*44/12</f>
        <v>3.3060671752918682E-7</v>
      </c>
      <c r="ED160" s="22">
        <f t="shared" si="178"/>
        <v>72.954437583421623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-2.8421709430404007E-13</v>
      </c>
      <c r="EK160" s="17">
        <f>EJ160*VLOOKUP('Données projet'!$B$15,Paramètres!$A$1:$I$89,3,0)*VLOOKUP('Données projet'!$B$15,Paramètres!$A$1:$I$89,5,0)</f>
        <v>-1.69961822393816E-13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200.15574321350221</v>
      </c>
      <c r="EP160" s="59">
        <f t="shared" si="154"/>
        <v>200.70728852570426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18.998993456425175</v>
      </c>
      <c r="EW160" s="21">
        <f>EXP(-LN(2)/25)*EW159+(1-EXP(-LN(2)/25))/(LN(2)/25)*Calculateur!ER160*Calculateur!ET160*VLOOKUP('Données projet'!$B$15,Paramètres!$A$1:$I$89,3,0)*0.475*44/12</f>
        <v>2.4545389593729325</v>
      </c>
      <c r="EX160" s="21">
        <f>EXP(-LN(2)/2)*EX159+(1-EXP(-LN(2)/2))/(LN(2)/2)*ER160*EU160*VLOOKUP('Données projet'!$B$15,Paramètres!$A$1:$I$89,3,0)*0.475*44/12</f>
        <v>8.0295403795467518E-14</v>
      </c>
      <c r="EY160" s="22">
        <f t="shared" si="181"/>
        <v>21.45353241579819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5.6843418860808015E-13</v>
      </c>
      <c r="FF160" s="17">
        <f>FE160*VLOOKUP('Données projet'!$B$16,Paramètres!$A$1:$I$89,3,0)*VLOOKUP('Données projet'!$B$16,Paramètres!$A$1:$I$89,5,0)</f>
        <v>6.1186256061773743E-13</v>
      </c>
      <c r="FG160" s="13">
        <f t="shared" si="182"/>
        <v>7.4445668332430206E-12</v>
      </c>
      <c r="FH160" s="20">
        <f t="shared" si="183"/>
        <v>1.4031614527640822E-11</v>
      </c>
      <c r="FI160" s="59">
        <f t="shared" si="131"/>
        <v>293.33333333334735</v>
      </c>
      <c r="FJ160" s="59">
        <f ca="1">AVERAGE(OFFSET($FI$3,0,0,'Données projet'!$E$16+1,1))-AVERAGE(OFFSET($H$3,0,0,'Données projet'!$E$16+1,1))</f>
        <v>347.17049316703486</v>
      </c>
      <c r="FK160" s="59">
        <f t="shared" si="156"/>
        <v>255.45365487683489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121.55110480035441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121.55110480035441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7">
        <f t="shared" si="110"/>
        <v>458.08410667645592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266.02599413192075</v>
      </c>
      <c r="T161" s="59">
        <f t="shared" si="142"/>
        <v>332.94146254783254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5.1431925385259092E-13</v>
      </c>
      <c r="AK161" s="13">
        <f t="shared" si="164"/>
        <v>6.3855359115685756E-12</v>
      </c>
      <c r="AL161" s="20">
        <f t="shared" si="165"/>
        <v>1.2017247746441865E-11</v>
      </c>
      <c r="AM161" s="59">
        <f t="shared" si="113"/>
        <v>293.33333333334531</v>
      </c>
      <c r="AN161" s="59">
        <f ca="1">AVERAGE(OFFSET($AM$3,0,0,'Données projet'!$E$10+1,1))-AVERAGE(OFFSET($H$3,0,0,'Données projet'!$E$10+1,1))</f>
        <v>282.13645166362238</v>
      </c>
      <c r="AO161" s="59">
        <f t="shared" si="144"/>
        <v>210.5345332979457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100.16983453472787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100.16983453472787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254.6443970237226</v>
      </c>
      <c r="BJ161" s="59">
        <f t="shared" si="146"/>
        <v>231.81667808018062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36.840746809868854</v>
      </c>
      <c r="BQ161" s="21">
        <f>EXP(-LN(2)/25)*BQ160+(1-EXP(-LN(2)/25))/(LN(2)/25)*Calculateur!BL161*Calculateur!BN161*VLOOKUP('Données projet'!$B$11,Paramètres!$A$1:$I$89,3,0)*0.475*44/12</f>
        <v>4.8319078261246204</v>
      </c>
      <c r="BR161" s="21">
        <f>EXP(-LN(2)/2)*BR160+(1-EXP(-LN(2)/2))/(LN(2)/2)*BL161*BO161*VLOOKUP('Données projet'!$B$11,Paramètres!$A$1:$I$89,3,0)*0.475*44/12</f>
        <v>2.2642075412228729E-12</v>
      </c>
      <c r="BS161" s="22">
        <f t="shared" si="169"/>
        <v>41.672654635995741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1.1618589743589709</v>
      </c>
      <c r="BY161" s="12">
        <f>IF('Données projet'!$A$114&gt;35,BY160+BX161-CG160,IF(A161&lt;'Données projet'!$A$114,$BV$205^A161,IF(A161='Données projet'!$A$114,'Données projet'!$B$114,BY160+BX161-CG160)))</f>
        <v>87.879807692307224</v>
      </c>
      <c r="BZ161" s="13">
        <f>BY161*VLOOKUP('Données projet'!$B$12,Paramètres!$A$1:$I$89,3,0)*VLOOKUP('Données projet'!$B$12,Paramètres!$A$1:$I$89,5,0)</f>
        <v>89.110124999999528</v>
      </c>
      <c r="CA161" s="13">
        <f t="shared" si="170"/>
        <v>24.350484613685058</v>
      </c>
      <c r="CB161" s="20">
        <f t="shared" si="171"/>
        <v>197.61056174383398</v>
      </c>
      <c r="CC161" s="59">
        <f t="shared" si="119"/>
        <v>490.94389507716733</v>
      </c>
      <c r="CD161" s="59">
        <f ca="1">AVERAGE(OFFSET($CC$3,0,0,'Données projet'!$E$12+1,1))-AVERAGE(OFFSET($H$3,0,0,'Données projet'!$E$12+1,1))</f>
        <v>264.08050363622294</v>
      </c>
      <c r="CE161" s="59">
        <f t="shared" si="148"/>
        <v>164.48884512322883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126.98450757690969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126.98450757690969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194.7221767407824</v>
      </c>
      <c r="CZ161" s="59">
        <f t="shared" si="150"/>
        <v>177.6550559568646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29.129892826407968</v>
      </c>
      <c r="DG161" s="21">
        <f>EXP(-LN(2)/25)*DG160+(1-EXP(-LN(2)/25))/(LN(2)/25)*Calculateur!DB161*Calculateur!DD161*VLOOKUP('Données projet'!$B$13,Paramètres!$A$1:$I$89,3,0)*0.475*44/12</f>
        <v>3.8205782811217994</v>
      </c>
      <c r="DH161" s="21">
        <f>EXP(-LN(2)/2)*DH160+(1-EXP(-LN(2)/2))/(LN(2)/2)*DB161*DE161*VLOOKUP('Données projet'!$B$13,Paramètres!$A$1:$I$89,3,0)*0.475*44/12</f>
        <v>1.7903036372460041E-12</v>
      </c>
      <c r="DI161" s="22">
        <f t="shared" si="175"/>
        <v>32.950471107531556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3.4106051316484809E-13</v>
      </c>
      <c r="DP161" s="17">
        <f>DO161*VLOOKUP('Données projet'!$B$14,Paramètres!$A$1:$I$89,3,0)*VLOOKUP('Données projet'!$B$14,Paramètres!$A$1:$I$89,5,0)</f>
        <v>1.5961632016114892E-13</v>
      </c>
      <c r="DQ161" s="13">
        <f t="shared" si="176"/>
        <v>2.2708641912150958E-12</v>
      </c>
      <c r="DR161" s="20">
        <f t="shared" si="177"/>
        <v>4.2330868906469593E-12</v>
      </c>
      <c r="DS161" s="59">
        <f t="shared" si="125"/>
        <v>293.33333333333752</v>
      </c>
      <c r="DT161" s="59">
        <f ca="1">AVERAGE(OFFSET($DS$3,0,0,'Données projet'!$E$14+1,1))-AVERAGE(OFFSET($H$3,0,0,'Données projet'!$E$14+1,1))</f>
        <v>207.25176714718668</v>
      </c>
      <c r="DU161" s="59">
        <f t="shared" si="152"/>
        <v>191.53228014642559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61.339554319273304</v>
      </c>
      <c r="EB161" s="21">
        <f>EXP(-LN(2)/25)*EB160+(1-EXP(-LN(2)/25))/(LN(2)/25)*Calculateur!DW161*Calculateur!DY161*VLOOKUP('Données projet'!$B$14,Paramètres!$A$1:$I$89,3,0)*0.475*44/12</f>
        <v>10.103932907666406</v>
      </c>
      <c r="EC161" s="21">
        <f>EXP(-LN(2)/2)*EC160+(1-EXP(-LN(2)/2))/(LN(2)/2)*DW161*DZ161*VLOOKUP('Données projet'!$B$14,Paramètres!$A$1:$I$89,3,0)*0.475*44/12</f>
        <v>2.3377425187071344E-7</v>
      </c>
      <c r="ED161" s="22">
        <f t="shared" si="178"/>
        <v>71.443487460713968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-2.8421709430404007E-13</v>
      </c>
      <c r="EK161" s="17">
        <f>EJ161*VLOOKUP('Données projet'!$B$15,Paramètres!$A$1:$I$89,3,0)*VLOOKUP('Données projet'!$B$15,Paramètres!$A$1:$I$89,5,0)</f>
        <v>-1.69961822393816E-13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200.15574321350221</v>
      </c>
      <c r="EP161" s="59">
        <f t="shared" si="154"/>
        <v>200.70728852570426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18.626434782986443</v>
      </c>
      <c r="EW161" s="21">
        <f>EXP(-LN(2)/25)*EW160+(1-EXP(-LN(2)/25))/(LN(2)/25)*Calculateur!ER161*Calculateur!ET161*VLOOKUP('Données projet'!$B$15,Paramètres!$A$1:$I$89,3,0)*0.475*44/12</f>
        <v>2.3874194624502856</v>
      </c>
      <c r="EX161" s="21">
        <f>EXP(-LN(2)/2)*EX160+(1-EXP(-LN(2)/2))/(LN(2)/2)*ER161*EU161*VLOOKUP('Données projet'!$B$15,Paramètres!$A$1:$I$89,3,0)*0.475*44/12</f>
        <v>5.6777424521887134E-14</v>
      </c>
      <c r="EY161" s="22">
        <f t="shared" si="181"/>
        <v>21.013854245436786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5.6843418860808015E-13</v>
      </c>
      <c r="FF161" s="17">
        <f>FE161*VLOOKUP('Données projet'!$B$16,Paramètres!$A$1:$I$89,3,0)*VLOOKUP('Données projet'!$B$16,Paramètres!$A$1:$I$89,5,0)</f>
        <v>6.1186256061773743E-13</v>
      </c>
      <c r="FG161" s="13">
        <f t="shared" si="182"/>
        <v>7.4445668332430206E-12</v>
      </c>
      <c r="FH161" s="20">
        <f t="shared" si="183"/>
        <v>1.4031614527640822E-11</v>
      </c>
      <c r="FI161" s="59">
        <f t="shared" si="131"/>
        <v>293.33333333334735</v>
      </c>
      <c r="FJ161" s="59">
        <f ca="1">AVERAGE(OFFSET($FI$3,0,0,'Données projet'!$E$16+1,1))-AVERAGE(OFFSET($H$3,0,0,'Données projet'!$E$16+1,1))</f>
        <v>347.17049316703486</v>
      </c>
      <c r="FK161" s="59">
        <f t="shared" si="156"/>
        <v>255.45365487683489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119.16756177407278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119.16756177407278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7">
        <f t="shared" si="110"/>
        <v>459.10026346201118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266.02599413192075</v>
      </c>
      <c r="T162" s="59">
        <f t="shared" si="142"/>
        <v>332.94146254783254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5.1431925385259092E-13</v>
      </c>
      <c r="AK162" s="13">
        <f t="shared" si="164"/>
        <v>6.3855359115685756E-12</v>
      </c>
      <c r="AL162" s="20">
        <f t="shared" si="165"/>
        <v>1.2017247746441865E-11</v>
      </c>
      <c r="AM162" s="59">
        <f t="shared" si="113"/>
        <v>293.33333333334531</v>
      </c>
      <c r="AN162" s="59">
        <f ca="1">AVERAGE(OFFSET($AM$3,0,0,'Données projet'!$E$10+1,1))-AVERAGE(OFFSET($H$3,0,0,'Données projet'!$E$10+1,1))</f>
        <v>282.13645166362238</v>
      </c>
      <c r="AO162" s="59">
        <f t="shared" si="144"/>
        <v>210.5345332979457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98.205565177068038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98.205565177068038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254.6443970237226</v>
      </c>
      <c r="BJ162" s="59">
        <f t="shared" si="146"/>
        <v>231.81667808018062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36.118322235564086</v>
      </c>
      <c r="BQ162" s="21">
        <f>EXP(-LN(2)/25)*BQ161+(1-EXP(-LN(2)/25))/(LN(2)/25)*Calculateur!BL162*Calculateur!BN162*VLOOKUP('Données projet'!$B$11,Paramètres!$A$1:$I$89,3,0)*0.475*44/12</f>
        <v>4.6997790525202534</v>
      </c>
      <c r="BR162" s="21">
        <f>EXP(-LN(2)/2)*BR161+(1-EXP(-LN(2)/2))/(LN(2)/2)*BL162*BO162*VLOOKUP('Données projet'!$B$11,Paramètres!$A$1:$I$89,3,0)*0.475*44/12</f>
        <v>1.6010365064124128E-12</v>
      </c>
      <c r="BS162" s="22">
        <f t="shared" si="169"/>
        <v>40.818101288085941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1.1618589743589709</v>
      </c>
      <c r="BY162" s="12">
        <f>IF('Données projet'!$A$114&gt;35,BY161+BX162-CG161,IF(A162&lt;'Données projet'!$A$114,$BV$205^A162,IF(A162='Données projet'!$A$114,'Données projet'!$B$114,BY161+BX162-CG161)))</f>
        <v>89.041666666666202</v>
      </c>
      <c r="BZ162" s="13">
        <f>BY162*VLOOKUP('Données projet'!$B$12,Paramètres!$A$1:$I$89,3,0)*VLOOKUP('Données projet'!$B$12,Paramètres!$A$1:$I$89,5,0)</f>
        <v>90.288249999999536</v>
      </c>
      <c r="CA162" s="13">
        <f t="shared" si="170"/>
        <v>24.634731009832841</v>
      </c>
      <c r="CB162" s="20">
        <f t="shared" si="171"/>
        <v>200.15752525879137</v>
      </c>
      <c r="CC162" s="59">
        <f t="shared" si="119"/>
        <v>493.49085859212471</v>
      </c>
      <c r="CD162" s="59">
        <f ca="1">AVERAGE(OFFSET($CC$3,0,0,'Données projet'!$E$12+1,1))-AVERAGE(OFFSET($H$3,0,0,'Données projet'!$E$12+1,1))</f>
        <v>264.08050363622294</v>
      </c>
      <c r="CE162" s="59">
        <f t="shared" si="148"/>
        <v>164.48884512322883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124.49441883622828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124.49441883622828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194.7221767407824</v>
      </c>
      <c r="CZ162" s="59">
        <f t="shared" si="150"/>
        <v>177.6550559568646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28.558673395562337</v>
      </c>
      <c r="DG162" s="21">
        <f>EXP(-LN(2)/25)*DG161+(1-EXP(-LN(2)/25))/(LN(2)/25)*Calculateur!DB162*Calculateur!DD162*VLOOKUP('Données projet'!$B$13,Paramètres!$A$1:$I$89,3,0)*0.475*44/12</f>
        <v>3.7161043671090441</v>
      </c>
      <c r="DH162" s="21">
        <f>EXP(-LN(2)/2)*DH161+(1-EXP(-LN(2)/2))/(LN(2)/2)*DB162*DE162*VLOOKUP('Données projet'!$B$13,Paramètres!$A$1:$I$89,3,0)*0.475*44/12</f>
        <v>1.2659358422795905E-12</v>
      </c>
      <c r="DI162" s="22">
        <f t="shared" si="175"/>
        <v>32.274777762672649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3.4106051316484809E-13</v>
      </c>
      <c r="DP162" s="17">
        <f>DO162*VLOOKUP('Données projet'!$B$14,Paramètres!$A$1:$I$89,3,0)*VLOOKUP('Données projet'!$B$14,Paramètres!$A$1:$I$89,5,0)</f>
        <v>1.5961632016114892E-13</v>
      </c>
      <c r="DQ162" s="13">
        <f t="shared" si="176"/>
        <v>2.2708641912150958E-12</v>
      </c>
      <c r="DR162" s="20">
        <f t="shared" si="177"/>
        <v>4.2330868906469593E-12</v>
      </c>
      <c r="DS162" s="59">
        <f t="shared" si="125"/>
        <v>293.33333333333752</v>
      </c>
      <c r="DT162" s="59">
        <f ca="1">AVERAGE(OFFSET($DS$3,0,0,'Données projet'!$E$14+1,1))-AVERAGE(OFFSET($H$3,0,0,'Données projet'!$E$14+1,1))</f>
        <v>207.25176714718668</v>
      </c>
      <c r="DU162" s="59">
        <f t="shared" si="152"/>
        <v>191.53228014642559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60.136723072506221</v>
      </c>
      <c r="EB162" s="21">
        <f>EXP(-LN(2)/25)*EB161+(1-EXP(-LN(2)/25))/(LN(2)/25)*Calculateur!DW162*Calculateur!DY162*VLOOKUP('Données projet'!$B$14,Paramètres!$A$1:$I$89,3,0)*0.475*44/12</f>
        <v>9.8276403309635292</v>
      </c>
      <c r="EC162" s="21">
        <f>EXP(-LN(2)/2)*EC161+(1-EXP(-LN(2)/2))/(LN(2)/2)*DW162*DZ162*VLOOKUP('Données projet'!$B$14,Paramètres!$A$1:$I$89,3,0)*0.475*44/12</f>
        <v>1.6530335876459344E-7</v>
      </c>
      <c r="ED162" s="22">
        <f t="shared" si="178"/>
        <v>69.964363568773109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-2.8421709430404007E-13</v>
      </c>
      <c r="EK162" s="17">
        <f>EJ162*VLOOKUP('Données projet'!$B$15,Paramètres!$A$1:$I$89,3,0)*VLOOKUP('Données projet'!$B$15,Paramètres!$A$1:$I$89,5,0)</f>
        <v>-1.69961822393816E-13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200.15574321350221</v>
      </c>
      <c r="EP162" s="59">
        <f t="shared" si="154"/>
        <v>200.70728852570426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18.261181757895493</v>
      </c>
      <c r="EW162" s="21">
        <f>EXP(-LN(2)/25)*EW161+(1-EXP(-LN(2)/25))/(LN(2)/25)*Calculateur!ER162*Calculateur!ET162*VLOOKUP('Données projet'!$B$15,Paramètres!$A$1:$I$89,3,0)*0.475*44/12</f>
        <v>2.3221353517006493</v>
      </c>
      <c r="EX162" s="21">
        <f>EXP(-LN(2)/2)*EX161+(1-EXP(-LN(2)/2))/(LN(2)/2)*ER162*EU162*VLOOKUP('Données projet'!$B$15,Paramètres!$A$1:$I$89,3,0)*0.475*44/12</f>
        <v>4.0147701897733765E-14</v>
      </c>
      <c r="EY162" s="22">
        <f t="shared" si="181"/>
        <v>20.58331710959618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5.6843418860808015E-13</v>
      </c>
      <c r="FF162" s="17">
        <f>FE162*VLOOKUP('Données projet'!$B$16,Paramètres!$A$1:$I$89,3,0)*VLOOKUP('Données projet'!$B$16,Paramètres!$A$1:$I$89,5,0)</f>
        <v>6.1186256061773743E-13</v>
      </c>
      <c r="FG162" s="13">
        <f t="shared" si="182"/>
        <v>7.4445668332430206E-12</v>
      </c>
      <c r="FH162" s="20">
        <f t="shared" si="183"/>
        <v>1.4031614527640822E-11</v>
      </c>
      <c r="FI162" s="59">
        <f t="shared" si="131"/>
        <v>293.33333333334735</v>
      </c>
      <c r="FJ162" s="59">
        <f ca="1">AVERAGE(OFFSET($FI$3,0,0,'Données projet'!$E$16+1,1))-AVERAGE(OFFSET($H$3,0,0,'Données projet'!$E$16+1,1))</f>
        <v>347.17049316703486</v>
      </c>
      <c r="FK162" s="59">
        <f t="shared" si="156"/>
        <v>255.45365487683489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116.83075857271885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116.83075857271885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7">
        <f t="shared" si="110"/>
        <v>460.11627311166262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266.02599413192075</v>
      </c>
      <c r="T163" s="59">
        <f t="shared" si="142"/>
        <v>332.94146254783254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5.1431925385259092E-13</v>
      </c>
      <c r="AK163" s="13">
        <f t="shared" si="164"/>
        <v>6.3855359115685756E-12</v>
      </c>
      <c r="AL163" s="20">
        <f t="shared" si="165"/>
        <v>1.2017247746441865E-11</v>
      </c>
      <c r="AM163" s="59">
        <f t="shared" si="113"/>
        <v>293.33333333334531</v>
      </c>
      <c r="AN163" s="59">
        <f ca="1">AVERAGE(OFFSET($AM$3,0,0,'Données projet'!$E$10+1,1))-AVERAGE(OFFSET($H$3,0,0,'Données projet'!$E$10+1,1))</f>
        <v>282.13645166362238</v>
      </c>
      <c r="AO163" s="59">
        <f t="shared" si="144"/>
        <v>210.5345332979457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96.279813943425907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96.279813943425907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254.6443970237226</v>
      </c>
      <c r="BJ163" s="59">
        <f t="shared" si="146"/>
        <v>231.81667808018062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35.410063966525954</v>
      </c>
      <c r="BQ163" s="21">
        <f>EXP(-LN(2)/25)*BQ162+(1-EXP(-LN(2)/25))/(LN(2)/25)*Calculateur!BL163*Calculateur!BN163*VLOOKUP('Données projet'!$B$11,Paramètres!$A$1:$I$89,3,0)*0.475*44/12</f>
        <v>4.5712633471784478</v>
      </c>
      <c r="BR163" s="21">
        <f>EXP(-LN(2)/2)*BR162+(1-EXP(-LN(2)/2))/(LN(2)/2)*BL163*BO163*VLOOKUP('Données projet'!$B$11,Paramètres!$A$1:$I$89,3,0)*0.475*44/12</f>
        <v>1.1321037706114364E-12</v>
      </c>
      <c r="BS163" s="22">
        <f t="shared" si="169"/>
        <v>39.981327313705528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1.1618589743589709</v>
      </c>
      <c r="BY163" s="12">
        <f>IF('Données projet'!$A$114&gt;35,BY162+BX163-CG162,IF(A163&lt;'Données projet'!$A$114,$BV$205^A163,IF(A163='Données projet'!$A$114,'Données projet'!$B$114,BY162+BX163-CG162)))</f>
        <v>90.20352564102518</v>
      </c>
      <c r="BZ163" s="13">
        <f>BY163*VLOOKUP('Données projet'!$B$12,Paramètres!$A$1:$I$89,3,0)*VLOOKUP('Données projet'!$B$12,Paramètres!$A$1:$I$89,5,0)</f>
        <v>91.466374999999545</v>
      </c>
      <c r="CA163" s="13">
        <f t="shared" si="170"/>
        <v>24.918545994850898</v>
      </c>
      <c r="CB163" s="20">
        <f t="shared" si="171"/>
        <v>202.70373739936451</v>
      </c>
      <c r="CC163" s="59">
        <f t="shared" si="119"/>
        <v>496.03707073269783</v>
      </c>
      <c r="CD163" s="59">
        <f ca="1">AVERAGE(OFFSET($CC$3,0,0,'Données projet'!$E$12+1,1))-AVERAGE(OFFSET($H$3,0,0,'Données projet'!$E$12+1,1))</f>
        <v>264.08050363622294</v>
      </c>
      <c r="CE163" s="59">
        <f t="shared" si="148"/>
        <v>164.48884512322883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122.05315921694746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122.05315921694746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194.7221767407824</v>
      </c>
      <c r="CZ163" s="59">
        <f t="shared" si="150"/>
        <v>177.6550559568646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27.998655229346141</v>
      </c>
      <c r="DG163" s="21">
        <f>EXP(-LN(2)/25)*DG162+(1-EXP(-LN(2)/25))/(LN(2)/25)*Calculateur!DB163*Calculateur!DD163*VLOOKUP('Données projet'!$B$13,Paramètres!$A$1:$I$89,3,0)*0.475*44/12</f>
        <v>3.6144872977690121</v>
      </c>
      <c r="DH163" s="21">
        <f>EXP(-LN(2)/2)*DH162+(1-EXP(-LN(2)/2))/(LN(2)/2)*DB163*DE163*VLOOKUP('Données projet'!$B$13,Paramètres!$A$1:$I$89,3,0)*0.475*44/12</f>
        <v>8.9515181862300225E-13</v>
      </c>
      <c r="DI163" s="22">
        <f t="shared" si="175"/>
        <v>31.61314252711605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3.4106051316484809E-13</v>
      </c>
      <c r="DP163" s="17">
        <f>DO163*VLOOKUP('Données projet'!$B$14,Paramètres!$A$1:$I$89,3,0)*VLOOKUP('Données projet'!$B$14,Paramètres!$A$1:$I$89,5,0)</f>
        <v>1.5961632016114892E-13</v>
      </c>
      <c r="DQ163" s="13">
        <f t="shared" si="176"/>
        <v>2.2708641912150958E-12</v>
      </c>
      <c r="DR163" s="20">
        <f t="shared" si="177"/>
        <v>4.2330868906469593E-12</v>
      </c>
      <c r="DS163" s="59">
        <f t="shared" si="125"/>
        <v>293.33333333333752</v>
      </c>
      <c r="DT163" s="59">
        <f ca="1">AVERAGE(OFFSET($DS$3,0,0,'Données projet'!$E$14+1,1))-AVERAGE(OFFSET($H$3,0,0,'Données projet'!$E$14+1,1))</f>
        <v>207.25176714718668</v>
      </c>
      <c r="DU163" s="59">
        <f t="shared" si="152"/>
        <v>191.53228014642559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58.957478612833619</v>
      </c>
      <c r="EB163" s="21">
        <f>EXP(-LN(2)/25)*EB162+(1-EXP(-LN(2)/25))/(LN(2)/25)*Calculateur!DW163*Calculateur!DY163*VLOOKUP('Données projet'!$B$14,Paramètres!$A$1:$I$89,3,0)*0.475*44/12</f>
        <v>9.5589029893001882</v>
      </c>
      <c r="EC163" s="21">
        <f>EXP(-LN(2)/2)*EC162+(1-EXP(-LN(2)/2))/(LN(2)/2)*DW163*DZ163*VLOOKUP('Données projet'!$B$14,Paramètres!$A$1:$I$89,3,0)*0.475*44/12</f>
        <v>1.1688712593535675E-7</v>
      </c>
      <c r="ED163" s="22">
        <f t="shared" si="178"/>
        <v>68.516381719020927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-2.8421709430404007E-13</v>
      </c>
      <c r="EK163" s="17">
        <f>EJ163*VLOOKUP('Données projet'!$B$15,Paramètres!$A$1:$I$89,3,0)*VLOOKUP('Données projet'!$B$15,Paramètres!$A$1:$I$89,5,0)</f>
        <v>-1.69961822393816E-13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200.15574321350221</v>
      </c>
      <c r="EP163" s="59">
        <f t="shared" si="154"/>
        <v>200.70728852570426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17.903091121844227</v>
      </c>
      <c r="EW163" s="21">
        <f>EXP(-LN(2)/25)*EW162+(1-EXP(-LN(2)/25))/(LN(2)/25)*Calculateur!ER163*Calculateur!ET163*VLOOKUP('Données projet'!$B$15,Paramètres!$A$1:$I$89,3,0)*0.475*44/12</f>
        <v>2.2586364383926041</v>
      </c>
      <c r="EX163" s="21">
        <f>EXP(-LN(2)/2)*EX162+(1-EXP(-LN(2)/2))/(LN(2)/2)*ER163*EU163*VLOOKUP('Données projet'!$B$15,Paramètres!$A$1:$I$89,3,0)*0.475*44/12</f>
        <v>2.838871226094357E-14</v>
      </c>
      <c r="EY163" s="22">
        <f t="shared" si="181"/>
        <v>20.161727560236859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5.6843418860808015E-13</v>
      </c>
      <c r="FF163" s="17">
        <f>FE163*VLOOKUP('Données projet'!$B$16,Paramètres!$A$1:$I$89,3,0)*VLOOKUP('Données projet'!$B$16,Paramètres!$A$1:$I$89,5,0)</f>
        <v>6.1186256061773743E-13</v>
      </c>
      <c r="FG163" s="13">
        <f t="shared" si="182"/>
        <v>7.4445668332430206E-12</v>
      </c>
      <c r="FH163" s="20">
        <f t="shared" si="183"/>
        <v>1.4031614527640822E-11</v>
      </c>
      <c r="FI163" s="59">
        <f t="shared" si="131"/>
        <v>293.33333333334735</v>
      </c>
      <c r="FJ163" s="59">
        <f ca="1">AVERAGE(OFFSET($FI$3,0,0,'Données projet'!$E$16+1,1))-AVERAGE(OFFSET($H$3,0,0,'Données projet'!$E$16+1,1))</f>
        <v>347.17049316703486</v>
      </c>
      <c r="FK163" s="59">
        <f t="shared" si="156"/>
        <v>255.45365487683489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114.53977865683424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114.53977865683424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7">
        <f t="shared" si="110"/>
        <v>461.13213665169121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266.02599413192075</v>
      </c>
      <c r="T164" s="59">
        <f t="shared" si="142"/>
        <v>332.94146254783254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5.1431925385259092E-13</v>
      </c>
      <c r="AK164" s="13">
        <f t="shared" si="164"/>
        <v>6.3855359115685756E-12</v>
      </c>
      <c r="AL164" s="20">
        <f t="shared" si="165"/>
        <v>1.2017247746441865E-11</v>
      </c>
      <c r="AM164" s="59">
        <f t="shared" si="113"/>
        <v>293.33333333334531</v>
      </c>
      <c r="AN164" s="59">
        <f ca="1">AVERAGE(OFFSET($AM$3,0,0,'Données projet'!$E$10+1,1))-AVERAGE(OFFSET($H$3,0,0,'Données projet'!$E$10+1,1))</f>
        <v>282.13645166362238</v>
      </c>
      <c r="AO164" s="59">
        <f t="shared" si="144"/>
        <v>210.5345332979457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94.39182551688323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94.39182551688323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254.6443970237226</v>
      </c>
      <c r="BJ164" s="59">
        <f t="shared" si="146"/>
        <v>231.81667808018062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34.715694210148776</v>
      </c>
      <c r="BQ164" s="21">
        <f>EXP(-LN(2)/25)*BQ163+(1-EXP(-LN(2)/25))/(LN(2)/25)*Calculateur!BL164*Calculateur!BN164*VLOOKUP('Données projet'!$B$11,Paramètres!$A$1:$I$89,3,0)*0.475*44/12</f>
        <v>4.4462619105575616</v>
      </c>
      <c r="BR164" s="21">
        <f>EXP(-LN(2)/2)*BR163+(1-EXP(-LN(2)/2))/(LN(2)/2)*BL164*BO164*VLOOKUP('Données projet'!$B$11,Paramètres!$A$1:$I$89,3,0)*0.475*44/12</f>
        <v>8.0051825320620638E-13</v>
      </c>
      <c r="BS164" s="22">
        <f t="shared" si="169"/>
        <v>39.161956120707138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>
        <f>VLOOKUP(A164,'Données projet'!$A$113:$I$133,2,0)</f>
        <v>91.365384615384613</v>
      </c>
      <c r="BW164" s="12">
        <f>VLOOKUP(A164,'Données projet'!$A$113:$I$133,9,0)</f>
        <v>1.1618589743589709</v>
      </c>
      <c r="BX164" s="12">
        <f t="array" ref="BX164">INDEX(BW:BW,MIN(IF(ISNUMBER(BW164:BW360),ROW(BW164:BW360),"")))</f>
        <v>1.1618589743589709</v>
      </c>
      <c r="BY164" s="12">
        <f>IF('Données projet'!$A$114&gt;35,BY163+BX164-CG163,IF(A164&lt;'Données projet'!$A$114,$BV$205^A164,IF(A164='Données projet'!$A$114,'Données projet'!$B$114,BY163+BX164-CG163)))</f>
        <v>91.365384615384158</v>
      </c>
      <c r="BZ164" s="13">
        <f>BY164*VLOOKUP('Données projet'!$B$12,Paramètres!$A$1:$I$89,3,0)*VLOOKUP('Données projet'!$B$12,Paramètres!$A$1:$I$89,5,0)</f>
        <v>92.644499999999539</v>
      </c>
      <c r="CA164" s="13">
        <f t="shared" si="170"/>
        <v>25.201935767997217</v>
      </c>
      <c r="CB164" s="20">
        <f t="shared" si="171"/>
        <v>205.24920896259434</v>
      </c>
      <c r="CC164" s="59">
        <f t="shared" si="119"/>
        <v>498.58254229592762</v>
      </c>
      <c r="CD164" s="59">
        <f ca="1">AVERAGE(OFFSET($CC$3,0,0,'Données projet'!$E$12+1,1))-AVERAGE(OFFSET($H$3,0,0,'Données projet'!$E$12+1,1))</f>
        <v>264.08050363622294</v>
      </c>
      <c r="CE164" s="59">
        <f t="shared" si="148"/>
        <v>164.48884512322883</v>
      </c>
      <c r="CF164" s="15">
        <f>IF(ISNA(VLOOKUP(A164,'Données projet'!$A$113:$I$133,3,0)),0,VLOOKUP(A164,'Données projet'!$A$113:$I$133,3,0))</f>
        <v>15</v>
      </c>
      <c r="CG164" s="15">
        <f>IF(ISNA(VLOOKUP(A164,'Données projet'!$A$113:$I$133,4,0)),0,VLOOKUP(A164,'Données projet'!$A$113:$I$133,4,0))</f>
        <v>91.365384615384613</v>
      </c>
      <c r="CH164" s="16">
        <f>IF(ISNA(VLOOKUP(A164,'Données projet'!$A$113:$I$133,5,0)),0%,VLOOKUP(A164,'Données projet'!$A$113:$I$133,5,0)*VLOOKUP('Données projet'!$B$12,Paramètres!$A$1:$I$89,7,0))</f>
        <v>0.38700000000000001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159.29466668293924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159.29466668293924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194.7221767407824</v>
      </c>
      <c r="CZ164" s="59">
        <f t="shared" si="150"/>
        <v>177.6550559568646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27.449618677792092</v>
      </c>
      <c r="DG164" s="21">
        <f>EXP(-LN(2)/25)*DG163+(1-EXP(-LN(2)/25))/(LN(2)/25)*Calculateur!DB164*Calculateur!DD164*VLOOKUP('Données projet'!$B$13,Paramètres!$A$1:$I$89,3,0)*0.475*44/12</f>
        <v>3.5156489525338923</v>
      </c>
      <c r="DH164" s="21">
        <f>EXP(-LN(2)/2)*DH163+(1-EXP(-LN(2)/2))/(LN(2)/2)*DB164*DE164*VLOOKUP('Données projet'!$B$13,Paramètres!$A$1:$I$89,3,0)*0.475*44/12</f>
        <v>6.3296792113979536E-13</v>
      </c>
      <c r="DI164" s="22">
        <f t="shared" si="175"/>
        <v>30.965267630326615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3.4106051316484809E-13</v>
      </c>
      <c r="DP164" s="17">
        <f>DO164*VLOOKUP('Données projet'!$B$14,Paramètres!$A$1:$I$89,3,0)*VLOOKUP('Données projet'!$B$14,Paramètres!$A$1:$I$89,5,0)</f>
        <v>1.5961632016114892E-13</v>
      </c>
      <c r="DQ164" s="13">
        <f t="shared" si="176"/>
        <v>2.2708641912150958E-12</v>
      </c>
      <c r="DR164" s="20">
        <f t="shared" si="177"/>
        <v>4.2330868906469593E-12</v>
      </c>
      <c r="DS164" s="59">
        <f t="shared" si="125"/>
        <v>293.33333333333752</v>
      </c>
      <c r="DT164" s="59">
        <f ca="1">AVERAGE(OFFSET($DS$3,0,0,'Données projet'!$E$14+1,1))-AVERAGE(OFFSET($H$3,0,0,'Données projet'!$E$14+1,1))</f>
        <v>207.25176714718668</v>
      </c>
      <c r="DU164" s="59">
        <f t="shared" si="152"/>
        <v>191.53228014642559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57.801358417747096</v>
      </c>
      <c r="EB164" s="21">
        <f>EXP(-LN(2)/25)*EB163+(1-EXP(-LN(2)/25))/(LN(2)/25)*Calculateur!DW164*Calculateur!DY164*VLOOKUP('Données projet'!$B$14,Paramètres!$A$1:$I$89,3,0)*0.475*44/12</f>
        <v>9.2975142843769127</v>
      </c>
      <c r="EC164" s="21">
        <f>EXP(-LN(2)/2)*EC163+(1-EXP(-LN(2)/2))/(LN(2)/2)*DW164*DZ164*VLOOKUP('Données projet'!$B$14,Paramètres!$A$1:$I$89,3,0)*0.475*44/12</f>
        <v>8.2651679382296732E-8</v>
      </c>
      <c r="ED164" s="22">
        <f t="shared" si="178"/>
        <v>67.098872784775693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-2.8421709430404007E-13</v>
      </c>
      <c r="EK164" s="17">
        <f>EJ164*VLOOKUP('Données projet'!$B$15,Paramètres!$A$1:$I$89,3,0)*VLOOKUP('Données projet'!$B$15,Paramètres!$A$1:$I$89,5,0)</f>
        <v>-1.69961822393816E-13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200.15574321350221</v>
      </c>
      <c r="EP164" s="59">
        <f t="shared" si="154"/>
        <v>200.70728852570426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17.552022424752206</v>
      </c>
      <c r="EW164" s="21">
        <f>EXP(-LN(2)/25)*EW163+(1-EXP(-LN(2)/25))/(LN(2)/25)*Calculateur!ER164*Calculateur!ET164*VLOOKUP('Données projet'!$B$15,Paramètres!$A$1:$I$89,3,0)*0.475*44/12</f>
        <v>2.1968739062082303</v>
      </c>
      <c r="EX164" s="21">
        <f>EXP(-LN(2)/2)*EX163+(1-EXP(-LN(2)/2))/(LN(2)/2)*ER164*EU164*VLOOKUP('Données projet'!$B$15,Paramètres!$A$1:$I$89,3,0)*0.475*44/12</f>
        <v>2.0073850948866886E-14</v>
      </c>
      <c r="EY164" s="22">
        <f t="shared" si="181"/>
        <v>19.748896330960456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5.6843418860808015E-13</v>
      </c>
      <c r="FF164" s="17">
        <f>FE164*VLOOKUP('Données projet'!$B$16,Paramètres!$A$1:$I$89,3,0)*VLOOKUP('Données projet'!$B$16,Paramètres!$A$1:$I$89,5,0)</f>
        <v>6.1186256061773743E-13</v>
      </c>
      <c r="FG164" s="13">
        <f t="shared" si="182"/>
        <v>7.4445668332430206E-12</v>
      </c>
      <c r="FH164" s="20">
        <f t="shared" si="183"/>
        <v>1.4031614527640822E-11</v>
      </c>
      <c r="FI164" s="59">
        <f t="shared" si="131"/>
        <v>293.33333333334735</v>
      </c>
      <c r="FJ164" s="59">
        <f ca="1">AVERAGE(OFFSET($FI$3,0,0,'Données projet'!$E$16+1,1))-AVERAGE(OFFSET($H$3,0,0,'Données projet'!$E$16+1,1))</f>
        <v>347.17049316703486</v>
      </c>
      <c r="FK164" s="59">
        <f t="shared" si="156"/>
        <v>255.45365487683489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112.29372345974036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112.29372345974036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7">
        <f t="shared" si="110"/>
        <v>462.1478550948915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266.02599413192075</v>
      </c>
      <c r="T165" s="59">
        <f t="shared" si="142"/>
        <v>332.94146254783254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5.1431925385259092E-13</v>
      </c>
      <c r="AK165" s="13">
        <f t="shared" si="164"/>
        <v>6.3855359115685756E-12</v>
      </c>
      <c r="AL165" s="20">
        <f t="shared" si="165"/>
        <v>1.2017247746441865E-11</v>
      </c>
      <c r="AM165" s="59">
        <f t="shared" si="113"/>
        <v>293.33333333334531</v>
      </c>
      <c r="AN165" s="59">
        <f ca="1">AVERAGE(OFFSET($AM$3,0,0,'Données projet'!$E$10+1,1))-AVERAGE(OFFSET($H$3,0,0,'Données projet'!$E$10+1,1))</f>
        <v>282.13645166362238</v>
      </c>
      <c r="AO165" s="59">
        <f t="shared" si="144"/>
        <v>210.5345332979457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92.540859391825819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92.540859391825819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254.6443970237226</v>
      </c>
      <c r="BJ165" s="59">
        <f t="shared" si="146"/>
        <v>231.81667808018062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34.034940621170421</v>
      </c>
      <c r="BQ165" s="21">
        <f>EXP(-LN(2)/25)*BQ164+(1-EXP(-LN(2)/25))/(LN(2)/25)*Calculateur!BL165*Calculateur!BN165*VLOOKUP('Données projet'!$B$11,Paramètres!$A$1:$I$89,3,0)*0.475*44/12</f>
        <v>4.3246786447946128</v>
      </c>
      <c r="BR165" s="21">
        <f>EXP(-LN(2)/2)*BR164+(1-EXP(-LN(2)/2))/(LN(2)/2)*BL165*BO165*VLOOKUP('Données projet'!$B$11,Paramètres!$A$1:$I$89,3,0)*0.475*44/12</f>
        <v>5.6605188530571821E-13</v>
      </c>
      <c r="BS165" s="22">
        <f t="shared" si="169"/>
        <v>38.359619265965605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-4.5474735088646412E-13</v>
      </c>
      <c r="BZ165" s="13">
        <f>BY165*VLOOKUP('Données projet'!$B$12,Paramètres!$A$1:$I$89,3,0)*VLOOKUP('Données projet'!$B$12,Paramètres!$A$1:$I$89,5,0)</f>
        <v>-4.6111381379887462E-13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264.08050363622294</v>
      </c>
      <c r="CE165" s="59">
        <f t="shared" si="148"/>
        <v>164.48884512322883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156.1709954294397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156.1709954294397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194.7221767407824</v>
      </c>
      <c r="CZ165" s="59">
        <f t="shared" si="150"/>
        <v>177.6550559568646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26.911348398134788</v>
      </c>
      <c r="DG165" s="21">
        <f>EXP(-LN(2)/25)*DG164+(1-EXP(-LN(2)/25))/(LN(2)/25)*Calculateur!DB165*Calculateur!DD165*VLOOKUP('Données projet'!$B$13,Paramètres!$A$1:$I$89,3,0)*0.475*44/12</f>
        <v>3.4195133470469097</v>
      </c>
      <c r="DH165" s="21">
        <f>EXP(-LN(2)/2)*DH164+(1-EXP(-LN(2)/2))/(LN(2)/2)*DB165*DE165*VLOOKUP('Données projet'!$B$13,Paramètres!$A$1:$I$89,3,0)*0.475*44/12</f>
        <v>4.4757590931150117E-13</v>
      </c>
      <c r="DI165" s="22">
        <f t="shared" si="175"/>
        <v>30.330861745182144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3.4106051316484809E-13</v>
      </c>
      <c r="DP165" s="17">
        <f>DO165*VLOOKUP('Données projet'!$B$14,Paramètres!$A$1:$I$89,3,0)*VLOOKUP('Données projet'!$B$14,Paramètres!$A$1:$I$89,5,0)</f>
        <v>1.5961632016114892E-13</v>
      </c>
      <c r="DQ165" s="13">
        <f t="shared" si="176"/>
        <v>2.2708641912150958E-12</v>
      </c>
      <c r="DR165" s="20">
        <f t="shared" si="177"/>
        <v>4.2330868906469593E-12</v>
      </c>
      <c r="DS165" s="59">
        <f t="shared" si="125"/>
        <v>293.33333333333752</v>
      </c>
      <c r="DT165" s="59">
        <f ca="1">AVERAGE(OFFSET($DS$3,0,0,'Données projet'!$E$14+1,1))-AVERAGE(OFFSET($H$3,0,0,'Données projet'!$E$14+1,1))</f>
        <v>207.25176714718668</v>
      </c>
      <c r="DU165" s="59">
        <f t="shared" si="152"/>
        <v>191.53228014642559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56.66790903452253</v>
      </c>
      <c r="EB165" s="21">
        <f>EXP(-LN(2)/25)*EB164+(1-EXP(-LN(2)/25))/(LN(2)/25)*Calculateur!DW165*Calculateur!DY165*VLOOKUP('Données projet'!$B$14,Paramètres!$A$1:$I$89,3,0)*0.475*44/12</f>
        <v>9.0432732673356</v>
      </c>
      <c r="EC165" s="21">
        <f>EXP(-LN(2)/2)*EC164+(1-EXP(-LN(2)/2))/(LN(2)/2)*DW165*DZ165*VLOOKUP('Données projet'!$B$14,Paramètres!$A$1:$I$89,3,0)*0.475*44/12</f>
        <v>5.8443562967678381E-8</v>
      </c>
      <c r="ED165" s="22">
        <f t="shared" si="178"/>
        <v>65.711182360301692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-2.8421709430404007E-13</v>
      </c>
      <c r="EK165" s="17">
        <f>EJ165*VLOOKUP('Données projet'!$B$15,Paramètres!$A$1:$I$89,3,0)*VLOOKUP('Données projet'!$B$15,Paramètres!$A$1:$I$89,5,0)</f>
        <v>-1.69961822393816E-13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200.15574321350221</v>
      </c>
      <c r="EP165" s="59">
        <f t="shared" si="154"/>
        <v>200.70728852570426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17.207837970679396</v>
      </c>
      <c r="EW165" s="21">
        <f>EXP(-LN(2)/25)*EW164+(1-EXP(-LN(2)/25))/(LN(2)/25)*Calculateur!ER165*Calculateur!ET165*VLOOKUP('Données projet'!$B$15,Paramètres!$A$1:$I$89,3,0)*0.475*44/12</f>
        <v>2.1368002737143885</v>
      </c>
      <c r="EX165" s="21">
        <f>EXP(-LN(2)/2)*EX164+(1-EXP(-LN(2)/2))/(LN(2)/2)*ER165*EU165*VLOOKUP('Données projet'!$B$15,Paramètres!$A$1:$I$89,3,0)*0.475*44/12</f>
        <v>1.4194356130471787E-14</v>
      </c>
      <c r="EY165" s="22">
        <f t="shared" si="181"/>
        <v>19.344638244393799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5.6843418860808015E-13</v>
      </c>
      <c r="FF165" s="17">
        <f>FE165*VLOOKUP('Données projet'!$B$16,Paramètres!$A$1:$I$89,3,0)*VLOOKUP('Données projet'!$B$16,Paramètres!$A$1:$I$89,5,0)</f>
        <v>6.1186256061773743E-13</v>
      </c>
      <c r="FG165" s="13">
        <f t="shared" si="182"/>
        <v>7.4445668332430206E-12</v>
      </c>
      <c r="FH165" s="20">
        <f t="shared" si="183"/>
        <v>1.4031614527640822E-11</v>
      </c>
      <c r="FI165" s="59">
        <f t="shared" si="131"/>
        <v>293.33333333334735</v>
      </c>
      <c r="FJ165" s="59">
        <f ca="1">AVERAGE(OFFSET($FI$3,0,0,'Données projet'!$E$16+1,1))-AVERAGE(OFFSET($H$3,0,0,'Données projet'!$E$16+1,1))</f>
        <v>347.17049316703486</v>
      </c>
      <c r="FK165" s="59">
        <f t="shared" si="156"/>
        <v>255.45365487683489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110.0917120351031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110.0917120351031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7">
        <f t="shared" si="110"/>
        <v>463.16342944083124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266.02599413192075</v>
      </c>
      <c r="T166" s="59">
        <f t="shared" si="142"/>
        <v>332.94146254783254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5.1431925385259092E-13</v>
      </c>
      <c r="AK166" s="13">
        <f t="shared" si="164"/>
        <v>6.3855359115685756E-12</v>
      </c>
      <c r="AL166" s="20">
        <f t="shared" si="165"/>
        <v>1.2017247746441865E-11</v>
      </c>
      <c r="AM166" s="59">
        <f t="shared" si="113"/>
        <v>293.33333333334531</v>
      </c>
      <c r="AN166" s="59">
        <f ca="1">AVERAGE(OFFSET($AM$3,0,0,'Données projet'!$E$10+1,1))-AVERAGE(OFFSET($H$3,0,0,'Données projet'!$E$10+1,1))</f>
        <v>282.13645166362238</v>
      </c>
      <c r="AO166" s="59">
        <f t="shared" si="144"/>
        <v>210.5345332979457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90.726189583502929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90.726189583502929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254.6443970237226</v>
      </c>
      <c r="BJ166" s="59">
        <f t="shared" si="146"/>
        <v>231.81667808018062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33.367536194853244</v>
      </c>
      <c r="BQ166" s="21">
        <f>EXP(-LN(2)/25)*BQ165+(1-EXP(-LN(2)/25))/(LN(2)/25)*Calculateur!BL166*Calculateur!BN166*VLOOKUP('Données projet'!$B$11,Paramètres!$A$1:$I$89,3,0)*0.475*44/12</f>
        <v>4.2064200798277387</v>
      </c>
      <c r="BR166" s="21">
        <f>EXP(-LN(2)/2)*BR165+(1-EXP(-LN(2)/2))/(LN(2)/2)*BL166*BO166*VLOOKUP('Données projet'!$B$11,Paramètres!$A$1:$I$89,3,0)*0.475*44/12</f>
        <v>4.0025912660310319E-13</v>
      </c>
      <c r="BS166" s="22">
        <f t="shared" si="169"/>
        <v>37.573956274681379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-4.5474735088646412E-13</v>
      </c>
      <c r="BZ166" s="13">
        <f>BY166*VLOOKUP('Données projet'!$B$12,Paramètres!$A$1:$I$89,3,0)*VLOOKUP('Données projet'!$B$12,Paramètres!$A$1:$I$89,5,0)</f>
        <v>-4.6111381379887462E-13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264.08050363622294</v>
      </c>
      <c r="CE166" s="59">
        <f t="shared" si="148"/>
        <v>164.48884512322883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153.10857746396997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153.10857746396997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194.7221767407824</v>
      </c>
      <c r="CZ166" s="59">
        <f t="shared" si="150"/>
        <v>177.6550559568646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26.383633270349108</v>
      </c>
      <c r="DG166" s="21">
        <f>EXP(-LN(2)/25)*DG165+(1-EXP(-LN(2)/25))/(LN(2)/25)*Calculateur!DB166*Calculateur!DD166*VLOOKUP('Données projet'!$B$13,Paramètres!$A$1:$I$89,3,0)*0.475*44/12</f>
        <v>3.3260065747475203</v>
      </c>
      <c r="DH166" s="21">
        <f>EXP(-LN(2)/2)*DH165+(1-EXP(-LN(2)/2))/(LN(2)/2)*DB166*DE166*VLOOKUP('Données projet'!$B$13,Paramètres!$A$1:$I$89,3,0)*0.475*44/12</f>
        <v>3.1648396056989773E-13</v>
      </c>
      <c r="DI166" s="22">
        <f t="shared" si="175"/>
        <v>29.709639845096945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3.4106051316484809E-13</v>
      </c>
      <c r="DP166" s="17">
        <f>DO166*VLOOKUP('Données projet'!$B$14,Paramètres!$A$1:$I$89,3,0)*VLOOKUP('Données projet'!$B$14,Paramètres!$A$1:$I$89,5,0)</f>
        <v>1.5961632016114892E-13</v>
      </c>
      <c r="DQ166" s="13">
        <f t="shared" si="176"/>
        <v>2.2708641912150958E-12</v>
      </c>
      <c r="DR166" s="20">
        <f t="shared" si="177"/>
        <v>4.2330868906469593E-12</v>
      </c>
      <c r="DS166" s="59">
        <f t="shared" si="125"/>
        <v>293.33333333333752</v>
      </c>
      <c r="DT166" s="59">
        <f ca="1">AVERAGE(OFFSET($DS$3,0,0,'Données projet'!$E$14+1,1))-AVERAGE(OFFSET($H$3,0,0,'Données projet'!$E$14+1,1))</f>
        <v>207.25176714718668</v>
      </c>
      <c r="DU166" s="59">
        <f t="shared" si="152"/>
        <v>191.53228014642559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55.556685902367143</v>
      </c>
      <c r="EB166" s="21">
        <f>EXP(-LN(2)/25)*EB165+(1-EXP(-LN(2)/25))/(LN(2)/25)*Calculateur!DW166*Calculateur!DY166*VLOOKUP('Données projet'!$B$14,Paramètres!$A$1:$I$89,3,0)*0.475*44/12</f>
        <v>8.7959844842752357</v>
      </c>
      <c r="EC166" s="21">
        <f>EXP(-LN(2)/2)*EC165+(1-EXP(-LN(2)/2))/(LN(2)/2)*DW166*DZ166*VLOOKUP('Données projet'!$B$14,Paramètres!$A$1:$I$89,3,0)*0.475*44/12</f>
        <v>4.1325839691148372E-8</v>
      </c>
      <c r="ED166" s="22">
        <f t="shared" si="178"/>
        <v>64.352670427968206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-2.8421709430404007E-13</v>
      </c>
      <c r="EK166" s="17">
        <f>EJ166*VLOOKUP('Données projet'!$B$15,Paramètres!$A$1:$I$89,3,0)*VLOOKUP('Données projet'!$B$15,Paramètres!$A$1:$I$89,5,0)</f>
        <v>-1.69961822393816E-13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200.15574321350221</v>
      </c>
      <c r="EP166" s="59">
        <f t="shared" si="154"/>
        <v>200.70728852570426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16.870402763819165</v>
      </c>
      <c r="EW166" s="21">
        <f>EXP(-LN(2)/25)*EW165+(1-EXP(-LN(2)/25))/(LN(2)/25)*Calculateur!ER166*Calculateur!ET166*VLOOKUP('Données projet'!$B$15,Paramètres!$A$1:$I$89,3,0)*0.475*44/12</f>
        <v>2.0783693578602258</v>
      </c>
      <c r="EX166" s="21">
        <f>EXP(-LN(2)/2)*EX165+(1-EXP(-LN(2)/2))/(LN(2)/2)*ER166*EU166*VLOOKUP('Données projet'!$B$15,Paramètres!$A$1:$I$89,3,0)*0.475*44/12</f>
        <v>1.0036925474433444E-14</v>
      </c>
      <c r="EY166" s="22">
        <f t="shared" si="181"/>
        <v>18.948772121679401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5.6843418860808015E-13</v>
      </c>
      <c r="FF166" s="17">
        <f>FE166*VLOOKUP('Données projet'!$B$16,Paramètres!$A$1:$I$89,3,0)*VLOOKUP('Données projet'!$B$16,Paramètres!$A$1:$I$89,5,0)</f>
        <v>6.1186256061773743E-13</v>
      </c>
      <c r="FG166" s="13">
        <f t="shared" si="182"/>
        <v>7.4445668332430206E-12</v>
      </c>
      <c r="FH166" s="20">
        <f t="shared" si="183"/>
        <v>1.4031614527640822E-11</v>
      </c>
      <c r="FI166" s="59">
        <f t="shared" si="131"/>
        <v>293.33333333334735</v>
      </c>
      <c r="FJ166" s="59">
        <f ca="1">AVERAGE(OFFSET($FI$3,0,0,'Données projet'!$E$16+1,1))-AVERAGE(OFFSET($H$3,0,0,'Données projet'!$E$16+1,1))</f>
        <v>347.17049316703486</v>
      </c>
      <c r="FK166" s="59">
        <f t="shared" si="156"/>
        <v>255.45365487683489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107.93288071140863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107.93288071140863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7">
        <f t="shared" si="110"/>
        <v>464.17886067610431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266.02599413192075</v>
      </c>
      <c r="T167" s="59">
        <f t="shared" si="142"/>
        <v>332.94146254783254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5.1431925385259092E-13</v>
      </c>
      <c r="AK167" s="13">
        <f t="shared" si="164"/>
        <v>6.3855359115685756E-12</v>
      </c>
      <c r="AL167" s="20">
        <f t="shared" si="165"/>
        <v>1.2017247746441865E-11</v>
      </c>
      <c r="AM167" s="59">
        <f t="shared" si="113"/>
        <v>293.33333333334531</v>
      </c>
      <c r="AN167" s="59">
        <f ca="1">AVERAGE(OFFSET($AM$3,0,0,'Données projet'!$E$10+1,1))-AVERAGE(OFFSET($H$3,0,0,'Données projet'!$E$10+1,1))</f>
        <v>282.13645166362238</v>
      </c>
      <c r="AO167" s="59">
        <f t="shared" si="144"/>
        <v>210.5345332979457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88.947104343281964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88.947104343281964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254.6443970237226</v>
      </c>
      <c r="BJ167" s="59">
        <f t="shared" si="146"/>
        <v>231.81667808018062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32.713219162259641</v>
      </c>
      <c r="BQ167" s="21">
        <f>EXP(-LN(2)/25)*BQ166+(1-EXP(-LN(2)/25))/(LN(2)/25)*Calculateur!BL167*Calculateur!BN167*VLOOKUP('Données projet'!$B$11,Paramètres!$A$1:$I$89,3,0)*0.475*44/12</f>
        <v>4.0913953015388307</v>
      </c>
      <c r="BR167" s="21">
        <f>EXP(-LN(2)/2)*BR166+(1-EXP(-LN(2)/2))/(LN(2)/2)*BL167*BO167*VLOOKUP('Données projet'!$B$11,Paramètres!$A$1:$I$89,3,0)*0.475*44/12</f>
        <v>2.8302594265285911E-13</v>
      </c>
      <c r="BS167" s="22">
        <f t="shared" si="169"/>
        <v>36.804614463798757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-4.5474735088646412E-13</v>
      </c>
      <c r="BZ167" s="13">
        <f>BY167*VLOOKUP('Données projet'!$B$12,Paramètres!$A$1:$I$89,3,0)*VLOOKUP('Données projet'!$B$12,Paramètres!$A$1:$I$89,5,0)</f>
        <v>-4.6111381379887462E-13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264.08050363622294</v>
      </c>
      <c r="CE167" s="59">
        <f t="shared" si="148"/>
        <v>164.48884512322883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150.10621164691256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150.10621164691256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194.7221767407824</v>
      </c>
      <c r="CZ167" s="59">
        <f t="shared" si="150"/>
        <v>177.6550559568646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25.866266314344863</v>
      </c>
      <c r="DG167" s="21">
        <f>EXP(-LN(2)/25)*DG166+(1-EXP(-LN(2)/25))/(LN(2)/25)*Calculateur!DB167*Calculateur!DD167*VLOOKUP('Données projet'!$B$13,Paramètres!$A$1:$I$89,3,0)*0.475*44/12</f>
        <v>3.2350567500539653</v>
      </c>
      <c r="DH167" s="21">
        <f>EXP(-LN(2)/2)*DH166+(1-EXP(-LN(2)/2))/(LN(2)/2)*DB167*DE167*VLOOKUP('Données projet'!$B$13,Paramètres!$A$1:$I$89,3,0)*0.475*44/12</f>
        <v>2.2378795465575061E-13</v>
      </c>
      <c r="DI167" s="22">
        <f t="shared" si="175"/>
        <v>29.10132306439905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3.4106051316484809E-13</v>
      </c>
      <c r="DP167" s="17">
        <f>DO167*VLOOKUP('Données projet'!$B$14,Paramètres!$A$1:$I$89,3,0)*VLOOKUP('Données projet'!$B$14,Paramètres!$A$1:$I$89,5,0)</f>
        <v>1.5961632016114892E-13</v>
      </c>
      <c r="DQ167" s="13">
        <f t="shared" si="176"/>
        <v>2.2708641912150958E-12</v>
      </c>
      <c r="DR167" s="20">
        <f t="shared" si="177"/>
        <v>4.2330868906469593E-12</v>
      </c>
      <c r="DS167" s="59">
        <f t="shared" si="125"/>
        <v>293.33333333333752</v>
      </c>
      <c r="DT167" s="59">
        <f ca="1">AVERAGE(OFFSET($DS$3,0,0,'Données projet'!$E$14+1,1))-AVERAGE(OFFSET($H$3,0,0,'Données projet'!$E$14+1,1))</f>
        <v>207.25176714718668</v>
      </c>
      <c r="DU167" s="59">
        <f t="shared" si="152"/>
        <v>191.53228014642559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54.467253178054136</v>
      </c>
      <c r="EB167" s="21">
        <f>EXP(-LN(2)/25)*EB166+(1-EXP(-LN(2)/25))/(LN(2)/25)*Calculateur!DW167*Calculateur!DY167*VLOOKUP('Données projet'!$B$14,Paramètres!$A$1:$I$89,3,0)*0.475*44/12</f>
        <v>8.5554578259920095</v>
      </c>
      <c r="EC167" s="21">
        <f>EXP(-LN(2)/2)*EC166+(1-EXP(-LN(2)/2))/(LN(2)/2)*DW167*DZ167*VLOOKUP('Données projet'!$B$14,Paramètres!$A$1:$I$89,3,0)*0.475*44/12</f>
        <v>2.9221781483839194E-8</v>
      </c>
      <c r="ED167" s="22">
        <f t="shared" si="178"/>
        <v>63.022711033267925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-2.8421709430404007E-13</v>
      </c>
      <c r="EK167" s="17">
        <f>EJ167*VLOOKUP('Données projet'!$B$15,Paramètres!$A$1:$I$89,3,0)*VLOOKUP('Données projet'!$B$15,Paramètres!$A$1:$I$89,5,0)</f>
        <v>-1.69961822393816E-13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200.15574321350221</v>
      </c>
      <c r="EP167" s="59">
        <f t="shared" si="154"/>
        <v>200.70728852570426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16.539584455550312</v>
      </c>
      <c r="EW167" s="21">
        <f>EXP(-LN(2)/25)*EW166+(1-EXP(-LN(2)/25))/(LN(2)/25)*Calculateur!ER167*Calculateur!ET167*VLOOKUP('Données projet'!$B$15,Paramètres!$A$1:$I$89,3,0)*0.475*44/12</f>
        <v>2.0215362384728435</v>
      </c>
      <c r="EX167" s="21">
        <f>EXP(-LN(2)/2)*EX166+(1-EXP(-LN(2)/2))/(LN(2)/2)*ER167*EU167*VLOOKUP('Données projet'!$B$15,Paramètres!$A$1:$I$89,3,0)*0.475*44/12</f>
        <v>7.0971780652358949E-15</v>
      </c>
      <c r="EY167" s="22">
        <f t="shared" si="181"/>
        <v>18.561120694023163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5.6843418860808015E-13</v>
      </c>
      <c r="FF167" s="17">
        <f>FE167*VLOOKUP('Données projet'!$B$16,Paramètres!$A$1:$I$89,3,0)*VLOOKUP('Données projet'!$B$16,Paramètres!$A$1:$I$89,5,0)</f>
        <v>6.1186256061773743E-13</v>
      </c>
      <c r="FG167" s="13">
        <f t="shared" si="182"/>
        <v>7.4445668332430206E-12</v>
      </c>
      <c r="FH167" s="20">
        <f t="shared" si="183"/>
        <v>1.4031614527640822E-11</v>
      </c>
      <c r="FI167" s="59">
        <f t="shared" si="131"/>
        <v>293.33333333334735</v>
      </c>
      <c r="FJ167" s="59">
        <f ca="1">AVERAGE(OFFSET($FI$3,0,0,'Données projet'!$E$16+1,1))-AVERAGE(OFFSET($H$3,0,0,'Données projet'!$E$16+1,1))</f>
        <v>347.17049316703486</v>
      </c>
      <c r="FK167" s="59">
        <f t="shared" si="156"/>
        <v>255.45365487683489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105.81638275321471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105.81638275321471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7">
        <f t="shared" si="110"/>
        <v>465.19414977457666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266.02599413192075</v>
      </c>
      <c r="T168" s="59">
        <f t="shared" si="142"/>
        <v>332.94146254783254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5.1431925385259092E-13</v>
      </c>
      <c r="AK168" s="13">
        <f t="shared" si="164"/>
        <v>6.3855359115685756E-12</v>
      </c>
      <c r="AL168" s="20">
        <f t="shared" si="165"/>
        <v>1.2017247746441865E-11</v>
      </c>
      <c r="AM168" s="59">
        <f t="shared" si="113"/>
        <v>293.33333333334531</v>
      </c>
      <c r="AN168" s="59">
        <f ca="1">AVERAGE(OFFSET($AM$3,0,0,'Données projet'!$E$10+1,1))-AVERAGE(OFFSET($H$3,0,0,'Données projet'!$E$10+1,1))</f>
        <v>282.13645166362238</v>
      </c>
      <c r="AO168" s="59">
        <f t="shared" si="144"/>
        <v>210.5345332979457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87.202905879486877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87.202905879486877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254.6443970237226</v>
      </c>
      <c r="BJ168" s="59">
        <f t="shared" si="146"/>
        <v>231.81667808018062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32.071732887581213</v>
      </c>
      <c r="BQ168" s="21">
        <f>EXP(-LN(2)/25)*BQ167+(1-EXP(-LN(2)/25))/(LN(2)/25)*Calculateur!BL168*Calculateur!BN168*VLOOKUP('Données projet'!$B$11,Paramètres!$A$1:$I$89,3,0)*0.475*44/12</f>
        <v>3.9795158818611234</v>
      </c>
      <c r="BR168" s="21">
        <f>EXP(-LN(2)/2)*BR167+(1-EXP(-LN(2)/2))/(LN(2)/2)*BL168*BO168*VLOOKUP('Données projet'!$B$11,Paramètres!$A$1:$I$89,3,0)*0.475*44/12</f>
        <v>2.001295633015516E-13</v>
      </c>
      <c r="BS168" s="22">
        <f t="shared" si="169"/>
        <v>36.051248769442537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-4.5474735088646412E-13</v>
      </c>
      <c r="BZ168" s="13">
        <f>BY168*VLOOKUP('Données projet'!$B$12,Paramètres!$A$1:$I$89,3,0)*VLOOKUP('Données projet'!$B$12,Paramètres!$A$1:$I$89,5,0)</f>
        <v>-4.6111381379887462E-13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264.08050363622294</v>
      </c>
      <c r="CE168" s="59">
        <f t="shared" si="148"/>
        <v>164.48884512322883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147.16272039226533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147.16272039226533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194.7221767407824</v>
      </c>
      <c r="CZ168" s="59">
        <f t="shared" si="150"/>
        <v>177.6550559568646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25.359044608785176</v>
      </c>
      <c r="DG168" s="21">
        <f>EXP(-LN(2)/25)*DG167+(1-EXP(-LN(2)/25))/(LN(2)/25)*Calculateur!DB168*Calculateur!DD168*VLOOKUP('Données projet'!$B$13,Paramètres!$A$1:$I$89,3,0)*0.475*44/12</f>
        <v>3.1465939530994991</v>
      </c>
      <c r="DH168" s="21">
        <f>EXP(-LN(2)/2)*DH167+(1-EXP(-LN(2)/2))/(LN(2)/2)*DB168*DE168*VLOOKUP('Données projet'!$B$13,Paramètres!$A$1:$I$89,3,0)*0.475*44/12</f>
        <v>1.5824198028494889E-13</v>
      </c>
      <c r="DI168" s="22">
        <f t="shared" si="175"/>
        <v>28.505638561884833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3.4106051316484809E-13</v>
      </c>
      <c r="DP168" s="17">
        <f>DO168*VLOOKUP('Données projet'!$B$14,Paramètres!$A$1:$I$89,3,0)*VLOOKUP('Données projet'!$B$14,Paramètres!$A$1:$I$89,5,0)</f>
        <v>1.5961632016114892E-13</v>
      </c>
      <c r="DQ168" s="13">
        <f t="shared" si="176"/>
        <v>2.2708641912150958E-12</v>
      </c>
      <c r="DR168" s="20">
        <f t="shared" si="177"/>
        <v>4.2330868906469593E-12</v>
      </c>
      <c r="DS168" s="59">
        <f t="shared" si="125"/>
        <v>293.33333333333752</v>
      </c>
      <c r="DT168" s="59">
        <f ca="1">AVERAGE(OFFSET($DS$3,0,0,'Données projet'!$E$14+1,1))-AVERAGE(OFFSET($H$3,0,0,'Données projet'!$E$14+1,1))</f>
        <v>207.25176714718668</v>
      </c>
      <c r="DU168" s="59">
        <f t="shared" si="152"/>
        <v>191.53228014642559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53.39918356497656</v>
      </c>
      <c r="EB168" s="21">
        <f>EXP(-LN(2)/25)*EB167+(1-EXP(-LN(2)/25))/(LN(2)/25)*Calculateur!DW168*Calculateur!DY168*VLOOKUP('Données projet'!$B$14,Paramètres!$A$1:$I$89,3,0)*0.475*44/12</f>
        <v>8.3215083818282842</v>
      </c>
      <c r="EC168" s="21">
        <f>EXP(-LN(2)/2)*EC167+(1-EXP(-LN(2)/2))/(LN(2)/2)*DW168*DZ168*VLOOKUP('Données projet'!$B$14,Paramètres!$A$1:$I$89,3,0)*0.475*44/12</f>
        <v>2.066291984557419E-8</v>
      </c>
      <c r="ED168" s="22">
        <f t="shared" si="178"/>
        <v>61.720691967467765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-2.8421709430404007E-13</v>
      </c>
      <c r="EK168" s="17">
        <f>EJ168*VLOOKUP('Données projet'!$B$15,Paramètres!$A$1:$I$89,3,0)*VLOOKUP('Données projet'!$B$15,Paramètres!$A$1:$I$89,5,0)</f>
        <v>-1.69961822393816E-13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200.15574321350221</v>
      </c>
      <c r="EP168" s="59">
        <f t="shared" si="154"/>
        <v>200.70728852570426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16.215253292527365</v>
      </c>
      <c r="EW168" s="21">
        <f>EXP(-LN(2)/25)*EW167+(1-EXP(-LN(2)/25))/(LN(2)/25)*Calculateur!ER168*Calculateur!ET168*VLOOKUP('Données projet'!$B$15,Paramètres!$A$1:$I$89,3,0)*0.475*44/12</f>
        <v>1.9662572237238332</v>
      </c>
      <c r="EX168" s="21">
        <f>EXP(-LN(2)/2)*EX167+(1-EXP(-LN(2)/2))/(LN(2)/2)*ER168*EU168*VLOOKUP('Données projet'!$B$15,Paramètres!$A$1:$I$89,3,0)*0.475*44/12</f>
        <v>5.018462737216723E-15</v>
      </c>
      <c r="EY168" s="22">
        <f t="shared" si="181"/>
        <v>18.181510516251201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5.6843418860808015E-13</v>
      </c>
      <c r="FF168" s="17">
        <f>FE168*VLOOKUP('Données projet'!$B$16,Paramètres!$A$1:$I$89,3,0)*VLOOKUP('Données projet'!$B$16,Paramètres!$A$1:$I$89,5,0)</f>
        <v>6.1186256061773743E-13</v>
      </c>
      <c r="FG168" s="13">
        <f t="shared" si="182"/>
        <v>7.4445668332430206E-12</v>
      </c>
      <c r="FH168" s="20">
        <f t="shared" si="183"/>
        <v>1.4031614527640822E-11</v>
      </c>
      <c r="FI168" s="59">
        <f t="shared" si="131"/>
        <v>293.33333333334735</v>
      </c>
      <c r="FJ168" s="59">
        <f ca="1">AVERAGE(OFFSET($FI$3,0,0,'Données projet'!$E$16+1,1))-AVERAGE(OFFSET($H$3,0,0,'Données projet'!$E$16+1,1))</f>
        <v>347.17049316703486</v>
      </c>
      <c r="FK168" s="59">
        <f t="shared" si="156"/>
        <v>255.45365487683489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103.7413880290447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103.7413880290447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7">
        <f t="shared" si="110"/>
        <v>466.20929769762733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266.02599413192075</v>
      </c>
      <c r="T169" s="59">
        <f t="shared" si="142"/>
        <v>332.94146254783254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5.1431925385259092E-13</v>
      </c>
      <c r="AK169" s="13">
        <f t="shared" si="164"/>
        <v>6.3855359115685756E-12</v>
      </c>
      <c r="AL169" s="20">
        <f t="shared" si="165"/>
        <v>1.2017247746441865E-11</v>
      </c>
      <c r="AM169" s="59">
        <f t="shared" si="113"/>
        <v>293.33333333334531</v>
      </c>
      <c r="AN169" s="59">
        <f ca="1">AVERAGE(OFFSET($AM$3,0,0,'Données projet'!$E$10+1,1))-AVERAGE(OFFSET($H$3,0,0,'Données projet'!$E$10+1,1))</f>
        <v>282.13645166362238</v>
      </c>
      <c r="AO169" s="59">
        <f t="shared" si="144"/>
        <v>210.5345332979457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85.492910083710797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85.492910083710797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254.6443970237226</v>
      </c>
      <c r="BJ169" s="59">
        <f t="shared" si="146"/>
        <v>231.81667808018062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31.442825767481239</v>
      </c>
      <c r="BQ169" s="21">
        <f>EXP(-LN(2)/25)*BQ168+(1-EXP(-LN(2)/25))/(LN(2)/25)*Calculateur!BL169*Calculateur!BN169*VLOOKUP('Données projet'!$B$11,Paramètres!$A$1:$I$89,3,0)*0.475*44/12</f>
        <v>3.8706958107979861</v>
      </c>
      <c r="BR169" s="21">
        <f>EXP(-LN(2)/2)*BR168+(1-EXP(-LN(2)/2))/(LN(2)/2)*BL169*BO169*VLOOKUP('Données projet'!$B$11,Paramètres!$A$1:$I$89,3,0)*0.475*44/12</f>
        <v>1.4151297132642955E-13</v>
      </c>
      <c r="BS169" s="22">
        <f t="shared" si="169"/>
        <v>35.313521578279364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-4.5474735088646412E-13</v>
      </c>
      <c r="BZ169" s="13">
        <f>BY169*VLOOKUP('Données projet'!$B$12,Paramètres!$A$1:$I$89,3,0)*VLOOKUP('Données projet'!$B$12,Paramètres!$A$1:$I$89,5,0)</f>
        <v>-4.6111381379887462E-13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264.08050363622294</v>
      </c>
      <c r="CE169" s="59">
        <f t="shared" si="148"/>
        <v>164.48884512322883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144.27694920576934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144.27694920576934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194.7221767407824</v>
      </c>
      <c r="CZ169" s="59">
        <f t="shared" si="150"/>
        <v>177.6550559568646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24.861769211496821</v>
      </c>
      <c r="DG169" s="21">
        <f>EXP(-LN(2)/25)*DG168+(1-EXP(-LN(2)/25))/(LN(2)/25)*Calculateur!DB169*Calculateur!DD169*VLOOKUP('Données projet'!$B$13,Paramètres!$A$1:$I$89,3,0)*0.475*44/12</f>
        <v>3.0605501759798091</v>
      </c>
      <c r="DH169" s="21">
        <f>EXP(-LN(2)/2)*DH168+(1-EXP(-LN(2)/2))/(LN(2)/2)*DB169*DE169*VLOOKUP('Données projet'!$B$13,Paramètres!$A$1:$I$89,3,0)*0.475*44/12</f>
        <v>1.1189397732787533E-13</v>
      </c>
      <c r="DI169" s="22">
        <f t="shared" si="175"/>
        <v>27.92231938747674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3.4106051316484809E-13</v>
      </c>
      <c r="DP169" s="17">
        <f>DO169*VLOOKUP('Données projet'!$B$14,Paramètres!$A$1:$I$89,3,0)*VLOOKUP('Données projet'!$B$14,Paramètres!$A$1:$I$89,5,0)</f>
        <v>1.5961632016114892E-13</v>
      </c>
      <c r="DQ169" s="13">
        <f t="shared" si="176"/>
        <v>2.2708641912150958E-12</v>
      </c>
      <c r="DR169" s="20">
        <f t="shared" si="177"/>
        <v>4.2330868906469593E-12</v>
      </c>
      <c r="DS169" s="59">
        <f t="shared" si="125"/>
        <v>293.33333333333752</v>
      </c>
      <c r="DT169" s="59">
        <f ca="1">AVERAGE(OFFSET($DS$3,0,0,'Données projet'!$E$14+1,1))-AVERAGE(OFFSET($H$3,0,0,'Données projet'!$E$14+1,1))</f>
        <v>207.25176714718668</v>
      </c>
      <c r="DU169" s="59">
        <f t="shared" si="152"/>
        <v>191.53228014642559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52.352058145553293</v>
      </c>
      <c r="EB169" s="21">
        <f>EXP(-LN(2)/25)*EB168+(1-EXP(-LN(2)/25))/(LN(2)/25)*Calculateur!DW169*Calculateur!DY169*VLOOKUP('Données projet'!$B$14,Paramètres!$A$1:$I$89,3,0)*0.475*44/12</f>
        <v>8.0939562975180834</v>
      </c>
      <c r="EC169" s="21">
        <f>EXP(-LN(2)/2)*EC168+(1-EXP(-LN(2)/2))/(LN(2)/2)*DW169*DZ169*VLOOKUP('Données projet'!$B$14,Paramètres!$A$1:$I$89,3,0)*0.475*44/12</f>
        <v>1.46108907419196E-8</v>
      </c>
      <c r="ED169" s="22">
        <f t="shared" si="178"/>
        <v>60.446014457682267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-2.8421709430404007E-13</v>
      </c>
      <c r="EK169" s="17">
        <f>EJ169*VLOOKUP('Données projet'!$B$15,Paramètres!$A$1:$I$89,3,0)*VLOOKUP('Données projet'!$B$15,Paramètres!$A$1:$I$89,5,0)</f>
        <v>-1.69961822393816E-13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200.15574321350221</v>
      </c>
      <c r="EP169" s="59">
        <f t="shared" si="154"/>
        <v>200.70728852570426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15.897282065788822</v>
      </c>
      <c r="EW169" s="21">
        <f>EXP(-LN(2)/25)*EW168+(1-EXP(-LN(2)/25))/(LN(2)/25)*Calculateur!ER169*Calculateur!ET169*VLOOKUP('Données projet'!$B$15,Paramètres!$A$1:$I$89,3,0)*0.475*44/12</f>
        <v>1.9124898165401314</v>
      </c>
      <c r="EX169" s="21">
        <f>EXP(-LN(2)/2)*EX168+(1-EXP(-LN(2)/2))/(LN(2)/2)*ER169*EU169*VLOOKUP('Données projet'!$B$15,Paramètres!$A$1:$I$89,3,0)*0.475*44/12</f>
        <v>3.5485890326179478E-15</v>
      </c>
      <c r="EY169" s="22">
        <f t="shared" si="181"/>
        <v>17.809771882328956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5.6843418860808015E-13</v>
      </c>
      <c r="FF169" s="17">
        <f>FE169*VLOOKUP('Données projet'!$B$16,Paramètres!$A$1:$I$89,3,0)*VLOOKUP('Données projet'!$B$16,Paramètres!$A$1:$I$89,5,0)</f>
        <v>6.1186256061773743E-13</v>
      </c>
      <c r="FG169" s="13">
        <f t="shared" si="182"/>
        <v>7.4445668332430206E-12</v>
      </c>
      <c r="FH169" s="20">
        <f t="shared" si="183"/>
        <v>1.4031614527640822E-11</v>
      </c>
      <c r="FI169" s="59">
        <f t="shared" si="131"/>
        <v>293.33333333334735</v>
      </c>
      <c r="FJ169" s="59">
        <f ca="1">AVERAGE(OFFSET($FI$3,0,0,'Données projet'!$E$16+1,1))-AVERAGE(OFFSET($H$3,0,0,'Données projet'!$E$16+1,1))</f>
        <v>347.17049316703486</v>
      </c>
      <c r="FK169" s="59">
        <f t="shared" si="156"/>
        <v>255.45365487683489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101.70708268579385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101.70708268579385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7">
        <f t="shared" si="110"/>
        <v>467.22430539438216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266.02599413192075</v>
      </c>
      <c r="T170" s="59">
        <f t="shared" si="142"/>
        <v>332.94146254783254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5.1431925385259092E-13</v>
      </c>
      <c r="AK170" s="13">
        <f t="shared" si="164"/>
        <v>6.3855359115685756E-12</v>
      </c>
      <c r="AL170" s="20">
        <f t="shared" si="165"/>
        <v>1.2017247746441865E-11</v>
      </c>
      <c r="AM170" s="59">
        <f t="shared" si="113"/>
        <v>293.33333333334531</v>
      </c>
      <c r="AN170" s="59">
        <f ca="1">AVERAGE(OFFSET($AM$3,0,0,'Données projet'!$E$10+1,1))-AVERAGE(OFFSET($H$3,0,0,'Données projet'!$E$10+1,1))</f>
        <v>282.13645166362238</v>
      </c>
      <c r="AO170" s="59">
        <f t="shared" si="144"/>
        <v>210.5345332979457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83.816446262495433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83.816446262495433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254.6443970237226</v>
      </c>
      <c r="BJ170" s="59">
        <f t="shared" si="146"/>
        <v>231.81667808018062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30.826251132410956</v>
      </c>
      <c r="BQ170" s="21">
        <f>EXP(-LN(2)/25)*BQ169+(1-EXP(-LN(2)/25))/(LN(2)/25)*Calculateur!BL170*Calculateur!BN170*VLOOKUP('Données projet'!$B$11,Paramètres!$A$1:$I$89,3,0)*0.475*44/12</f>
        <v>3.764851430300669</v>
      </c>
      <c r="BR170" s="21">
        <f>EXP(-LN(2)/2)*BR169+(1-EXP(-LN(2)/2))/(LN(2)/2)*BL170*BO170*VLOOKUP('Données projet'!$B$11,Paramètres!$A$1:$I$89,3,0)*0.475*44/12</f>
        <v>1.000647816507758E-13</v>
      </c>
      <c r="BS170" s="22">
        <f t="shared" si="169"/>
        <v>34.591102562711725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-4.5474735088646412E-13</v>
      </c>
      <c r="BZ170" s="13">
        <f>BY170*VLOOKUP('Données projet'!$B$12,Paramètres!$A$1:$I$89,3,0)*VLOOKUP('Données projet'!$B$12,Paramètres!$A$1:$I$89,5,0)</f>
        <v>-4.6111381379887462E-13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264.08050363622294</v>
      </c>
      <c r="CE170" s="59">
        <f t="shared" si="148"/>
        <v>164.48884512322883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141.44776623209393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141.44776623209393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194.7221767407824</v>
      </c>
      <c r="CZ170" s="59">
        <f t="shared" si="150"/>
        <v>177.6550559568646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24.374245081441249</v>
      </c>
      <c r="DG170" s="21">
        <f>EXP(-LN(2)/25)*DG169+(1-EXP(-LN(2)/25))/(LN(2)/25)*Calculateur!DB170*Calculateur!DD170*VLOOKUP('Données projet'!$B$13,Paramètres!$A$1:$I$89,3,0)*0.475*44/12</f>
        <v>2.9768592704703023</v>
      </c>
      <c r="DH170" s="21">
        <f>EXP(-LN(2)/2)*DH169+(1-EXP(-LN(2)/2))/(LN(2)/2)*DB170*DE170*VLOOKUP('Données projet'!$B$13,Paramètres!$A$1:$I$89,3,0)*0.475*44/12</f>
        <v>7.9120990142474458E-14</v>
      </c>
      <c r="DI170" s="22">
        <f t="shared" si="175"/>
        <v>27.35110435191163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3.4106051316484809E-13</v>
      </c>
      <c r="DP170" s="17">
        <f>DO170*VLOOKUP('Données projet'!$B$14,Paramètres!$A$1:$I$89,3,0)*VLOOKUP('Données projet'!$B$14,Paramètres!$A$1:$I$89,5,0)</f>
        <v>1.5961632016114892E-13</v>
      </c>
      <c r="DQ170" s="13">
        <f t="shared" si="176"/>
        <v>2.2708641912150958E-12</v>
      </c>
      <c r="DR170" s="20">
        <f t="shared" si="177"/>
        <v>4.2330868906469593E-12</v>
      </c>
      <c r="DS170" s="59">
        <f t="shared" si="125"/>
        <v>293.33333333333752</v>
      </c>
      <c r="DT170" s="59">
        <f ca="1">AVERAGE(OFFSET($DS$3,0,0,'Données projet'!$E$14+1,1))-AVERAGE(OFFSET($H$3,0,0,'Données projet'!$E$14+1,1))</f>
        <v>207.25176714718668</v>
      </c>
      <c r="DU170" s="59">
        <f t="shared" si="152"/>
        <v>191.53228014642559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51.325466216921477</v>
      </c>
      <c r="EB170" s="21">
        <f>EXP(-LN(2)/25)*EB169+(1-EXP(-LN(2)/25))/(LN(2)/25)*Calculateur!DW170*Calculateur!DY170*VLOOKUP('Données projet'!$B$14,Paramètres!$A$1:$I$89,3,0)*0.475*44/12</f>
        <v>7.8726266369197884</v>
      </c>
      <c r="EC170" s="21">
        <f>EXP(-LN(2)/2)*EC169+(1-EXP(-LN(2)/2))/(LN(2)/2)*DW170*DZ170*VLOOKUP('Données projet'!$B$14,Paramètres!$A$1:$I$89,3,0)*0.475*44/12</f>
        <v>1.0331459922787096E-8</v>
      </c>
      <c r="ED170" s="22">
        <f t="shared" si="178"/>
        <v>59.198092864172729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-2.8421709430404007E-13</v>
      </c>
      <c r="EK170" s="17">
        <f>EJ170*VLOOKUP('Données projet'!$B$15,Paramètres!$A$1:$I$89,3,0)*VLOOKUP('Données projet'!$B$15,Paramètres!$A$1:$I$89,5,0)</f>
        <v>-1.69961822393816E-13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200.15574321350221</v>
      </c>
      <c r="EP170" s="59">
        <f t="shared" si="154"/>
        <v>200.70728852570426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15.585546060863326</v>
      </c>
      <c r="EW170" s="21">
        <f>EXP(-LN(2)/25)*EW169+(1-EXP(-LN(2)/25))/(LN(2)/25)*Calculateur!ER170*Calculateur!ET170*VLOOKUP('Données projet'!$B$15,Paramètres!$A$1:$I$89,3,0)*0.475*44/12</f>
        <v>1.8601926819333732</v>
      </c>
      <c r="EX170" s="21">
        <f>EXP(-LN(2)/2)*EX169+(1-EXP(-LN(2)/2))/(LN(2)/2)*ER170*EU170*VLOOKUP('Données projet'!$B$15,Paramètres!$A$1:$I$89,3,0)*0.475*44/12</f>
        <v>2.5092313686083619E-15</v>
      </c>
      <c r="EY170" s="22">
        <f t="shared" si="181"/>
        <v>17.445738742796703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5.6843418860808015E-13</v>
      </c>
      <c r="FF170" s="17">
        <f>FE170*VLOOKUP('Données projet'!$B$16,Paramètres!$A$1:$I$89,3,0)*VLOOKUP('Données projet'!$B$16,Paramètres!$A$1:$I$89,5,0)</f>
        <v>6.1186256061773743E-13</v>
      </c>
      <c r="FG170" s="13">
        <f t="shared" si="182"/>
        <v>7.4445668332430206E-12</v>
      </c>
      <c r="FH170" s="20">
        <f t="shared" si="183"/>
        <v>1.4031614527640822E-11</v>
      </c>
      <c r="FI170" s="59">
        <f t="shared" si="131"/>
        <v>293.33333333334735</v>
      </c>
      <c r="FJ170" s="59">
        <f ca="1">AVERAGE(OFFSET($FI$3,0,0,'Données projet'!$E$16+1,1))-AVERAGE(OFFSET($H$3,0,0,'Données projet'!$E$16+1,1))</f>
        <v>347.17049316703486</v>
      </c>
      <c r="FK170" s="59">
        <f t="shared" si="156"/>
        <v>255.45365487683489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99.71266882952041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99.71266882952041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7">
        <f t="shared" si="110"/>
        <v>468.23917380194285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266.02599413192075</v>
      </c>
      <c r="T171" s="59">
        <f t="shared" si="142"/>
        <v>332.94146254783254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5.1431925385259092E-13</v>
      </c>
      <c r="AK171" s="13">
        <f t="shared" si="164"/>
        <v>6.3855359115685756E-12</v>
      </c>
      <c r="AL171" s="20">
        <f t="shared" si="165"/>
        <v>1.2017247746441865E-11</v>
      </c>
      <c r="AM171" s="59">
        <f t="shared" si="113"/>
        <v>293.33333333334531</v>
      </c>
      <c r="AN171" s="59">
        <f ca="1">AVERAGE(OFFSET($AM$3,0,0,'Données projet'!$E$10+1,1))-AVERAGE(OFFSET($H$3,0,0,'Données projet'!$E$10+1,1))</f>
        <v>282.13645166362238</v>
      </c>
      <c r="AO171" s="59">
        <f t="shared" si="144"/>
        <v>210.5345332979457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82.172856874272142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82.172856874272142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254.6443970237226</v>
      </c>
      <c r="BJ171" s="59">
        <f t="shared" si="146"/>
        <v>231.81667808018062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30.221767149861009</v>
      </c>
      <c r="BQ171" s="21">
        <f>EXP(-LN(2)/25)*BQ170+(1-EXP(-LN(2)/25))/(LN(2)/25)*Calculateur!BL171*Calculateur!BN171*VLOOKUP('Données projet'!$B$11,Paramètres!$A$1:$I$89,3,0)*0.475*44/12</f>
        <v>3.6619013699541654</v>
      </c>
      <c r="BR171" s="21">
        <f>EXP(-LN(2)/2)*BR170+(1-EXP(-LN(2)/2))/(LN(2)/2)*BL171*BO171*VLOOKUP('Données projet'!$B$11,Paramètres!$A$1:$I$89,3,0)*0.475*44/12</f>
        <v>7.0756485663214777E-14</v>
      </c>
      <c r="BS171" s="22">
        <f t="shared" si="169"/>
        <v>33.883668519815245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-4.5474735088646412E-13</v>
      </c>
      <c r="BZ171" s="13">
        <f>BY171*VLOOKUP('Données projet'!$B$12,Paramètres!$A$1:$I$89,3,0)*VLOOKUP('Données projet'!$B$12,Paramètres!$A$1:$I$89,5,0)</f>
        <v>-4.6111381379887462E-13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264.08050363622294</v>
      </c>
      <c r="CE171" s="59">
        <f t="shared" si="148"/>
        <v>164.48884512322883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138.67406181090107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138.67406181090107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194.7221767407824</v>
      </c>
      <c r="CZ171" s="59">
        <f t="shared" si="150"/>
        <v>177.6550559568646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23.896281002215709</v>
      </c>
      <c r="DG171" s="21">
        <f>EXP(-LN(2)/25)*DG170+(1-EXP(-LN(2)/25))/(LN(2)/25)*Calculateur!DB171*Calculateur!DD171*VLOOKUP('Données projet'!$B$13,Paramètres!$A$1:$I$89,3,0)*0.475*44/12</f>
        <v>2.8954568971730668</v>
      </c>
      <c r="DH171" s="21">
        <f>EXP(-LN(2)/2)*DH170+(1-EXP(-LN(2)/2))/(LN(2)/2)*DB171*DE171*VLOOKUP('Données projet'!$B$13,Paramètres!$A$1:$I$89,3,0)*0.475*44/12</f>
        <v>5.5946988663937672E-14</v>
      </c>
      <c r="DI171" s="22">
        <f t="shared" si="175"/>
        <v>26.791737899388831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3.4106051316484809E-13</v>
      </c>
      <c r="DP171" s="17">
        <f>DO171*VLOOKUP('Données projet'!$B$14,Paramètres!$A$1:$I$89,3,0)*VLOOKUP('Données projet'!$B$14,Paramètres!$A$1:$I$89,5,0)</f>
        <v>1.5961632016114892E-13</v>
      </c>
      <c r="DQ171" s="13">
        <f t="shared" si="176"/>
        <v>2.2708641912150958E-12</v>
      </c>
      <c r="DR171" s="20">
        <f t="shared" si="177"/>
        <v>4.2330868906469593E-12</v>
      </c>
      <c r="DS171" s="59">
        <f t="shared" si="125"/>
        <v>293.33333333333752</v>
      </c>
      <c r="DT171" s="59">
        <f ca="1">AVERAGE(OFFSET($DS$3,0,0,'Données projet'!$E$14+1,1))-AVERAGE(OFFSET($H$3,0,0,'Données projet'!$E$14+1,1))</f>
        <v>207.25176714718668</v>
      </c>
      <c r="DU171" s="59">
        <f t="shared" si="152"/>
        <v>191.53228014642559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50.319005129850886</v>
      </c>
      <c r="EB171" s="21">
        <f>EXP(-LN(2)/25)*EB170+(1-EXP(-LN(2)/25))/(LN(2)/25)*Calculateur!DW171*Calculateur!DY171*VLOOKUP('Données projet'!$B$14,Paramètres!$A$1:$I$89,3,0)*0.475*44/12</f>
        <v>7.6573492475297753</v>
      </c>
      <c r="EC171" s="21">
        <f>EXP(-LN(2)/2)*EC170+(1-EXP(-LN(2)/2))/(LN(2)/2)*DW171*DZ171*VLOOKUP('Données projet'!$B$14,Paramètres!$A$1:$I$89,3,0)*0.475*44/12</f>
        <v>7.3054453709598009E-9</v>
      </c>
      <c r="ED171" s="22">
        <f t="shared" si="178"/>
        <v>57.976354384686104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-2.8421709430404007E-13</v>
      </c>
      <c r="EK171" s="17">
        <f>EJ171*VLOOKUP('Données projet'!$B$15,Paramètres!$A$1:$I$89,3,0)*VLOOKUP('Données projet'!$B$15,Paramètres!$A$1:$I$89,5,0)</f>
        <v>-1.69961822393816E-13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200.15574321350221</v>
      </c>
      <c r="EP171" s="59">
        <f t="shared" si="154"/>
        <v>200.70728852570426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15.279923008854229</v>
      </c>
      <c r="EW171" s="21">
        <f>EXP(-LN(2)/25)*EW170+(1-EXP(-LN(2)/25))/(LN(2)/25)*Calculateur!ER171*Calculateur!ET171*VLOOKUP('Données projet'!$B$15,Paramètres!$A$1:$I$89,3,0)*0.475*44/12</f>
        <v>1.8093256152226234</v>
      </c>
      <c r="EX171" s="21">
        <f>EXP(-LN(2)/2)*EX170+(1-EXP(-LN(2)/2))/(LN(2)/2)*ER171*EU171*VLOOKUP('Données projet'!$B$15,Paramètres!$A$1:$I$89,3,0)*0.475*44/12</f>
        <v>1.7742945163089743E-15</v>
      </c>
      <c r="EY171" s="22">
        <f t="shared" si="181"/>
        <v>17.089248624076852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5.6843418860808015E-13</v>
      </c>
      <c r="FF171" s="17">
        <f>FE171*VLOOKUP('Données projet'!$B$16,Paramètres!$A$1:$I$89,3,0)*VLOOKUP('Données projet'!$B$16,Paramètres!$A$1:$I$89,5,0)</f>
        <v>6.1186256061773743E-13</v>
      </c>
      <c r="FG171" s="13">
        <f t="shared" si="182"/>
        <v>7.4445668332430206E-12</v>
      </c>
      <c r="FH171" s="20">
        <f t="shared" si="183"/>
        <v>1.4031614527640822E-11</v>
      </c>
      <c r="FI171" s="59">
        <f t="shared" si="131"/>
        <v>293.33333333334735</v>
      </c>
      <c r="FJ171" s="59">
        <f ca="1">AVERAGE(OFFSET($FI$3,0,0,'Données projet'!$E$16+1,1))-AVERAGE(OFFSET($H$3,0,0,'Données projet'!$E$16+1,1))</f>
        <v>347.17049316703486</v>
      </c>
      <c r="FK171" s="59">
        <f t="shared" si="156"/>
        <v>255.45365487683489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97.757364212496157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97.757364212496157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7">
        <f t="shared" si="110"/>
        <v>469.25390384560944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266.02599413192075</v>
      </c>
      <c r="T172" s="59">
        <f t="shared" si="142"/>
        <v>332.94146254783254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5.1431925385259092E-13</v>
      </c>
      <c r="AK172" s="13">
        <f t="shared" si="164"/>
        <v>6.3855359115685756E-12</v>
      </c>
      <c r="AL172" s="20">
        <f t="shared" si="165"/>
        <v>1.2017247746441865E-11</v>
      </c>
      <c r="AM172" s="59">
        <f t="shared" si="113"/>
        <v>293.33333333334531</v>
      </c>
      <c r="AN172" s="59">
        <f ca="1">AVERAGE(OFFSET($AM$3,0,0,'Données projet'!$E$10+1,1))-AVERAGE(OFFSET($H$3,0,0,'Données projet'!$E$10+1,1))</f>
        <v>282.13645166362238</v>
      </c>
      <c r="AO172" s="59">
        <f t="shared" si="144"/>
        <v>210.5345332979457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80.561497271461377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80.561497271461377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254.6443970237226</v>
      </c>
      <c r="BJ172" s="59">
        <f t="shared" si="146"/>
        <v>231.81667808018062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29.629136729510044</v>
      </c>
      <c r="BQ172" s="21">
        <f>EXP(-LN(2)/25)*BQ171+(1-EXP(-LN(2)/25))/(LN(2)/25)*Calculateur!BL172*Calculateur!BN172*VLOOKUP('Données projet'!$B$11,Paramètres!$A$1:$I$89,3,0)*0.475*44/12</f>
        <v>3.5617664844217449</v>
      </c>
      <c r="BR172" s="21">
        <f>EXP(-LN(2)/2)*BR171+(1-EXP(-LN(2)/2))/(LN(2)/2)*BL172*BO172*VLOOKUP('Données projet'!$B$11,Paramètres!$A$1:$I$89,3,0)*0.475*44/12</f>
        <v>5.0032390825387899E-14</v>
      </c>
      <c r="BS172" s="22">
        <f t="shared" si="169"/>
        <v>33.19090321393184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-4.5474735088646412E-13</v>
      </c>
      <c r="BZ172" s="13">
        <f>BY172*VLOOKUP('Données projet'!$B$12,Paramètres!$A$1:$I$89,3,0)*VLOOKUP('Données projet'!$B$12,Paramètres!$A$1:$I$89,5,0)</f>
        <v>-4.6111381379887462E-13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264.08050363622294</v>
      </c>
      <c r="CE172" s="59">
        <f t="shared" si="148"/>
        <v>164.48884512322883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135.95474804161515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135.95474804161515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194.7221767407824</v>
      </c>
      <c r="CZ172" s="59">
        <f t="shared" si="150"/>
        <v>177.6550559568646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23.427689507054481</v>
      </c>
      <c r="DG172" s="21">
        <f>EXP(-LN(2)/25)*DG171+(1-EXP(-LN(2)/25))/(LN(2)/25)*Calculateur!DB172*Calculateur!DD172*VLOOKUP('Données projet'!$B$13,Paramètres!$A$1:$I$89,3,0)*0.475*44/12</f>
        <v>2.8162804760544087</v>
      </c>
      <c r="DH172" s="21">
        <f>EXP(-LN(2)/2)*DH171+(1-EXP(-LN(2)/2))/(LN(2)/2)*DB172*DE172*VLOOKUP('Données projet'!$B$13,Paramètres!$A$1:$I$89,3,0)*0.475*44/12</f>
        <v>3.9560495071237235E-14</v>
      </c>
      <c r="DI172" s="22">
        <f t="shared" si="175"/>
        <v>26.243969983108929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3.4106051316484809E-13</v>
      </c>
      <c r="DP172" s="17">
        <f>DO172*VLOOKUP('Données projet'!$B$14,Paramètres!$A$1:$I$89,3,0)*VLOOKUP('Données projet'!$B$14,Paramètres!$A$1:$I$89,5,0)</f>
        <v>1.5961632016114892E-13</v>
      </c>
      <c r="DQ172" s="13">
        <f t="shared" si="176"/>
        <v>2.2708641912150958E-12</v>
      </c>
      <c r="DR172" s="20">
        <f t="shared" si="177"/>
        <v>4.2330868906469593E-12</v>
      </c>
      <c r="DS172" s="59">
        <f t="shared" si="125"/>
        <v>293.33333333333752</v>
      </c>
      <c r="DT172" s="59">
        <f ca="1">AVERAGE(OFFSET($DS$3,0,0,'Données projet'!$E$14+1,1))-AVERAGE(OFFSET($H$3,0,0,'Données projet'!$E$14+1,1))</f>
        <v>207.25176714718668</v>
      </c>
      <c r="DU172" s="59">
        <f t="shared" si="152"/>
        <v>191.53228014642559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49.332280130817097</v>
      </c>
      <c r="EB172" s="21">
        <f>EXP(-LN(2)/25)*EB171+(1-EXP(-LN(2)/25))/(LN(2)/25)*Calculateur!DW172*Calculateur!DY172*VLOOKUP('Données projet'!$B$14,Paramètres!$A$1:$I$89,3,0)*0.475*44/12</f>
        <v>7.447958629673578</v>
      </c>
      <c r="EC172" s="21">
        <f>EXP(-LN(2)/2)*EC171+(1-EXP(-LN(2)/2))/(LN(2)/2)*DW172*DZ172*VLOOKUP('Données projet'!$B$14,Paramètres!$A$1:$I$89,3,0)*0.475*44/12</f>
        <v>5.165729961393549E-9</v>
      </c>
      <c r="ED172" s="22">
        <f t="shared" si="178"/>
        <v>56.780238765656406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-2.8421709430404007E-13</v>
      </c>
      <c r="EK172" s="17">
        <f>EJ172*VLOOKUP('Données projet'!$B$15,Paramètres!$A$1:$I$89,3,0)*VLOOKUP('Données projet'!$B$15,Paramètres!$A$1:$I$89,5,0)</f>
        <v>-1.69961822393816E-13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200.15574321350221</v>
      </c>
      <c r="EP172" s="59">
        <f t="shared" si="154"/>
        <v>200.70728852570426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14.980293038483376</v>
      </c>
      <c r="EW172" s="21">
        <f>EXP(-LN(2)/25)*EW171+(1-EXP(-LN(2)/25))/(LN(2)/25)*Calculateur!ER172*Calculateur!ET172*VLOOKUP('Données projet'!$B$15,Paramètres!$A$1:$I$89,3,0)*0.475*44/12</f>
        <v>1.7598495111260619</v>
      </c>
      <c r="EX172" s="21">
        <f>EXP(-LN(2)/2)*EX171+(1-EXP(-LN(2)/2))/(LN(2)/2)*ER172*EU172*VLOOKUP('Données projet'!$B$15,Paramètres!$A$1:$I$89,3,0)*0.475*44/12</f>
        <v>1.2546156843041811E-15</v>
      </c>
      <c r="EY172" s="22">
        <f t="shared" si="181"/>
        <v>16.740142549609438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5.6843418860808015E-13</v>
      </c>
      <c r="FF172" s="17">
        <f>FE172*VLOOKUP('Données projet'!$B$16,Paramètres!$A$1:$I$89,3,0)*VLOOKUP('Données projet'!$B$16,Paramètres!$A$1:$I$89,5,0)</f>
        <v>6.1186256061773743E-13</v>
      </c>
      <c r="FG172" s="13">
        <f t="shared" si="182"/>
        <v>7.4445668332430206E-12</v>
      </c>
      <c r="FH172" s="20">
        <f t="shared" si="183"/>
        <v>1.4031614527640822E-11</v>
      </c>
      <c r="FI172" s="59">
        <f t="shared" si="131"/>
        <v>293.33333333334735</v>
      </c>
      <c r="FJ172" s="59">
        <f ca="1">AVERAGE(OFFSET($FI$3,0,0,'Données projet'!$E$16+1,1))-AVERAGE(OFFSET($H$3,0,0,'Données projet'!$E$16+1,1))</f>
        <v>347.17049316703486</v>
      </c>
      <c r="FK172" s="59">
        <f t="shared" si="156"/>
        <v>255.45365487683489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95.840401926393682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95.840401926393682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7">
        <f t="shared" si="110"/>
        <v>470.26849643909861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266.02599413192075</v>
      </c>
      <c r="T173" s="59">
        <f t="shared" si="142"/>
        <v>332.94146254783254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5.1431925385259092E-13</v>
      </c>
      <c r="AK173" s="13">
        <f t="shared" si="164"/>
        <v>6.3855359115685756E-12</v>
      </c>
      <c r="AL173" s="20">
        <f t="shared" si="165"/>
        <v>1.2017247746441865E-11</v>
      </c>
      <c r="AM173" s="59">
        <f t="shared" si="113"/>
        <v>293.33333333334531</v>
      </c>
      <c r="AN173" s="59">
        <f ca="1">AVERAGE(OFFSET($AM$3,0,0,'Données projet'!$E$10+1,1))-AVERAGE(OFFSET($H$3,0,0,'Données projet'!$E$10+1,1))</f>
        <v>282.13645166362238</v>
      </c>
      <c r="AO173" s="59">
        <f t="shared" si="144"/>
        <v>210.5345332979457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78.981735447629418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78.981735447629418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254.6443970237226</v>
      </c>
      <c r="BJ173" s="59">
        <f t="shared" si="146"/>
        <v>231.81667808018062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29.048127430233297</v>
      </c>
      <c r="BQ173" s="21">
        <f>EXP(-LN(2)/25)*BQ172+(1-EXP(-LN(2)/25))/(LN(2)/25)*Calculateur!BL173*Calculateur!BN173*VLOOKUP('Données projet'!$B$11,Paramètres!$A$1:$I$89,3,0)*0.475*44/12</f>
        <v>3.4643697926000736</v>
      </c>
      <c r="BR173" s="21">
        <f>EXP(-LN(2)/2)*BR172+(1-EXP(-LN(2)/2))/(LN(2)/2)*BL173*BO173*VLOOKUP('Données projet'!$B$11,Paramètres!$A$1:$I$89,3,0)*0.475*44/12</f>
        <v>3.5378242831607388E-14</v>
      </c>
      <c r="BS173" s="22">
        <f t="shared" si="169"/>
        <v>32.512497222833403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-4.5474735088646412E-13</v>
      </c>
      <c r="BZ173" s="13">
        <f>BY173*VLOOKUP('Données projet'!$B$12,Paramètres!$A$1:$I$89,3,0)*VLOOKUP('Données projet'!$B$12,Paramètres!$A$1:$I$89,5,0)</f>
        <v>-4.6111381379887462E-13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264.08050363622294</v>
      </c>
      <c r="CE173" s="59">
        <f t="shared" si="148"/>
        <v>164.48884512322883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133.2887583567273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133.2887583567273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194.7221767407824</v>
      </c>
      <c r="CZ173" s="59">
        <f t="shared" si="150"/>
        <v>177.6550559568646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22.968286805300774</v>
      </c>
      <c r="DG173" s="21">
        <f>EXP(-LN(2)/25)*DG172+(1-EXP(-LN(2)/25))/(LN(2)/25)*Calculateur!DB173*Calculateur!DD173*VLOOKUP('Données projet'!$B$13,Paramètres!$A$1:$I$89,3,0)*0.475*44/12</f>
        <v>2.7392691383349472</v>
      </c>
      <c r="DH173" s="21">
        <f>EXP(-LN(2)/2)*DH172+(1-EXP(-LN(2)/2))/(LN(2)/2)*DB173*DE173*VLOOKUP('Données projet'!$B$13,Paramètres!$A$1:$I$89,3,0)*0.475*44/12</f>
        <v>2.7973494331968842E-14</v>
      </c>
      <c r="DI173" s="22">
        <f t="shared" si="175"/>
        <v>25.70755594363575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3.4106051316484809E-13</v>
      </c>
      <c r="DP173" s="17">
        <f>DO173*VLOOKUP('Données projet'!$B$14,Paramètres!$A$1:$I$89,3,0)*VLOOKUP('Données projet'!$B$14,Paramètres!$A$1:$I$89,5,0)</f>
        <v>1.5961632016114892E-13</v>
      </c>
      <c r="DQ173" s="13">
        <f t="shared" si="176"/>
        <v>2.2708641912150958E-12</v>
      </c>
      <c r="DR173" s="20">
        <f t="shared" si="177"/>
        <v>4.2330868906469593E-12</v>
      </c>
      <c r="DS173" s="59">
        <f t="shared" si="125"/>
        <v>293.33333333333752</v>
      </c>
      <c r="DT173" s="59">
        <f ca="1">AVERAGE(OFFSET($DS$3,0,0,'Données projet'!$E$14+1,1))-AVERAGE(OFFSET($H$3,0,0,'Données projet'!$E$14+1,1))</f>
        <v>207.25176714718668</v>
      </c>
      <c r="DU173" s="59">
        <f t="shared" si="152"/>
        <v>191.53228014642559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48.364904207171541</v>
      </c>
      <c r="EB173" s="21">
        <f>EXP(-LN(2)/25)*EB172+(1-EXP(-LN(2)/25))/(LN(2)/25)*Calculateur!DW173*Calculateur!DY173*VLOOKUP('Données projet'!$B$14,Paramètres!$A$1:$I$89,3,0)*0.475*44/12</f>
        <v>7.2442938092740325</v>
      </c>
      <c r="EC173" s="21">
        <f>EXP(-LN(2)/2)*EC172+(1-EXP(-LN(2)/2))/(LN(2)/2)*DW173*DZ173*VLOOKUP('Données projet'!$B$14,Paramètres!$A$1:$I$89,3,0)*0.475*44/12</f>
        <v>3.6527226854799013E-9</v>
      </c>
      <c r="ED173" s="22">
        <f t="shared" si="178"/>
        <v>55.609198020098297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-2.8421709430404007E-13</v>
      </c>
      <c r="EK173" s="17">
        <f>EJ173*VLOOKUP('Données projet'!$B$15,Paramètres!$A$1:$I$89,3,0)*VLOOKUP('Données projet'!$B$15,Paramètres!$A$1:$I$89,5,0)</f>
        <v>-1.69961822393816E-13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200.15574321350221</v>
      </c>
      <c r="EP173" s="59">
        <f t="shared" si="154"/>
        <v>200.70728852570426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14.68653862907526</v>
      </c>
      <c r="EW173" s="21">
        <f>EXP(-LN(2)/25)*EW172+(1-EXP(-LN(2)/25))/(LN(2)/25)*Calculateur!ER173*Calculateur!ET173*VLOOKUP('Données projet'!$B$15,Paramètres!$A$1:$I$89,3,0)*0.475*44/12</f>
        <v>1.7117263336978561</v>
      </c>
      <c r="EX173" s="21">
        <f>EXP(-LN(2)/2)*EX172+(1-EXP(-LN(2)/2))/(LN(2)/2)*ER173*EU173*VLOOKUP('Données projet'!$B$15,Paramètres!$A$1:$I$89,3,0)*0.475*44/12</f>
        <v>8.8714725815448726E-16</v>
      </c>
      <c r="EY173" s="22">
        <f t="shared" si="181"/>
        <v>16.398264962773116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5.6843418860808015E-13</v>
      </c>
      <c r="FF173" s="17">
        <f>FE173*VLOOKUP('Données projet'!$B$16,Paramètres!$A$1:$I$89,3,0)*VLOOKUP('Données projet'!$B$16,Paramètres!$A$1:$I$89,5,0)</f>
        <v>6.1186256061773743E-13</v>
      </c>
      <c r="FG173" s="13">
        <f t="shared" si="182"/>
        <v>7.4445668332430206E-12</v>
      </c>
      <c r="FH173" s="20">
        <f t="shared" si="183"/>
        <v>1.4031614527640822E-11</v>
      </c>
      <c r="FI173" s="59">
        <f t="shared" si="131"/>
        <v>293.33333333334735</v>
      </c>
      <c r="FJ173" s="59">
        <f ca="1">AVERAGE(OFFSET($FI$3,0,0,'Données projet'!$E$16+1,1))-AVERAGE(OFFSET($H$3,0,0,'Données projet'!$E$16+1,1))</f>
        <v>347.17049316703486</v>
      </c>
      <c r="FK173" s="59">
        <f t="shared" si="156"/>
        <v>255.45365487683489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93.961030101490138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93.961030101490138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7">
        <f t="shared" si="110"/>
        <v>471.28295248475501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266.02599413192075</v>
      </c>
      <c r="T174" s="59">
        <f t="shared" si="142"/>
        <v>332.94146254783254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5.1431925385259092E-13</v>
      </c>
      <c r="AK174" s="13">
        <f t="shared" si="164"/>
        <v>6.3855359115685756E-12</v>
      </c>
      <c r="AL174" s="20">
        <f t="shared" si="165"/>
        <v>1.2017247746441865E-11</v>
      </c>
      <c r="AM174" s="59">
        <f t="shared" si="113"/>
        <v>293.33333333334531</v>
      </c>
      <c r="AN174" s="59">
        <f ca="1">AVERAGE(OFFSET($AM$3,0,0,'Données projet'!$E$10+1,1))-AVERAGE(OFFSET($H$3,0,0,'Données projet'!$E$10+1,1))</f>
        <v>282.13645166362238</v>
      </c>
      <c r="AO174" s="59">
        <f t="shared" si="144"/>
        <v>210.5345332979457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77.432951789603237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77.432951789603237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254.6443970237226</v>
      </c>
      <c r="BJ174" s="59">
        <f t="shared" si="146"/>
        <v>231.81667808018062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28.478511368934686</v>
      </c>
      <c r="BQ174" s="21">
        <f>EXP(-LN(2)/25)*BQ173+(1-EXP(-LN(2)/25))/(LN(2)/25)*Calculateur!BL174*Calculateur!BN174*VLOOKUP('Données projet'!$B$11,Paramètres!$A$1:$I$89,3,0)*0.475*44/12</f>
        <v>3.3696364184381351</v>
      </c>
      <c r="BR174" s="21">
        <f>EXP(-LN(2)/2)*BR173+(1-EXP(-LN(2)/2))/(LN(2)/2)*BL174*BO174*VLOOKUP('Données projet'!$B$11,Paramètres!$A$1:$I$89,3,0)*0.475*44/12</f>
        <v>2.5016195412693949E-14</v>
      </c>
      <c r="BS174" s="22">
        <f t="shared" si="169"/>
        <v>31.848147787372845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-4.5474735088646412E-13</v>
      </c>
      <c r="BZ174" s="13">
        <f>BY174*VLOOKUP('Données projet'!$B$12,Paramètres!$A$1:$I$89,3,0)*VLOOKUP('Données projet'!$B$12,Paramètres!$A$1:$I$89,5,0)</f>
        <v>-4.6111381379887462E-13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264.08050363622294</v>
      </c>
      <c r="CE174" s="59">
        <f t="shared" si="148"/>
        <v>164.48884512322883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130.67504710346697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130.67504710346697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194.7221767407824</v>
      </c>
      <c r="CZ174" s="59">
        <f t="shared" si="150"/>
        <v>177.6550559568646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22.517892710320478</v>
      </c>
      <c r="DG174" s="21">
        <f>EXP(-LN(2)/25)*DG173+(1-EXP(-LN(2)/25))/(LN(2)/25)*Calculateur!DB174*Calculateur!DD174*VLOOKUP('Données projet'!$B$13,Paramètres!$A$1:$I$89,3,0)*0.475*44/12</f>
        <v>2.664363679695275</v>
      </c>
      <c r="DH174" s="21">
        <f>EXP(-LN(2)/2)*DH173+(1-EXP(-LN(2)/2))/(LN(2)/2)*DB174*DE174*VLOOKUP('Données projet'!$B$13,Paramètres!$A$1:$I$89,3,0)*0.475*44/12</f>
        <v>1.9780247535618621E-14</v>
      </c>
      <c r="DI174" s="22">
        <f t="shared" si="175"/>
        <v>25.182256390015773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3.4106051316484809E-13</v>
      </c>
      <c r="DP174" s="17">
        <f>DO174*VLOOKUP('Données projet'!$B$14,Paramètres!$A$1:$I$89,3,0)*VLOOKUP('Données projet'!$B$14,Paramètres!$A$1:$I$89,5,0)</f>
        <v>1.5961632016114892E-13</v>
      </c>
      <c r="DQ174" s="13">
        <f t="shared" si="176"/>
        <v>2.2708641912150958E-12</v>
      </c>
      <c r="DR174" s="20">
        <f t="shared" si="177"/>
        <v>4.2330868906469593E-12</v>
      </c>
      <c r="DS174" s="59">
        <f t="shared" si="125"/>
        <v>293.33333333333752</v>
      </c>
      <c r="DT174" s="59">
        <f ca="1">AVERAGE(OFFSET($DS$3,0,0,'Données projet'!$E$14+1,1))-AVERAGE(OFFSET($H$3,0,0,'Données projet'!$E$14+1,1))</f>
        <v>207.25176714718668</v>
      </c>
      <c r="DU174" s="59">
        <f t="shared" si="152"/>
        <v>191.53228014642559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47.416497935347621</v>
      </c>
      <c r="EB174" s="21">
        <f>EXP(-LN(2)/25)*EB173+(1-EXP(-LN(2)/25))/(LN(2)/25)*Calculateur!DW174*Calculateur!DY174*VLOOKUP('Données projet'!$B$14,Paramètres!$A$1:$I$89,3,0)*0.475*44/12</f>
        <v>7.0461982140985802</v>
      </c>
      <c r="EC174" s="21">
        <f>EXP(-LN(2)/2)*EC173+(1-EXP(-LN(2)/2))/(LN(2)/2)*DW174*DZ174*VLOOKUP('Données projet'!$B$14,Paramètres!$A$1:$I$89,3,0)*0.475*44/12</f>
        <v>2.5828649806967749E-9</v>
      </c>
      <c r="ED174" s="22">
        <f t="shared" si="178"/>
        <v>54.462696152029068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-2.8421709430404007E-13</v>
      </c>
      <c r="EK174" s="17">
        <f>EJ174*VLOOKUP('Données projet'!$B$15,Paramètres!$A$1:$I$89,3,0)*VLOOKUP('Données projet'!$B$15,Paramètres!$A$1:$I$89,5,0)</f>
        <v>-1.69961822393816E-13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200.15574321350221</v>
      </c>
      <c r="EP174" s="59">
        <f t="shared" si="154"/>
        <v>200.70728852570426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14.398544564463139</v>
      </c>
      <c r="EW174" s="21">
        <f>EXP(-LN(2)/25)*EW173+(1-EXP(-LN(2)/25))/(LN(2)/25)*Calculateur!ER174*Calculateur!ET174*VLOOKUP('Données projet'!$B$15,Paramètres!$A$1:$I$89,3,0)*0.475*44/12</f>
        <v>1.6649190870871124</v>
      </c>
      <c r="EX174" s="21">
        <f>EXP(-LN(2)/2)*EX173+(1-EXP(-LN(2)/2))/(LN(2)/2)*ER174*EU174*VLOOKUP('Données projet'!$B$15,Paramètres!$A$1:$I$89,3,0)*0.475*44/12</f>
        <v>6.2730784215209067E-16</v>
      </c>
      <c r="EY174" s="22">
        <f t="shared" si="181"/>
        <v>16.063463651550251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5.6843418860808015E-13</v>
      </c>
      <c r="FF174" s="17">
        <f>FE174*VLOOKUP('Données projet'!$B$16,Paramètres!$A$1:$I$89,3,0)*VLOOKUP('Données projet'!$B$16,Paramètres!$A$1:$I$89,5,0)</f>
        <v>6.1186256061773743E-13</v>
      </c>
      <c r="FG174" s="13">
        <f t="shared" si="182"/>
        <v>7.4445668332430206E-12</v>
      </c>
      <c r="FH174" s="20">
        <f t="shared" si="183"/>
        <v>1.4031614527640822E-11</v>
      </c>
      <c r="FI174" s="59">
        <f t="shared" si="131"/>
        <v>293.33333333334735</v>
      </c>
      <c r="FJ174" s="59">
        <f ca="1">AVERAGE(OFFSET($FI$3,0,0,'Données projet'!$E$16+1,1))-AVERAGE(OFFSET($H$3,0,0,'Données projet'!$E$16+1,1))</f>
        <v>347.17049316703486</v>
      </c>
      <c r="FK174" s="59">
        <f t="shared" si="156"/>
        <v>255.45365487683489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92.118511611769335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92.118511611769335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7">
        <f t="shared" si="110"/>
        <v>472.29727287375937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266.02599413192075</v>
      </c>
      <c r="T175" s="59">
        <f t="shared" si="142"/>
        <v>332.94146254783254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5.1431925385259092E-13</v>
      </c>
      <c r="AK175" s="13">
        <f t="shared" si="164"/>
        <v>6.3855359115685756E-12</v>
      </c>
      <c r="AL175" s="20">
        <f t="shared" si="165"/>
        <v>1.2017247746441865E-11</v>
      </c>
      <c r="AM175" s="59">
        <f t="shared" si="113"/>
        <v>293.33333333334531</v>
      </c>
      <c r="AN175" s="59">
        <f ca="1">AVERAGE(OFFSET($AM$3,0,0,'Données projet'!$E$10+1,1))-AVERAGE(OFFSET($H$3,0,0,'Données projet'!$E$10+1,1))</f>
        <v>282.13645166362238</v>
      </c>
      <c r="AO175" s="59">
        <f t="shared" si="144"/>
        <v>210.5345332979457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75.914538834446191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75.914538834446191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254.6443970237226</v>
      </c>
      <c r="BJ175" s="59">
        <f t="shared" si="146"/>
        <v>231.81667808018062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27.920065131166648</v>
      </c>
      <c r="BQ175" s="21">
        <f>EXP(-LN(2)/25)*BQ174+(1-EXP(-LN(2)/25))/(LN(2)/25)*Calculateur!BL175*Calculateur!BN175*VLOOKUP('Données projet'!$B$11,Paramètres!$A$1:$I$89,3,0)*0.475*44/12</f>
        <v>3.2774935333744666</v>
      </c>
      <c r="BR175" s="21">
        <f>EXP(-LN(2)/2)*BR174+(1-EXP(-LN(2)/2))/(LN(2)/2)*BL175*BO175*VLOOKUP('Données projet'!$B$11,Paramètres!$A$1:$I$89,3,0)*0.475*44/12</f>
        <v>1.7689121415803694E-14</v>
      </c>
      <c r="BS175" s="22">
        <f t="shared" si="169"/>
        <v>31.197558664541134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-4.5474735088646412E-13</v>
      </c>
      <c r="BZ175" s="13">
        <f>BY175*VLOOKUP('Données projet'!$B$12,Paramètres!$A$1:$I$89,3,0)*VLOOKUP('Données projet'!$B$12,Paramètres!$A$1:$I$89,5,0)</f>
        <v>-4.6111381379887462E-13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264.08050363622294</v>
      </c>
      <c r="CE175" s="59">
        <f t="shared" si="148"/>
        <v>164.48884512322883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128.11258913367661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128.11258913367661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194.7221767407824</v>
      </c>
      <c r="CZ175" s="59">
        <f t="shared" si="150"/>
        <v>177.6550559568646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22.076330568829473</v>
      </c>
      <c r="DG175" s="21">
        <f>EXP(-LN(2)/25)*DG174+(1-EXP(-LN(2)/25))/(LN(2)/25)*Calculateur!DB175*Calculateur!DD175*VLOOKUP('Données projet'!$B$13,Paramètres!$A$1:$I$89,3,0)*0.475*44/12</f>
        <v>2.5915065147612113</v>
      </c>
      <c r="DH175" s="21">
        <f>EXP(-LN(2)/2)*DH174+(1-EXP(-LN(2)/2))/(LN(2)/2)*DB175*DE175*VLOOKUP('Données projet'!$B$13,Paramètres!$A$1:$I$89,3,0)*0.475*44/12</f>
        <v>1.3986747165984423E-14</v>
      </c>
      <c r="DI175" s="22">
        <f t="shared" si="175"/>
        <v>24.667837083590697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3.4106051316484809E-13</v>
      </c>
      <c r="DP175" s="17">
        <f>DO175*VLOOKUP('Données projet'!$B$14,Paramètres!$A$1:$I$89,3,0)*VLOOKUP('Données projet'!$B$14,Paramètres!$A$1:$I$89,5,0)</f>
        <v>1.5961632016114892E-13</v>
      </c>
      <c r="DQ175" s="13">
        <f t="shared" si="176"/>
        <v>2.2708641912150958E-12</v>
      </c>
      <c r="DR175" s="20">
        <f t="shared" si="177"/>
        <v>4.2330868906469593E-12</v>
      </c>
      <c r="DS175" s="59">
        <f t="shared" si="125"/>
        <v>293.33333333333752</v>
      </c>
      <c r="DT175" s="59">
        <f ca="1">AVERAGE(OFFSET($DS$3,0,0,'Données projet'!$E$14+1,1))-AVERAGE(OFFSET($H$3,0,0,'Données projet'!$E$14+1,1))</f>
        <v>207.25176714718668</v>
      </c>
      <c r="DU175" s="59">
        <f t="shared" si="152"/>
        <v>191.53228014642559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46.486689332043461</v>
      </c>
      <c r="EB175" s="21">
        <f>EXP(-LN(2)/25)*EB174+(1-EXP(-LN(2)/25))/(LN(2)/25)*Calculateur!DW175*Calculateur!DY175*VLOOKUP('Données projet'!$B$14,Paramètres!$A$1:$I$89,3,0)*0.475*44/12</f>
        <v>6.853519553390595</v>
      </c>
      <c r="EC175" s="21">
        <f>EXP(-LN(2)/2)*EC174+(1-EXP(-LN(2)/2))/(LN(2)/2)*DW175*DZ175*VLOOKUP('Données projet'!$B$14,Paramètres!$A$1:$I$89,3,0)*0.475*44/12</f>
        <v>1.8263613427399508E-9</v>
      </c>
      <c r="ED175" s="22">
        <f t="shared" si="178"/>
        <v>53.340208887260424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-2.8421709430404007E-13</v>
      </c>
      <c r="EK175" s="17">
        <f>EJ175*VLOOKUP('Données projet'!$B$15,Paramètres!$A$1:$I$89,3,0)*VLOOKUP('Données projet'!$B$15,Paramètres!$A$1:$I$89,5,0)</f>
        <v>-1.69961822393816E-13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200.15574321350221</v>
      </c>
      <c r="EP175" s="59">
        <f t="shared" si="154"/>
        <v>200.70728852570426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14.116197887799027</v>
      </c>
      <c r="EW175" s="21">
        <f>EXP(-LN(2)/25)*EW174+(1-EXP(-LN(2)/25))/(LN(2)/25)*Calculateur!ER175*Calculateur!ET175*VLOOKUP('Données projet'!$B$15,Paramètres!$A$1:$I$89,3,0)*0.475*44/12</f>
        <v>1.6193917870964258</v>
      </c>
      <c r="EX175" s="21">
        <f>EXP(-LN(2)/2)*EX174+(1-EXP(-LN(2)/2))/(LN(2)/2)*ER175*EU175*VLOOKUP('Données projet'!$B$15,Paramètres!$A$1:$I$89,3,0)*0.475*44/12</f>
        <v>4.4357362907724373E-16</v>
      </c>
      <c r="EY175" s="22">
        <f t="shared" si="181"/>
        <v>15.735589674895452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5.6843418860808015E-13</v>
      </c>
      <c r="FF175" s="17">
        <f>FE175*VLOOKUP('Données projet'!$B$16,Paramètres!$A$1:$I$89,3,0)*VLOOKUP('Données projet'!$B$16,Paramètres!$A$1:$I$89,5,0)</f>
        <v>6.1186256061773743E-13</v>
      </c>
      <c r="FG175" s="13">
        <f t="shared" si="182"/>
        <v>7.4445668332430206E-12</v>
      </c>
      <c r="FH175" s="20">
        <f t="shared" si="183"/>
        <v>1.4031614527640822E-11</v>
      </c>
      <c r="FI175" s="59">
        <f t="shared" si="131"/>
        <v>293.33333333334735</v>
      </c>
      <c r="FJ175" s="59">
        <f ca="1">AVERAGE(OFFSET($FI$3,0,0,'Données projet'!$E$16+1,1))-AVERAGE(OFFSET($H$3,0,0,'Données projet'!$E$16+1,1))</f>
        <v>347.17049316703486</v>
      </c>
      <c r="FK175" s="59">
        <f t="shared" si="156"/>
        <v>255.45365487683489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90.312123785806648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90.312123785806648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7">
        <f t="shared" si="110"/>
        <v>473.31145848632991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266.02599413192075</v>
      </c>
      <c r="T176" s="59">
        <f t="shared" si="142"/>
        <v>332.94146254783254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5.1431925385259092E-13</v>
      </c>
      <c r="AK176" s="13">
        <f t="shared" si="164"/>
        <v>6.3855359115685756E-12</v>
      </c>
      <c r="AL176" s="20">
        <f t="shared" si="165"/>
        <v>1.2017247746441865E-11</v>
      </c>
      <c r="AM176" s="59">
        <f t="shared" si="113"/>
        <v>293.33333333334531</v>
      </c>
      <c r="AN176" s="59">
        <f ca="1">AVERAGE(OFFSET($AM$3,0,0,'Données projet'!$E$10+1,1))-AVERAGE(OFFSET($H$3,0,0,'Données projet'!$E$10+1,1))</f>
        <v>282.13645166362238</v>
      </c>
      <c r="AO176" s="59">
        <f t="shared" si="144"/>
        <v>210.5345332979457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74.425901031199317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74.425901031199317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254.6443970237226</v>
      </c>
      <c r="BJ176" s="59">
        <f t="shared" si="146"/>
        <v>231.81667808018062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27.372569683502672</v>
      </c>
      <c r="BQ176" s="21">
        <f>EXP(-LN(2)/25)*BQ175+(1-EXP(-LN(2)/25))/(LN(2)/25)*Calculateur!BL176*Calculateur!BN176*VLOOKUP('Données projet'!$B$11,Paramètres!$A$1:$I$89,3,0)*0.475*44/12</f>
        <v>3.1878703003484476</v>
      </c>
      <c r="BR176" s="21">
        <f>EXP(-LN(2)/2)*BR175+(1-EXP(-LN(2)/2))/(LN(2)/2)*BL176*BO176*VLOOKUP('Données projet'!$B$11,Paramètres!$A$1:$I$89,3,0)*0.475*44/12</f>
        <v>1.2508097706346975E-14</v>
      </c>
      <c r="BS176" s="22">
        <f t="shared" si="169"/>
        <v>30.560439983851133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-4.5474735088646412E-13</v>
      </c>
      <c r="BZ176" s="13">
        <f>BY176*VLOOKUP('Données projet'!$B$12,Paramètres!$A$1:$I$89,3,0)*VLOOKUP('Données projet'!$B$12,Paramètres!$A$1:$I$89,5,0)</f>
        <v>-4.6111381379887462E-13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264.08050363622294</v>
      </c>
      <c r="CE176" s="59">
        <f t="shared" si="148"/>
        <v>164.48884512322883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125.6003794017288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125.6003794017288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194.7221767407824</v>
      </c>
      <c r="CZ176" s="59">
        <f t="shared" si="150"/>
        <v>177.6550559568646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21.643427191606794</v>
      </c>
      <c r="DG176" s="21">
        <f>EXP(-LN(2)/25)*DG175+(1-EXP(-LN(2)/25))/(LN(2)/25)*Calculateur!DB176*Calculateur!DD176*VLOOKUP('Données projet'!$B$13,Paramètres!$A$1:$I$89,3,0)*0.475*44/12</f>
        <v>2.5206416328336614</v>
      </c>
      <c r="DH176" s="21">
        <f>EXP(-LN(2)/2)*DH175+(1-EXP(-LN(2)/2))/(LN(2)/2)*DB176*DE176*VLOOKUP('Données projet'!$B$13,Paramètres!$A$1:$I$89,3,0)*0.475*44/12</f>
        <v>9.8901237678093119E-15</v>
      </c>
      <c r="DI176" s="22">
        <f t="shared" si="175"/>
        <v>24.164068824440466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3.4106051316484809E-13</v>
      </c>
      <c r="DP176" s="17">
        <f>DO176*VLOOKUP('Données projet'!$B$14,Paramètres!$A$1:$I$89,3,0)*VLOOKUP('Données projet'!$B$14,Paramètres!$A$1:$I$89,5,0)</f>
        <v>1.5961632016114892E-13</v>
      </c>
      <c r="DQ176" s="13">
        <f t="shared" si="176"/>
        <v>2.2708641912150958E-12</v>
      </c>
      <c r="DR176" s="20">
        <f t="shared" si="177"/>
        <v>4.2330868906469593E-12</v>
      </c>
      <c r="DS176" s="59">
        <f t="shared" si="125"/>
        <v>293.33333333333752</v>
      </c>
      <c r="DT176" s="59">
        <f ca="1">AVERAGE(OFFSET($DS$3,0,0,'Données projet'!$E$14+1,1))-AVERAGE(OFFSET($H$3,0,0,'Données projet'!$E$14+1,1))</f>
        <v>207.25176714718668</v>
      </c>
      <c r="DU176" s="59">
        <f t="shared" si="152"/>
        <v>191.53228014642559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45.575113708322846</v>
      </c>
      <c r="EB176" s="21">
        <f>EXP(-LN(2)/25)*EB175+(1-EXP(-LN(2)/25))/(LN(2)/25)*Calculateur!DW176*Calculateur!DY176*VLOOKUP('Données projet'!$B$14,Paramètres!$A$1:$I$89,3,0)*0.475*44/12</f>
        <v>6.6661097007921999</v>
      </c>
      <c r="EC176" s="21">
        <f>EXP(-LN(2)/2)*EC175+(1-EXP(-LN(2)/2))/(LN(2)/2)*DW176*DZ176*VLOOKUP('Données projet'!$B$14,Paramètres!$A$1:$I$89,3,0)*0.475*44/12</f>
        <v>1.2914324903483877E-9</v>
      </c>
      <c r="ED176" s="22">
        <f t="shared" si="178"/>
        <v>52.241223410406477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-2.8421709430404007E-13</v>
      </c>
      <c r="EK176" s="17">
        <f>EJ176*VLOOKUP('Données projet'!$B$15,Paramètres!$A$1:$I$89,3,0)*VLOOKUP('Données projet'!$B$15,Paramètres!$A$1:$I$89,5,0)</f>
        <v>-1.69961822393816E-13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200.15574321350221</v>
      </c>
      <c r="EP176" s="59">
        <f t="shared" si="154"/>
        <v>200.70728852570426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13.839387857249829</v>
      </c>
      <c r="EW176" s="21">
        <f>EXP(-LN(2)/25)*EW175+(1-EXP(-LN(2)/25))/(LN(2)/25)*Calculateur!ER176*Calculateur!ET176*VLOOKUP('Données projet'!$B$15,Paramètres!$A$1:$I$89,3,0)*0.475*44/12</f>
        <v>1.5751094335181612</v>
      </c>
      <c r="EX176" s="21">
        <f>EXP(-LN(2)/2)*EX175+(1-EXP(-LN(2)/2))/(LN(2)/2)*ER176*EU176*VLOOKUP('Données projet'!$B$15,Paramètres!$A$1:$I$89,3,0)*0.475*44/12</f>
        <v>3.1365392107604539E-16</v>
      </c>
      <c r="EY176" s="22">
        <f t="shared" si="181"/>
        <v>15.41449729076799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5.6843418860808015E-13</v>
      </c>
      <c r="FF176" s="17">
        <f>FE176*VLOOKUP('Données projet'!$B$16,Paramètres!$A$1:$I$89,3,0)*VLOOKUP('Données projet'!$B$16,Paramètres!$A$1:$I$89,5,0)</f>
        <v>6.1186256061773743E-13</v>
      </c>
      <c r="FG176" s="13">
        <f t="shared" si="182"/>
        <v>7.4445668332430206E-12</v>
      </c>
      <c r="FH176" s="20">
        <f t="shared" si="183"/>
        <v>1.4031614527640822E-11</v>
      </c>
      <c r="FI176" s="59">
        <f t="shared" si="131"/>
        <v>293.33333333334735</v>
      </c>
      <c r="FJ176" s="59">
        <f ca="1">AVERAGE(OFFSET($FI$3,0,0,'Données projet'!$E$16+1,1))-AVERAGE(OFFSET($H$3,0,0,'Données projet'!$E$16+1,1))</f>
        <v>347.17049316703486</v>
      </c>
      <c r="FK176" s="59">
        <f t="shared" si="156"/>
        <v>255.45365487683489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88.541158123323299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88.541158123323299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7">
        <f t="shared" si="110"/>
        <v>474.32551019192033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266.02599413192075</v>
      </c>
      <c r="T177" s="59">
        <f t="shared" si="142"/>
        <v>332.94146254783254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5.1431925385259092E-13</v>
      </c>
      <c r="AK177" s="13">
        <f t="shared" si="164"/>
        <v>6.3855359115685756E-12</v>
      </c>
      <c r="AL177" s="20">
        <f t="shared" si="165"/>
        <v>1.2017247746441865E-11</v>
      </c>
      <c r="AM177" s="59">
        <f t="shared" si="113"/>
        <v>293.33333333334531</v>
      </c>
      <c r="AN177" s="59">
        <f ca="1">AVERAGE(OFFSET($AM$3,0,0,'Données projet'!$E$10+1,1))-AVERAGE(OFFSET($H$3,0,0,'Données projet'!$E$10+1,1))</f>
        <v>282.13645166362238</v>
      </c>
      <c r="AO177" s="59">
        <f t="shared" si="144"/>
        <v>210.5345332979457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72.966454507294713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72.966454507294713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254.6443970237226</v>
      </c>
      <c r="BJ177" s="59">
        <f t="shared" si="146"/>
        <v>231.81667808018062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26.835810287628135</v>
      </c>
      <c r="BQ177" s="21">
        <f>EXP(-LN(2)/25)*BQ176+(1-EXP(-LN(2)/25))/(LN(2)/25)*Calculateur!BL177*Calculateur!BN177*VLOOKUP('Données projet'!$B$11,Paramètres!$A$1:$I$89,3,0)*0.475*44/12</f>
        <v>3.100697819342606</v>
      </c>
      <c r="BR177" s="21">
        <f>EXP(-LN(2)/2)*BR176+(1-EXP(-LN(2)/2))/(LN(2)/2)*BL177*BO177*VLOOKUP('Données projet'!$B$11,Paramètres!$A$1:$I$89,3,0)*0.475*44/12</f>
        <v>8.8445607079018471E-15</v>
      </c>
      <c r="BS177" s="22">
        <f t="shared" si="169"/>
        <v>29.936508106970749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-4.5474735088646412E-13</v>
      </c>
      <c r="BZ177" s="13">
        <f>BY177*VLOOKUP('Données projet'!$B$12,Paramètres!$A$1:$I$89,3,0)*VLOOKUP('Données projet'!$B$12,Paramètres!$A$1:$I$89,5,0)</f>
        <v>-4.6111381379887462E-13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264.08050363622294</v>
      </c>
      <c r="CE177" s="59">
        <f t="shared" si="148"/>
        <v>164.48884512322883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123.13743257032786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123.13743257032786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194.7221767407824</v>
      </c>
      <c r="CZ177" s="59">
        <f t="shared" si="150"/>
        <v>177.6550559568646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21.219012785566463</v>
      </c>
      <c r="DG177" s="21">
        <f>EXP(-LN(2)/25)*DG176+(1-EXP(-LN(2)/25))/(LN(2)/25)*Calculateur!DB177*Calculateur!DD177*VLOOKUP('Données projet'!$B$13,Paramètres!$A$1:$I$89,3,0)*0.475*44/12</f>
        <v>2.4517145548290427</v>
      </c>
      <c r="DH177" s="21">
        <f>EXP(-LN(2)/2)*DH176+(1-EXP(-LN(2)/2))/(LN(2)/2)*DB177*DE177*VLOOKUP('Données projet'!$B$13,Paramètres!$A$1:$I$89,3,0)*0.475*44/12</f>
        <v>6.9933735829922129E-15</v>
      </c>
      <c r="DI177" s="22">
        <f t="shared" si="175"/>
        <v>23.670727340395512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3.4106051316484809E-13</v>
      </c>
      <c r="DP177" s="17">
        <f>DO177*VLOOKUP('Données projet'!$B$14,Paramètres!$A$1:$I$89,3,0)*VLOOKUP('Données projet'!$B$14,Paramètres!$A$1:$I$89,5,0)</f>
        <v>1.5961632016114892E-13</v>
      </c>
      <c r="DQ177" s="13">
        <f t="shared" si="176"/>
        <v>2.2708641912150958E-12</v>
      </c>
      <c r="DR177" s="20">
        <f t="shared" si="177"/>
        <v>4.2330868906469593E-12</v>
      </c>
      <c r="DS177" s="59">
        <f t="shared" si="125"/>
        <v>293.33333333333752</v>
      </c>
      <c r="DT177" s="59">
        <f ca="1">AVERAGE(OFFSET($DS$3,0,0,'Données projet'!$E$14+1,1))-AVERAGE(OFFSET($H$3,0,0,'Données projet'!$E$14+1,1))</f>
        <v>207.25176714718668</v>
      </c>
      <c r="DU177" s="59">
        <f t="shared" si="152"/>
        <v>191.53228014642559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44.681413526577167</v>
      </c>
      <c r="EB177" s="21">
        <f>EXP(-LN(2)/25)*EB176+(1-EXP(-LN(2)/25))/(LN(2)/25)*Calculateur!DW177*Calculateur!DY177*VLOOKUP('Données projet'!$B$14,Paramètres!$A$1:$I$89,3,0)*0.475*44/12</f>
        <v>6.4838245804685632</v>
      </c>
      <c r="EC177" s="21">
        <f>EXP(-LN(2)/2)*EC176+(1-EXP(-LN(2)/2))/(LN(2)/2)*DW177*DZ177*VLOOKUP('Données projet'!$B$14,Paramètres!$A$1:$I$89,3,0)*0.475*44/12</f>
        <v>9.1318067136997553E-10</v>
      </c>
      <c r="ED177" s="22">
        <f t="shared" si="178"/>
        <v>51.165238107958913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-2.8421709430404007E-13</v>
      </c>
      <c r="EK177" s="17">
        <f>EJ177*VLOOKUP('Données projet'!$B$15,Paramètres!$A$1:$I$89,3,0)*VLOOKUP('Données projet'!$B$15,Paramètres!$A$1:$I$89,5,0)</f>
        <v>-1.69961822393816E-13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200.15574321350221</v>
      </c>
      <c r="EP177" s="59">
        <f t="shared" si="154"/>
        <v>200.70728852570426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13.568005902562254</v>
      </c>
      <c r="EW177" s="21">
        <f>EXP(-LN(2)/25)*EW176+(1-EXP(-LN(2)/25))/(LN(2)/25)*Calculateur!ER177*Calculateur!ET177*VLOOKUP('Données projet'!$B$15,Paramètres!$A$1:$I$89,3,0)*0.475*44/12</f>
        <v>1.532037983227202</v>
      </c>
      <c r="EX177" s="21">
        <f>EXP(-LN(2)/2)*EX176+(1-EXP(-LN(2)/2))/(LN(2)/2)*ER177*EU177*VLOOKUP('Données projet'!$B$15,Paramètres!$A$1:$I$89,3,0)*0.475*44/12</f>
        <v>2.2178681453862189E-16</v>
      </c>
      <c r="EY177" s="22">
        <f t="shared" si="181"/>
        <v>15.100043885789455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5.6843418860808015E-13</v>
      </c>
      <c r="FF177" s="17">
        <f>FE177*VLOOKUP('Données projet'!$B$16,Paramètres!$A$1:$I$89,3,0)*VLOOKUP('Données projet'!$B$16,Paramètres!$A$1:$I$89,5,0)</f>
        <v>6.1186256061773743E-13</v>
      </c>
      <c r="FG177" s="13">
        <f t="shared" si="182"/>
        <v>7.4445668332430206E-12</v>
      </c>
      <c r="FH177" s="20">
        <f t="shared" si="183"/>
        <v>1.4031614527640822E-11</v>
      </c>
      <c r="FI177" s="59">
        <f t="shared" si="131"/>
        <v>293.33333333334735</v>
      </c>
      <c r="FJ177" s="59">
        <f ca="1">AVERAGE(OFFSET($FI$3,0,0,'Données projet'!$E$16+1,1))-AVERAGE(OFFSET($H$3,0,0,'Données projet'!$E$16+1,1))</f>
        <v>347.17049316703486</v>
      </c>
      <c r="FK177" s="59">
        <f t="shared" si="156"/>
        <v>255.45365487683489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86.804920017298855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86.804920017298855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7">
        <f t="shared" si="110"/>
        <v>475.33942884941229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266.02599413192075</v>
      </c>
      <c r="T178" s="59">
        <f t="shared" si="142"/>
        <v>332.94146254783254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5.1431925385259092E-13</v>
      </c>
      <c r="AK178" s="13">
        <f t="shared" si="164"/>
        <v>6.3855359115685756E-12</v>
      </c>
      <c r="AL178" s="20">
        <f t="shared" si="165"/>
        <v>1.2017247746441865E-11</v>
      </c>
      <c r="AM178" s="59">
        <f t="shared" si="113"/>
        <v>293.33333333334531</v>
      </c>
      <c r="AN178" s="59">
        <f ca="1">AVERAGE(OFFSET($AM$3,0,0,'Données projet'!$E$10+1,1))-AVERAGE(OFFSET($H$3,0,0,'Données projet'!$E$10+1,1))</f>
        <v>282.13645166362238</v>
      </c>
      <c r="AO178" s="59">
        <f t="shared" si="144"/>
        <v>210.5345332979457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71.535626839549394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71.535626839549394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254.6443970237226</v>
      </c>
      <c r="BJ178" s="59">
        <f t="shared" si="146"/>
        <v>231.81667808018062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26.309576416115796</v>
      </c>
      <c r="BQ178" s="21">
        <f>EXP(-LN(2)/25)*BQ177+(1-EXP(-LN(2)/25))/(LN(2)/25)*Calculateur!BL178*Calculateur!BN178*VLOOKUP('Données projet'!$B$11,Paramètres!$A$1:$I$89,3,0)*0.475*44/12</f>
        <v>3.0159090744140711</v>
      </c>
      <c r="BR178" s="21">
        <f>EXP(-LN(2)/2)*BR177+(1-EXP(-LN(2)/2))/(LN(2)/2)*BL178*BO178*VLOOKUP('Données projet'!$B$11,Paramètres!$A$1:$I$89,3,0)*0.475*44/12</f>
        <v>6.2540488531734874E-15</v>
      </c>
      <c r="BS178" s="22">
        <f t="shared" si="169"/>
        <v>29.325485490529875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-4.5474735088646412E-13</v>
      </c>
      <c r="BZ178" s="13">
        <f>BY178*VLOOKUP('Données projet'!$B$12,Paramètres!$A$1:$I$89,3,0)*VLOOKUP('Données projet'!$B$12,Paramètres!$A$1:$I$89,5,0)</f>
        <v>-4.6111381379887462E-13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264.08050363622294</v>
      </c>
      <c r="CE178" s="59">
        <f t="shared" si="148"/>
        <v>164.48884512322883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120.72278262404146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120.72278262404146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194.7221767407824</v>
      </c>
      <c r="CZ178" s="59">
        <f t="shared" si="150"/>
        <v>177.6550559568646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20.802920887161356</v>
      </c>
      <c r="DG178" s="21">
        <f>EXP(-LN(2)/25)*DG177+(1-EXP(-LN(2)/25))/(LN(2)/25)*Calculateur!DB178*Calculateur!DD178*VLOOKUP('Données projet'!$B$13,Paramètres!$A$1:$I$89,3,0)*0.475*44/12</f>
        <v>2.3846722913971776</v>
      </c>
      <c r="DH178" s="21">
        <f>EXP(-LN(2)/2)*DH177+(1-EXP(-LN(2)/2))/(LN(2)/2)*DB178*DE178*VLOOKUP('Données projet'!$B$13,Paramètres!$A$1:$I$89,3,0)*0.475*44/12</f>
        <v>4.9450618839046568E-15</v>
      </c>
      <c r="DI178" s="22">
        <f t="shared" si="175"/>
        <v>23.187593178558537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3.4106051316484809E-13</v>
      </c>
      <c r="DP178" s="17">
        <f>DO178*VLOOKUP('Données projet'!$B$14,Paramètres!$A$1:$I$89,3,0)*VLOOKUP('Données projet'!$B$14,Paramètres!$A$1:$I$89,5,0)</f>
        <v>1.5961632016114892E-13</v>
      </c>
      <c r="DQ178" s="13">
        <f t="shared" si="176"/>
        <v>2.2708641912150958E-12</v>
      </c>
      <c r="DR178" s="20">
        <f t="shared" si="177"/>
        <v>4.2330868906469593E-12</v>
      </c>
      <c r="DS178" s="59">
        <f t="shared" si="125"/>
        <v>293.33333333333752</v>
      </c>
      <c r="DT178" s="59">
        <f ca="1">AVERAGE(OFFSET($DS$3,0,0,'Données projet'!$E$14+1,1))-AVERAGE(OFFSET($H$3,0,0,'Données projet'!$E$14+1,1))</f>
        <v>207.25176714718668</v>
      </c>
      <c r="DU178" s="59">
        <f t="shared" si="152"/>
        <v>191.53228014642559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43.805238260292235</v>
      </c>
      <c r="EB178" s="21">
        <f>EXP(-LN(2)/25)*EB177+(1-EXP(-LN(2)/25))/(LN(2)/25)*Calculateur!DW178*Calculateur!DY178*VLOOKUP('Données projet'!$B$14,Paramètres!$A$1:$I$89,3,0)*0.475*44/12</f>
        <v>6.3065240563461344</v>
      </c>
      <c r="EC178" s="21">
        <f>EXP(-LN(2)/2)*EC177+(1-EXP(-LN(2)/2))/(LN(2)/2)*DW178*DZ178*VLOOKUP('Données projet'!$B$14,Paramètres!$A$1:$I$89,3,0)*0.475*44/12</f>
        <v>6.4571624517419394E-10</v>
      </c>
      <c r="ED178" s="22">
        <f t="shared" si="178"/>
        <v>50.111762317284082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-2.8421709430404007E-13</v>
      </c>
      <c r="EK178" s="17">
        <f>EJ178*VLOOKUP('Données projet'!$B$15,Paramètres!$A$1:$I$89,3,0)*VLOOKUP('Données projet'!$B$15,Paramètres!$A$1:$I$89,5,0)</f>
        <v>-1.69961822393816E-13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200.15574321350221</v>
      </c>
      <c r="EP178" s="59">
        <f t="shared" si="154"/>
        <v>200.70728852570426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13.301945582479455</v>
      </c>
      <c r="EW178" s="21">
        <f>EXP(-LN(2)/25)*EW177+(1-EXP(-LN(2)/25))/(LN(2)/25)*Calculateur!ER178*Calculateur!ET178*VLOOKUP('Données projet'!$B$15,Paramètres!$A$1:$I$89,3,0)*0.475*44/12</f>
        <v>1.490144324009478</v>
      </c>
      <c r="EX178" s="21">
        <f>EXP(-LN(2)/2)*EX177+(1-EXP(-LN(2)/2))/(LN(2)/2)*ER178*EU178*VLOOKUP('Données projet'!$B$15,Paramètres!$A$1:$I$89,3,0)*0.475*44/12</f>
        <v>1.5682696053802272E-16</v>
      </c>
      <c r="EY178" s="22">
        <f t="shared" si="181"/>
        <v>14.792089906488933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5.6843418860808015E-13</v>
      </c>
      <c r="FF178" s="17">
        <f>FE178*VLOOKUP('Données projet'!$B$16,Paramètres!$A$1:$I$89,3,0)*VLOOKUP('Données projet'!$B$16,Paramètres!$A$1:$I$89,5,0)</f>
        <v>6.1186256061773743E-13</v>
      </c>
      <c r="FG178" s="13">
        <f t="shared" si="182"/>
        <v>7.4445668332430206E-12</v>
      </c>
      <c r="FH178" s="20">
        <f t="shared" si="183"/>
        <v>1.4031614527640822E-11</v>
      </c>
      <c r="FI178" s="59">
        <f t="shared" si="131"/>
        <v>293.33333333334735</v>
      </c>
      <c r="FJ178" s="59">
        <f ca="1">AVERAGE(OFFSET($FI$3,0,0,'Données projet'!$E$16+1,1))-AVERAGE(OFFSET($H$3,0,0,'Données projet'!$E$16+1,1))</f>
        <v>347.17049316703486</v>
      </c>
      <c r="FK178" s="59">
        <f t="shared" si="156"/>
        <v>255.45365487683489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85.102728481532878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85.102728481532878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7">
        <f t="shared" si="110"/>
        <v>476.3532153073038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266.02599413192075</v>
      </c>
      <c r="T179" s="59">
        <f t="shared" si="142"/>
        <v>332.94146254783254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5.1431925385259092E-13</v>
      </c>
      <c r="AK179" s="13">
        <f t="shared" si="164"/>
        <v>6.3855359115685756E-12</v>
      </c>
      <c r="AL179" s="20">
        <f t="shared" si="165"/>
        <v>1.2017247746441865E-11</v>
      </c>
      <c r="AM179" s="59">
        <f t="shared" si="113"/>
        <v>293.33333333334531</v>
      </c>
      <c r="AN179" s="59">
        <f ca="1">AVERAGE(OFFSET($AM$3,0,0,'Données projet'!$E$10+1,1))-AVERAGE(OFFSET($H$3,0,0,'Données projet'!$E$10+1,1))</f>
        <v>282.13645166362238</v>
      </c>
      <c r="AO179" s="59">
        <f t="shared" si="144"/>
        <v>210.5345332979457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70.132856829649853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70.132856829649853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254.6443970237226</v>
      </c>
      <c r="BJ179" s="59">
        <f t="shared" si="146"/>
        <v>231.81667808018062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25.793661669852845</v>
      </c>
      <c r="BQ179" s="21">
        <f>EXP(-LN(2)/25)*BQ178+(1-EXP(-LN(2)/25))/(LN(2)/25)*Calculateur!BL179*Calculateur!BN179*VLOOKUP('Données projet'!$B$11,Paramètres!$A$1:$I$89,3,0)*0.475*44/12</f>
        <v>2.9334388821744533</v>
      </c>
      <c r="BR179" s="21">
        <f>EXP(-LN(2)/2)*BR178+(1-EXP(-LN(2)/2))/(LN(2)/2)*BL179*BO179*VLOOKUP('Données projet'!$B$11,Paramètres!$A$1:$I$89,3,0)*0.475*44/12</f>
        <v>4.4222803539509235E-15</v>
      </c>
      <c r="BS179" s="22">
        <f t="shared" si="169"/>
        <v>28.727100552027302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-4.5474735088646412E-13</v>
      </c>
      <c r="BZ179" s="13">
        <f>BY179*VLOOKUP('Données projet'!$B$12,Paramètres!$A$1:$I$89,3,0)*VLOOKUP('Données projet'!$B$12,Paramètres!$A$1:$I$89,5,0)</f>
        <v>-4.6111381379887462E-13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264.08050363622294</v>
      </c>
      <c r="CE179" s="59">
        <f t="shared" si="148"/>
        <v>164.48884512322883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118.35548249041069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118.35548249041069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194.7221767407824</v>
      </c>
      <c r="CZ179" s="59">
        <f t="shared" si="150"/>
        <v>177.6550559568646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20.394988297092976</v>
      </c>
      <c r="DG179" s="21">
        <f>EXP(-LN(2)/25)*DG178+(1-EXP(-LN(2)/25))/(LN(2)/25)*Calculateur!DB179*Calculateur!DD179*VLOOKUP('Données projet'!$B$13,Paramètres!$A$1:$I$89,3,0)*0.475*44/12</f>
        <v>2.3194633021844564</v>
      </c>
      <c r="DH179" s="21">
        <f>EXP(-LN(2)/2)*DH178+(1-EXP(-LN(2)/2))/(LN(2)/2)*DB179*DE179*VLOOKUP('Données projet'!$B$13,Paramètres!$A$1:$I$89,3,0)*0.475*44/12</f>
        <v>3.4966867914961069E-15</v>
      </c>
      <c r="DI179" s="22">
        <f t="shared" si="175"/>
        <v>22.714451599277435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3.4106051316484809E-13</v>
      </c>
      <c r="DP179" s="17">
        <f>DO179*VLOOKUP('Données projet'!$B$14,Paramètres!$A$1:$I$89,3,0)*VLOOKUP('Données projet'!$B$14,Paramètres!$A$1:$I$89,5,0)</f>
        <v>1.5961632016114892E-13</v>
      </c>
      <c r="DQ179" s="13">
        <f t="shared" si="176"/>
        <v>2.2708641912150958E-12</v>
      </c>
      <c r="DR179" s="20">
        <f t="shared" si="177"/>
        <v>4.2330868906469593E-12</v>
      </c>
      <c r="DS179" s="59">
        <f t="shared" si="125"/>
        <v>293.33333333333752</v>
      </c>
      <c r="DT179" s="59">
        <f ca="1">AVERAGE(OFFSET($DS$3,0,0,'Données projet'!$E$14+1,1))-AVERAGE(OFFSET($H$3,0,0,'Données projet'!$E$14+1,1))</f>
        <v>207.25176714718668</v>
      </c>
      <c r="DU179" s="59">
        <f t="shared" si="152"/>
        <v>191.53228014642559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42.946244256565002</v>
      </c>
      <c r="EB179" s="21">
        <f>EXP(-LN(2)/25)*EB178+(1-EXP(-LN(2)/25))/(LN(2)/25)*Calculateur!DW179*Calculateur!DY179*VLOOKUP('Données projet'!$B$14,Paramètres!$A$1:$I$89,3,0)*0.475*44/12</f>
        <v>6.1340718243796628</v>
      </c>
      <c r="EC179" s="21">
        <f>EXP(-LN(2)/2)*EC178+(1-EXP(-LN(2)/2))/(LN(2)/2)*DW179*DZ179*VLOOKUP('Données projet'!$B$14,Paramètres!$A$1:$I$89,3,0)*0.475*44/12</f>
        <v>4.5659033568498787E-10</v>
      </c>
      <c r="ED179" s="22">
        <f t="shared" si="178"/>
        <v>49.08031608140125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-2.8421709430404007E-13</v>
      </c>
      <c r="EK179" s="17">
        <f>EJ179*VLOOKUP('Données projet'!$B$15,Paramètres!$A$1:$I$89,3,0)*VLOOKUP('Données projet'!$B$15,Paramètres!$A$1:$I$89,5,0)</f>
        <v>-1.69961822393816E-13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200.15574321350221</v>
      </c>
      <c r="EP179" s="59">
        <f t="shared" si="154"/>
        <v>200.70728852570426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13.041102542992707</v>
      </c>
      <c r="EW179" s="21">
        <f>EXP(-LN(2)/25)*EW178+(1-EXP(-LN(2)/25))/(LN(2)/25)*Calculateur!ER179*Calculateur!ET179*VLOOKUP('Données projet'!$B$15,Paramètres!$A$1:$I$89,3,0)*0.475*44/12</f>
        <v>1.4493962491061547</v>
      </c>
      <c r="EX179" s="21">
        <f>EXP(-LN(2)/2)*EX178+(1-EXP(-LN(2)/2))/(LN(2)/2)*ER179*EU179*VLOOKUP('Données projet'!$B$15,Paramètres!$A$1:$I$89,3,0)*0.475*44/12</f>
        <v>1.1089340726931096E-16</v>
      </c>
      <c r="EY179" s="22">
        <f t="shared" si="181"/>
        <v>14.490498792098862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5.6843418860808015E-13</v>
      </c>
      <c r="FF179" s="17">
        <f>FE179*VLOOKUP('Données projet'!$B$16,Paramètres!$A$1:$I$89,3,0)*VLOOKUP('Données projet'!$B$16,Paramètres!$A$1:$I$89,5,0)</f>
        <v>6.1186256061773743E-13</v>
      </c>
      <c r="FG179" s="13">
        <f t="shared" si="182"/>
        <v>7.4445668332430206E-12</v>
      </c>
      <c r="FH179" s="20">
        <f t="shared" si="183"/>
        <v>1.4031614527640822E-11</v>
      </c>
      <c r="FI179" s="59">
        <f t="shared" si="131"/>
        <v>293.33333333334735</v>
      </c>
      <c r="FJ179" s="59">
        <f ca="1">AVERAGE(OFFSET($FI$3,0,0,'Données projet'!$E$16+1,1))-AVERAGE(OFFSET($H$3,0,0,'Données projet'!$E$16+1,1))</f>
        <v>347.17049316703486</v>
      </c>
      <c r="FK179" s="59">
        <f t="shared" si="156"/>
        <v>255.45365487683489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83.433915883548948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83.433915883548948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7">
        <f t="shared" si="110"/>
        <v>477.36687040389262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266.02599413192075</v>
      </c>
      <c r="T180" s="59">
        <f t="shared" si="142"/>
        <v>332.94146254783254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5.1431925385259092E-13</v>
      </c>
      <c r="AK180" s="13">
        <f t="shared" si="164"/>
        <v>6.3855359115685756E-12</v>
      </c>
      <c r="AL180" s="20">
        <f t="shared" si="165"/>
        <v>1.2017247746441865E-11</v>
      </c>
      <c r="AM180" s="59">
        <f t="shared" si="113"/>
        <v>293.33333333334531</v>
      </c>
      <c r="AN180" s="59">
        <f ca="1">AVERAGE(OFFSET($AM$3,0,0,'Données projet'!$E$10+1,1))-AVERAGE(OFFSET($H$3,0,0,'Données projet'!$E$10+1,1))</f>
        <v>282.13645166362238</v>
      </c>
      <c r="AO180" s="59">
        <f t="shared" si="144"/>
        <v>210.5345332979457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68.757594284039229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68.757594284039229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254.6443970237226</v>
      </c>
      <c r="BJ180" s="59">
        <f t="shared" si="146"/>
        <v>231.81667808018062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25.287863697087186</v>
      </c>
      <c r="BQ180" s="21">
        <f>EXP(-LN(2)/25)*BQ179+(1-EXP(-LN(2)/25))/(LN(2)/25)*Calculateur!BL180*Calculateur!BN180*VLOOKUP('Données projet'!$B$11,Paramètres!$A$1:$I$89,3,0)*0.475*44/12</f>
        <v>2.8532238416785467</v>
      </c>
      <c r="BR180" s="21">
        <f>EXP(-LN(2)/2)*BR179+(1-EXP(-LN(2)/2))/(LN(2)/2)*BL180*BO180*VLOOKUP('Données projet'!$B$11,Paramètres!$A$1:$I$89,3,0)*0.475*44/12</f>
        <v>3.1270244265867437E-15</v>
      </c>
      <c r="BS180" s="22">
        <f t="shared" si="169"/>
        <v>28.141087538765735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-4.5474735088646412E-13</v>
      </c>
      <c r="BZ180" s="13">
        <f>BY180*VLOOKUP('Données projet'!$B$12,Paramètres!$A$1:$I$89,3,0)*VLOOKUP('Données projet'!$B$12,Paramètres!$A$1:$I$89,5,0)</f>
        <v>-4.6111381379887462E-13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264.08050363622294</v>
      </c>
      <c r="CE180" s="59">
        <f t="shared" si="148"/>
        <v>164.48884512322883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116.03460366848992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116.03460366848992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194.7221767407824</v>
      </c>
      <c r="CZ180" s="59">
        <f t="shared" si="150"/>
        <v>177.6550559568646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19.995055016301524</v>
      </c>
      <c r="DG180" s="21">
        <f>EXP(-LN(2)/25)*DG179+(1-EXP(-LN(2)/25))/(LN(2)/25)*Calculateur!DB180*Calculateur!DD180*VLOOKUP('Données projet'!$B$13,Paramètres!$A$1:$I$89,3,0)*0.475*44/12</f>
        <v>2.2560374562109486</v>
      </c>
      <c r="DH180" s="21">
        <f>EXP(-LN(2)/2)*DH179+(1-EXP(-LN(2)/2))/(LN(2)/2)*DB180*DE180*VLOOKUP('Données projet'!$B$13,Paramètres!$A$1:$I$89,3,0)*0.475*44/12</f>
        <v>2.4725309419523288E-15</v>
      </c>
      <c r="DI180" s="22">
        <f t="shared" si="175"/>
        <v>22.251092472512475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3.4106051316484809E-13</v>
      </c>
      <c r="DP180" s="17">
        <f>DO180*VLOOKUP('Données projet'!$B$14,Paramètres!$A$1:$I$89,3,0)*VLOOKUP('Données projet'!$B$14,Paramètres!$A$1:$I$89,5,0)</f>
        <v>1.5961632016114892E-13</v>
      </c>
      <c r="DQ180" s="13">
        <f t="shared" si="176"/>
        <v>2.2708641912150958E-12</v>
      </c>
      <c r="DR180" s="20">
        <f t="shared" si="177"/>
        <v>4.2330868906469593E-12</v>
      </c>
      <c r="DS180" s="59">
        <f t="shared" si="125"/>
        <v>293.33333333333752</v>
      </c>
      <c r="DT180" s="59">
        <f ca="1">AVERAGE(OFFSET($DS$3,0,0,'Données projet'!$E$14+1,1))-AVERAGE(OFFSET($H$3,0,0,'Données projet'!$E$14+1,1))</f>
        <v>207.25176714718668</v>
      </c>
      <c r="DU180" s="59">
        <f t="shared" si="152"/>
        <v>191.53228014642559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42.104094601316255</v>
      </c>
      <c r="EB180" s="21">
        <f>EXP(-LN(2)/25)*EB179+(1-EXP(-LN(2)/25))/(LN(2)/25)*Calculateur!DW180*Calculateur!DY180*VLOOKUP('Données projet'!$B$14,Paramètres!$A$1:$I$89,3,0)*0.475*44/12</f>
        <v>5.9663353077651831</v>
      </c>
      <c r="EC180" s="21">
        <f>EXP(-LN(2)/2)*EC179+(1-EXP(-LN(2)/2))/(LN(2)/2)*DW180*DZ180*VLOOKUP('Données projet'!$B$14,Paramètres!$A$1:$I$89,3,0)*0.475*44/12</f>
        <v>3.2285812258709702E-10</v>
      </c>
      <c r="ED180" s="22">
        <f t="shared" si="178"/>
        <v>48.070429909404297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-2.8421709430404007E-13</v>
      </c>
      <c r="EK180" s="17">
        <f>EJ180*VLOOKUP('Données projet'!$B$15,Paramètres!$A$1:$I$89,3,0)*VLOOKUP('Données projet'!$B$15,Paramètres!$A$1:$I$89,5,0)</f>
        <v>-1.69961822393816E-13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200.15574321350221</v>
      </c>
      <c r="EP180" s="59">
        <f t="shared" si="154"/>
        <v>200.70728852570426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12.78537447641175</v>
      </c>
      <c r="EW180" s="21">
        <f>EXP(-LN(2)/25)*EW179+(1-EXP(-LN(2)/25))/(LN(2)/25)*Calculateur!ER180*Calculateur!ET180*VLOOKUP('Données projet'!$B$15,Paramètres!$A$1:$I$89,3,0)*0.475*44/12</f>
        <v>1.4097624324539109</v>
      </c>
      <c r="EX180" s="21">
        <f>EXP(-LN(2)/2)*EX179+(1-EXP(-LN(2)/2))/(LN(2)/2)*ER180*EU180*VLOOKUP('Données projet'!$B$15,Paramètres!$A$1:$I$89,3,0)*0.475*44/12</f>
        <v>7.8413480269011371E-17</v>
      </c>
      <c r="EY180" s="22">
        <f t="shared" si="181"/>
        <v>14.195136908865662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5.6843418860808015E-13</v>
      </c>
      <c r="FF180" s="17">
        <f>FE180*VLOOKUP('Données projet'!$B$16,Paramètres!$A$1:$I$89,3,0)*VLOOKUP('Données projet'!$B$16,Paramètres!$A$1:$I$89,5,0)</f>
        <v>6.1186256061773743E-13</v>
      </c>
      <c r="FG180" s="13">
        <f t="shared" si="182"/>
        <v>7.4445668332430206E-12</v>
      </c>
      <c r="FH180" s="20">
        <f t="shared" si="183"/>
        <v>1.4031614527640822E-11</v>
      </c>
      <c r="FI180" s="59">
        <f t="shared" si="131"/>
        <v>293.33333333334735</v>
      </c>
      <c r="FJ180" s="59">
        <f ca="1">AVERAGE(OFFSET($FI$3,0,0,'Données projet'!$E$16+1,1))-AVERAGE(OFFSET($H$3,0,0,'Données projet'!$E$16+1,1))</f>
        <v>347.17049316703486</v>
      </c>
      <c r="FK180" s="59">
        <f t="shared" si="156"/>
        <v>255.45365487683489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81.797827682736312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81.797827682736312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7">
        <f t="shared" si="110"/>
        <v>478.38039496745625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266.02599413192075</v>
      </c>
      <c r="T181" s="59">
        <f t="shared" si="142"/>
        <v>332.94146254783254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5.1431925385259092E-13</v>
      </c>
      <c r="AK181" s="13">
        <f t="shared" si="164"/>
        <v>6.3855359115685756E-12</v>
      </c>
      <c r="AL181" s="20">
        <f t="shared" si="165"/>
        <v>1.2017247746441865E-11</v>
      </c>
      <c r="AM181" s="59">
        <f t="shared" si="113"/>
        <v>293.33333333334531</v>
      </c>
      <c r="AN181" s="59">
        <f ca="1">AVERAGE(OFFSET($AM$3,0,0,'Données projet'!$E$10+1,1))-AVERAGE(OFFSET($H$3,0,0,'Données projet'!$E$10+1,1))</f>
        <v>282.13645166362238</v>
      </c>
      <c r="AO181" s="59">
        <f t="shared" si="144"/>
        <v>210.5345332979457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67.409299798120699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67.409299798120699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254.6443970237226</v>
      </c>
      <c r="BJ181" s="59">
        <f t="shared" si="146"/>
        <v>231.81667808018062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24.791984114061162</v>
      </c>
      <c r="BQ181" s="21">
        <f>EXP(-LN(2)/25)*BQ180+(1-EXP(-LN(2)/25))/(LN(2)/25)*Calculateur!BL181*Calculateur!BN181*VLOOKUP('Données projet'!$B$11,Paramètres!$A$1:$I$89,3,0)*0.475*44/12</f>
        <v>2.7752022856833261</v>
      </c>
      <c r="BR181" s="21">
        <f>EXP(-LN(2)/2)*BR180+(1-EXP(-LN(2)/2))/(LN(2)/2)*BL181*BO181*VLOOKUP('Données projet'!$B$11,Paramètres!$A$1:$I$89,3,0)*0.475*44/12</f>
        <v>2.2111401769754618E-15</v>
      </c>
      <c r="BS181" s="22">
        <f t="shared" si="169"/>
        <v>27.567186399744489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-4.5474735088646412E-13</v>
      </c>
      <c r="BZ181" s="13">
        <f>BY181*VLOOKUP('Données projet'!$B$12,Paramètres!$A$1:$I$89,3,0)*VLOOKUP('Données projet'!$B$12,Paramètres!$A$1:$I$89,5,0)</f>
        <v>-4.6111381379887462E-13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264.08050363622294</v>
      </c>
      <c r="CE181" s="59">
        <f t="shared" si="148"/>
        <v>164.48884512322883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113.75923586467071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113.75923586467071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194.7221767407824</v>
      </c>
      <c r="CZ181" s="59">
        <f t="shared" si="150"/>
        <v>177.6550559568646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19.602964183211178</v>
      </c>
      <c r="DG181" s="21">
        <f>EXP(-LN(2)/25)*DG180+(1-EXP(-LN(2)/25))/(LN(2)/25)*Calculateur!DB181*Calculateur!DD181*VLOOKUP('Données projet'!$B$13,Paramètres!$A$1:$I$89,3,0)*0.475*44/12</f>
        <v>2.1943459933310066</v>
      </c>
      <c r="DH181" s="21">
        <f>EXP(-LN(2)/2)*DH180+(1-EXP(-LN(2)/2))/(LN(2)/2)*DB181*DE181*VLOOKUP('Données projet'!$B$13,Paramètres!$A$1:$I$89,3,0)*0.475*44/12</f>
        <v>1.7483433957480536E-15</v>
      </c>
      <c r="DI181" s="22">
        <f t="shared" si="175"/>
        <v>21.797310176542183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3.4106051316484809E-13</v>
      </c>
      <c r="DP181" s="17">
        <f>DO181*VLOOKUP('Données projet'!$B$14,Paramètres!$A$1:$I$89,3,0)*VLOOKUP('Données projet'!$B$14,Paramètres!$A$1:$I$89,5,0)</f>
        <v>1.5961632016114892E-13</v>
      </c>
      <c r="DQ181" s="13">
        <f t="shared" si="176"/>
        <v>2.2708641912150958E-12</v>
      </c>
      <c r="DR181" s="20">
        <f t="shared" si="177"/>
        <v>4.2330868906469593E-12</v>
      </c>
      <c r="DS181" s="59">
        <f t="shared" si="125"/>
        <v>293.33333333333752</v>
      </c>
      <c r="DT181" s="59">
        <f ca="1">AVERAGE(OFFSET($DS$3,0,0,'Données projet'!$E$14+1,1))-AVERAGE(OFFSET($H$3,0,0,'Données projet'!$E$14+1,1))</f>
        <v>207.25176714718668</v>
      </c>
      <c r="DU181" s="59">
        <f t="shared" si="152"/>
        <v>191.53228014642559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41.278458987146365</v>
      </c>
      <c r="EB181" s="21">
        <f>EXP(-LN(2)/25)*EB180+(1-EXP(-LN(2)/25))/(LN(2)/25)*Calculateur!DW181*Calculateur!DY181*VLOOKUP('Données projet'!$B$14,Paramètres!$A$1:$I$89,3,0)*0.475*44/12</f>
        <v>5.8031855550184064</v>
      </c>
      <c r="EC181" s="21">
        <f>EXP(-LN(2)/2)*EC180+(1-EXP(-LN(2)/2))/(LN(2)/2)*DW181*DZ181*VLOOKUP('Données projet'!$B$14,Paramètres!$A$1:$I$89,3,0)*0.475*44/12</f>
        <v>2.2829516784249396E-10</v>
      </c>
      <c r="ED181" s="22">
        <f t="shared" si="178"/>
        <v>47.081644542393072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-2.8421709430404007E-13</v>
      </c>
      <c r="EK181" s="17">
        <f>EJ181*VLOOKUP('Données projet'!$B$15,Paramètres!$A$1:$I$89,3,0)*VLOOKUP('Données projet'!$B$15,Paramètres!$A$1:$I$89,5,0)</f>
        <v>-1.69961822393816E-13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200.15574321350221</v>
      </c>
      <c r="EP181" s="59">
        <f t="shared" si="154"/>
        <v>200.70728852570426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12.534661081237727</v>
      </c>
      <c r="EW181" s="21">
        <f>EXP(-LN(2)/25)*EW180+(1-EXP(-LN(2)/25))/(LN(2)/25)*Calculateur!ER181*Calculateur!ET181*VLOOKUP('Données projet'!$B$15,Paramètres!$A$1:$I$89,3,0)*0.475*44/12</f>
        <v>1.3712124046022744</v>
      </c>
      <c r="EX181" s="21">
        <f>EXP(-LN(2)/2)*EX180+(1-EXP(-LN(2)/2))/(LN(2)/2)*ER181*EU181*VLOOKUP('Données projet'!$B$15,Paramètres!$A$1:$I$89,3,0)*0.475*44/12</f>
        <v>5.544670363465549E-17</v>
      </c>
      <c r="EY181" s="22">
        <f t="shared" si="181"/>
        <v>13.905873485840003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5.6843418860808015E-13</v>
      </c>
      <c r="FF181" s="17">
        <f>FE181*VLOOKUP('Données projet'!$B$16,Paramètres!$A$1:$I$89,3,0)*VLOOKUP('Données projet'!$B$16,Paramètres!$A$1:$I$89,5,0)</f>
        <v>6.1186256061773743E-13</v>
      </c>
      <c r="FG181" s="13">
        <f t="shared" si="182"/>
        <v>7.4445668332430206E-12</v>
      </c>
      <c r="FH181" s="20">
        <f t="shared" si="183"/>
        <v>1.4031614527640822E-11</v>
      </c>
      <c r="FI181" s="59">
        <f t="shared" si="131"/>
        <v>293.33333333334735</v>
      </c>
      <c r="FJ181" s="59">
        <f ca="1">AVERAGE(OFFSET($FI$3,0,0,'Données projet'!$E$16+1,1))-AVERAGE(OFFSET($H$3,0,0,'Données projet'!$E$16+1,1))</f>
        <v>347.17049316703486</v>
      </c>
      <c r="FK181" s="59">
        <f t="shared" si="156"/>
        <v>255.45365487683489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80.193822173626344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80.193822173626344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7">
        <f t="shared" si="110"/>
        <v>479.39378981642722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266.02599413192075</v>
      </c>
      <c r="T182" s="59">
        <f t="shared" si="142"/>
        <v>332.94146254783254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5.1431925385259092E-13</v>
      </c>
      <c r="AK182" s="13">
        <f t="shared" si="164"/>
        <v>6.3855359115685756E-12</v>
      </c>
      <c r="AL182" s="20">
        <f t="shared" si="165"/>
        <v>1.2017247746441865E-11</v>
      </c>
      <c r="AM182" s="59">
        <f t="shared" si="113"/>
        <v>293.33333333334531</v>
      </c>
      <c r="AN182" s="59">
        <f ca="1">AVERAGE(OFFSET($AM$3,0,0,'Données projet'!$E$10+1,1))-AVERAGE(OFFSET($H$3,0,0,'Données projet'!$E$10+1,1))</f>
        <v>282.13645166362238</v>
      </c>
      <c r="AO182" s="59">
        <f t="shared" si="144"/>
        <v>210.5345332979457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66.087444544692602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66.087444544692602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254.6443970237226</v>
      </c>
      <c r="BJ182" s="59">
        <f t="shared" si="146"/>
        <v>231.81667808018062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24.305828427201597</v>
      </c>
      <c r="BQ182" s="21">
        <f>EXP(-LN(2)/25)*BQ181+(1-EXP(-LN(2)/25))/(LN(2)/25)*Calculateur!BL182*Calculateur!BN182*VLOOKUP('Données projet'!$B$11,Paramètres!$A$1:$I$89,3,0)*0.475*44/12</f>
        <v>2.6993142332397699</v>
      </c>
      <c r="BR182" s="21">
        <f>EXP(-LN(2)/2)*BR181+(1-EXP(-LN(2)/2))/(LN(2)/2)*BL182*BO182*VLOOKUP('Données projet'!$B$11,Paramètres!$A$1:$I$89,3,0)*0.475*44/12</f>
        <v>1.5635122132933718E-15</v>
      </c>
      <c r="BS182" s="22">
        <f t="shared" si="169"/>
        <v>27.005142660441365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-4.5474735088646412E-13</v>
      </c>
      <c r="BZ182" s="13">
        <f>BY182*VLOOKUP('Données projet'!$B$12,Paramètres!$A$1:$I$89,3,0)*VLOOKUP('Données projet'!$B$12,Paramètres!$A$1:$I$89,5,0)</f>
        <v>-4.6111381379887462E-13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264.08050363622294</v>
      </c>
      <c r="CE182" s="59">
        <f t="shared" si="148"/>
        <v>164.48884512322883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111.52848663564707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111.52848663564707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194.7221767407824</v>
      </c>
      <c r="CZ182" s="59">
        <f t="shared" si="150"/>
        <v>177.6550559568646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19.21856201220594</v>
      </c>
      <c r="DG182" s="21">
        <f>EXP(-LN(2)/25)*DG181+(1-EXP(-LN(2)/25))/(LN(2)/25)*Calculateur!DB182*Calculateur!DD182*VLOOKUP('Données projet'!$B$13,Paramètres!$A$1:$I$89,3,0)*0.475*44/12</f>
        <v>2.1343414867477297</v>
      </c>
      <c r="DH182" s="21">
        <f>EXP(-LN(2)/2)*DH181+(1-EXP(-LN(2)/2))/(LN(2)/2)*DB182*DE182*VLOOKUP('Données projet'!$B$13,Paramètres!$A$1:$I$89,3,0)*0.475*44/12</f>
        <v>1.2362654709761646E-15</v>
      </c>
      <c r="DI182" s="22">
        <f t="shared" si="175"/>
        <v>21.352903498953669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3.4106051316484809E-13</v>
      </c>
      <c r="DP182" s="17">
        <f>DO182*VLOOKUP('Données projet'!$B$14,Paramètres!$A$1:$I$89,3,0)*VLOOKUP('Données projet'!$B$14,Paramètres!$A$1:$I$89,5,0)</f>
        <v>1.5961632016114892E-13</v>
      </c>
      <c r="DQ182" s="13">
        <f t="shared" si="176"/>
        <v>2.2708641912150958E-12</v>
      </c>
      <c r="DR182" s="20">
        <f t="shared" si="177"/>
        <v>4.2330868906469593E-12</v>
      </c>
      <c r="DS182" s="59">
        <f t="shared" si="125"/>
        <v>293.33333333333752</v>
      </c>
      <c r="DT182" s="59">
        <f ca="1">AVERAGE(OFFSET($DS$3,0,0,'Données projet'!$E$14+1,1))-AVERAGE(OFFSET($H$3,0,0,'Données projet'!$E$14+1,1))</f>
        <v>207.25176714718668</v>
      </c>
      <c r="DU182" s="59">
        <f t="shared" si="152"/>
        <v>191.53228014642559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40.469013583782349</v>
      </c>
      <c r="EB182" s="21">
        <f>EXP(-LN(2)/25)*EB181+(1-EXP(-LN(2)/25))/(LN(2)/25)*Calculateur!DW182*Calculateur!DY182*VLOOKUP('Données projet'!$B$14,Paramètres!$A$1:$I$89,3,0)*0.475*44/12</f>
        <v>5.644497140840163</v>
      </c>
      <c r="EC182" s="21">
        <f>EXP(-LN(2)/2)*EC181+(1-EXP(-LN(2)/2))/(LN(2)/2)*DW182*DZ182*VLOOKUP('Données projet'!$B$14,Paramètres!$A$1:$I$89,3,0)*0.475*44/12</f>
        <v>1.6142906129354854E-10</v>
      </c>
      <c r="ED182" s="22">
        <f t="shared" si="178"/>
        <v>46.113510724783943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-2.8421709430404007E-13</v>
      </c>
      <c r="EK182" s="17">
        <f>EJ182*VLOOKUP('Données projet'!$B$15,Paramètres!$A$1:$I$89,3,0)*VLOOKUP('Données projet'!$B$15,Paramètres!$A$1:$I$89,5,0)</f>
        <v>-1.69961822393816E-13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200.15574321350221</v>
      </c>
      <c r="EP182" s="59">
        <f t="shared" si="154"/>
        <v>200.70728852570426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12.288864022822995</v>
      </c>
      <c r="EW182" s="21">
        <f>EXP(-LN(2)/25)*EW181+(1-EXP(-LN(2)/25))/(LN(2)/25)*Calculateur!ER182*Calculateur!ET182*VLOOKUP('Données projet'!$B$15,Paramètres!$A$1:$I$89,3,0)*0.475*44/12</f>
        <v>1.3337165292894988</v>
      </c>
      <c r="EX182" s="21">
        <f>EXP(-LN(2)/2)*EX181+(1-EXP(-LN(2)/2))/(LN(2)/2)*ER182*EU182*VLOOKUP('Données projet'!$B$15,Paramètres!$A$1:$I$89,3,0)*0.475*44/12</f>
        <v>3.9206740134505692E-17</v>
      </c>
      <c r="EY182" s="22">
        <f t="shared" si="181"/>
        <v>13.622580552112494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5.6843418860808015E-13</v>
      </c>
      <c r="FF182" s="17">
        <f>FE182*VLOOKUP('Données projet'!$B$16,Paramètres!$A$1:$I$89,3,0)*VLOOKUP('Données projet'!$B$16,Paramètres!$A$1:$I$89,5,0)</f>
        <v>6.1186256061773743E-13</v>
      </c>
      <c r="FG182" s="13">
        <f t="shared" si="182"/>
        <v>7.4445668332430206E-12</v>
      </c>
      <c r="FH182" s="20">
        <f t="shared" si="183"/>
        <v>1.4031614527640822E-11</v>
      </c>
      <c r="FI182" s="59">
        <f t="shared" si="131"/>
        <v>293.33333333334735</v>
      </c>
      <c r="FJ182" s="59">
        <f ca="1">AVERAGE(OFFSET($FI$3,0,0,'Données projet'!$E$16+1,1))-AVERAGE(OFFSET($H$3,0,0,'Données projet'!$E$16+1,1))</f>
        <v>347.17049316703486</v>
      </c>
      <c r="FK182" s="59">
        <f t="shared" si="156"/>
        <v>255.45365487683489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78.621270234203266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78.621270234203266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7">
        <f t="shared" si="110"/>
        <v>480.40705575956395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266.02599413192075</v>
      </c>
      <c r="T183" s="59">
        <f t="shared" si="142"/>
        <v>332.94146254783254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5.1431925385259092E-13</v>
      </c>
      <c r="AK183" s="13">
        <f t="shared" si="164"/>
        <v>6.3855359115685756E-12</v>
      </c>
      <c r="AL183" s="20">
        <f t="shared" si="165"/>
        <v>1.2017247746441865E-11</v>
      </c>
      <c r="AM183" s="59">
        <f t="shared" si="113"/>
        <v>293.33333333334531</v>
      </c>
      <c r="AN183" s="59">
        <f ca="1">AVERAGE(OFFSET($AM$3,0,0,'Données projet'!$E$10+1,1))-AVERAGE(OFFSET($H$3,0,0,'Données projet'!$E$10+1,1))</f>
        <v>282.13645166362238</v>
      </c>
      <c r="AO183" s="59">
        <f t="shared" si="144"/>
        <v>210.5345332979457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64.79151006653214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64.79151006653214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254.6443970237226</v>
      </c>
      <c r="BJ183" s="59">
        <f t="shared" si="146"/>
        <v>231.81667808018062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23.829205956835658</v>
      </c>
      <c r="BQ183" s="21">
        <f>EXP(-LN(2)/25)*BQ182+(1-EXP(-LN(2)/25))/(LN(2)/25)*Calculateur!BL183*Calculateur!BN183*VLOOKUP('Données projet'!$B$11,Paramètres!$A$1:$I$89,3,0)*0.475*44/12</f>
        <v>2.6255013435810621</v>
      </c>
      <c r="BR183" s="21">
        <f>EXP(-LN(2)/2)*BR182+(1-EXP(-LN(2)/2))/(LN(2)/2)*BL183*BO183*VLOOKUP('Données projet'!$B$11,Paramètres!$A$1:$I$89,3,0)*0.475*44/12</f>
        <v>1.1055700884877309E-15</v>
      </c>
      <c r="BS183" s="22">
        <f t="shared" si="169"/>
        <v>26.454707300416722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-4.5474735088646412E-13</v>
      </c>
      <c r="BZ183" s="13">
        <f>BY183*VLOOKUP('Données projet'!$B$12,Paramètres!$A$1:$I$89,3,0)*VLOOKUP('Données projet'!$B$12,Paramètres!$A$1:$I$89,5,0)</f>
        <v>-4.6111381379887462E-13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264.08050363622294</v>
      </c>
      <c r="CE183" s="59">
        <f t="shared" si="148"/>
        <v>164.48884512322883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109.3414810383819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109.3414810383819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194.7221767407824</v>
      </c>
      <c r="CZ183" s="59">
        <f t="shared" si="150"/>
        <v>177.6550559568646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18.841697733311943</v>
      </c>
      <c r="DG183" s="21">
        <f>EXP(-LN(2)/25)*DG182+(1-EXP(-LN(2)/25))/(LN(2)/25)*Calculateur!DB183*Calculateur!DD183*VLOOKUP('Données projet'!$B$13,Paramètres!$A$1:$I$89,3,0)*0.475*44/12</f>
        <v>2.0759778065524723</v>
      </c>
      <c r="DH183" s="21">
        <f>EXP(-LN(2)/2)*DH182+(1-EXP(-LN(2)/2))/(LN(2)/2)*DB183*DE183*VLOOKUP('Données projet'!$B$13,Paramètres!$A$1:$I$89,3,0)*0.475*44/12</f>
        <v>8.7417169787402701E-16</v>
      </c>
      <c r="DI183" s="22">
        <f t="shared" si="175"/>
        <v>20.917675539864415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3.4106051316484809E-13</v>
      </c>
      <c r="DP183" s="17">
        <f>DO183*VLOOKUP('Données projet'!$B$14,Paramètres!$A$1:$I$89,3,0)*VLOOKUP('Données projet'!$B$14,Paramètres!$A$1:$I$89,5,0)</f>
        <v>1.5961632016114892E-13</v>
      </c>
      <c r="DQ183" s="13">
        <f t="shared" si="176"/>
        <v>2.2708641912150958E-12</v>
      </c>
      <c r="DR183" s="20">
        <f t="shared" si="177"/>
        <v>4.2330868906469593E-12</v>
      </c>
      <c r="DS183" s="59">
        <f t="shared" si="125"/>
        <v>293.33333333333752</v>
      </c>
      <c r="DT183" s="59">
        <f ca="1">AVERAGE(OFFSET($DS$3,0,0,'Données projet'!$E$14+1,1))-AVERAGE(OFFSET($H$3,0,0,'Données projet'!$E$14+1,1))</f>
        <v>207.25176714718668</v>
      </c>
      <c r="DU183" s="59">
        <f t="shared" si="152"/>
        <v>191.53228014642559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39.675440911065351</v>
      </c>
      <c r="EB183" s="21">
        <f>EXP(-LN(2)/25)*EB182+(1-EXP(-LN(2)/25))/(LN(2)/25)*Calculateur!DW183*Calculateur!DY183*VLOOKUP('Données projet'!$B$14,Paramètres!$A$1:$I$89,3,0)*0.475*44/12</f>
        <v>5.490148069692685</v>
      </c>
      <c r="EC183" s="21">
        <f>EXP(-LN(2)/2)*EC182+(1-EXP(-LN(2)/2))/(LN(2)/2)*DW183*DZ183*VLOOKUP('Données projet'!$B$14,Paramètres!$A$1:$I$89,3,0)*0.475*44/12</f>
        <v>1.1414758392124701E-10</v>
      </c>
      <c r="ED183" s="22">
        <f t="shared" si="178"/>
        <v>45.165588980872187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-2.8421709430404007E-13</v>
      </c>
      <c r="EK183" s="17">
        <f>EJ183*VLOOKUP('Données projet'!$B$15,Paramètres!$A$1:$I$89,3,0)*VLOOKUP('Données projet'!$B$15,Paramètres!$A$1:$I$89,5,0)</f>
        <v>-1.69961822393816E-13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200.15574321350221</v>
      </c>
      <c r="EP183" s="59">
        <f t="shared" si="154"/>
        <v>200.70728852570426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12.047886894802375</v>
      </c>
      <c r="EW183" s="21">
        <f>EXP(-LN(2)/25)*EW182+(1-EXP(-LN(2)/25))/(LN(2)/25)*Calculateur!ER183*Calculateur!ET183*VLOOKUP('Données projet'!$B$15,Paramètres!$A$1:$I$89,3,0)*0.475*44/12</f>
        <v>1.2972459806589733</v>
      </c>
      <c r="EX183" s="21">
        <f>EXP(-LN(2)/2)*EX182+(1-EXP(-LN(2)/2))/(LN(2)/2)*ER183*EU183*VLOOKUP('Données projet'!$B$15,Paramètres!$A$1:$I$89,3,0)*0.475*44/12</f>
        <v>2.7723351817327748E-17</v>
      </c>
      <c r="EY183" s="22">
        <f t="shared" si="181"/>
        <v>13.345132875461347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5.6843418860808015E-13</v>
      </c>
      <c r="FF183" s="17">
        <f>FE183*VLOOKUP('Données projet'!$B$16,Paramètres!$A$1:$I$89,3,0)*VLOOKUP('Données projet'!$B$16,Paramètres!$A$1:$I$89,5,0)</f>
        <v>6.1186256061773743E-13</v>
      </c>
      <c r="FG183" s="13">
        <f t="shared" si="182"/>
        <v>7.4445668332430206E-12</v>
      </c>
      <c r="FH183" s="20">
        <f t="shared" si="183"/>
        <v>1.4031614527640822E-11</v>
      </c>
      <c r="FI183" s="59">
        <f t="shared" si="131"/>
        <v>293.33333333334735</v>
      </c>
      <c r="FJ183" s="59">
        <f ca="1">AVERAGE(OFFSET($FI$3,0,0,'Données projet'!$E$16+1,1))-AVERAGE(OFFSET($H$3,0,0,'Données projet'!$E$16+1,1))</f>
        <v>347.17049316703486</v>
      </c>
      <c r="FK183" s="59">
        <f t="shared" si="156"/>
        <v>255.45365487683489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77.079555079150296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77.079555079150296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7">
        <f t="shared" si="110"/>
        <v>481.42019359611913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266.02599413192075</v>
      </c>
      <c r="T184" s="59">
        <f t="shared" si="142"/>
        <v>332.94146254783254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5.1431925385259092E-13</v>
      </c>
      <c r="AK184" s="13">
        <f t="shared" si="164"/>
        <v>6.3855359115685756E-12</v>
      </c>
      <c r="AL184" s="20">
        <f t="shared" si="165"/>
        <v>1.2017247746441865E-11</v>
      </c>
      <c r="AM184" s="59">
        <f t="shared" si="113"/>
        <v>293.33333333334531</v>
      </c>
      <c r="AN184" s="59">
        <f ca="1">AVERAGE(OFFSET($AM$3,0,0,'Données projet'!$E$10+1,1))-AVERAGE(OFFSET($H$3,0,0,'Données projet'!$E$10+1,1))</f>
        <v>282.13645166362238</v>
      </c>
      <c r="AO184" s="59">
        <f t="shared" si="144"/>
        <v>210.5345332979457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63.520988073046418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63.520988073046418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254.6443970237226</v>
      </c>
      <c r="BJ184" s="59">
        <f t="shared" si="146"/>
        <v>231.81667808018062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23.361929762402593</v>
      </c>
      <c r="BQ184" s="21">
        <f>EXP(-LN(2)/25)*BQ183+(1-EXP(-LN(2)/25))/(LN(2)/25)*Calculateur!BL184*Calculateur!BN184*VLOOKUP('Données projet'!$B$11,Paramètres!$A$1:$I$89,3,0)*0.475*44/12</f>
        <v>2.5537068712717228</v>
      </c>
      <c r="BR184" s="21">
        <f>EXP(-LN(2)/2)*BR183+(1-EXP(-LN(2)/2))/(LN(2)/2)*BL184*BO184*VLOOKUP('Données projet'!$B$11,Paramètres!$A$1:$I$89,3,0)*0.475*44/12</f>
        <v>7.8175610664668592E-16</v>
      </c>
      <c r="BS184" s="22">
        <f t="shared" si="169"/>
        <v>25.915636633674314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-4.5474735088646412E-13</v>
      </c>
      <c r="BZ184" s="13">
        <f>BY184*VLOOKUP('Données projet'!$B$12,Paramètres!$A$1:$I$89,3,0)*VLOOKUP('Données projet'!$B$12,Paramètres!$A$1:$I$89,5,0)</f>
        <v>-4.6111381379887462E-13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264.08050363622294</v>
      </c>
      <c r="CE184" s="59">
        <f t="shared" si="148"/>
        <v>164.48884512322883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107.19736128693741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107.19736128693741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194.7221767407824</v>
      </c>
      <c r="CZ184" s="59">
        <f t="shared" si="150"/>
        <v>177.6550559568646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18.472223533062543</v>
      </c>
      <c r="DG184" s="21">
        <f>EXP(-LN(2)/25)*DG183+(1-EXP(-LN(2)/25))/(LN(2)/25)*Calculateur!DB184*Calculateur!DD184*VLOOKUP('Données projet'!$B$13,Paramètres!$A$1:$I$89,3,0)*0.475*44/12</f>
        <v>2.0192100842613669</v>
      </c>
      <c r="DH184" s="21">
        <f>EXP(-LN(2)/2)*DH183+(1-EXP(-LN(2)/2))/(LN(2)/2)*DB184*DE184*VLOOKUP('Données projet'!$B$13,Paramètres!$A$1:$I$89,3,0)*0.475*44/12</f>
        <v>6.1813273548808239E-16</v>
      </c>
      <c r="DI184" s="22">
        <f t="shared" si="175"/>
        <v>20.49143361732391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3.4106051316484809E-13</v>
      </c>
      <c r="DP184" s="17">
        <f>DO184*VLOOKUP('Données projet'!$B$14,Paramètres!$A$1:$I$89,3,0)*VLOOKUP('Données projet'!$B$14,Paramètres!$A$1:$I$89,5,0)</f>
        <v>1.5961632016114892E-13</v>
      </c>
      <c r="DQ184" s="13">
        <f t="shared" si="176"/>
        <v>2.2708641912150958E-12</v>
      </c>
      <c r="DR184" s="20">
        <f t="shared" si="177"/>
        <v>4.2330868906469593E-12</v>
      </c>
      <c r="DS184" s="59">
        <f t="shared" si="125"/>
        <v>293.33333333333752</v>
      </c>
      <c r="DT184" s="59">
        <f ca="1">AVERAGE(OFFSET($DS$3,0,0,'Données projet'!$E$14+1,1))-AVERAGE(OFFSET($H$3,0,0,'Données projet'!$E$14+1,1))</f>
        <v>207.25176714718668</v>
      </c>
      <c r="DU184" s="59">
        <f t="shared" si="152"/>
        <v>191.53228014642559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38.897429714428803</v>
      </c>
      <c r="EB184" s="21">
        <f>EXP(-LN(2)/25)*EB183+(1-EXP(-LN(2)/25))/(LN(2)/25)*Calculateur!DW184*Calculateur!DY184*VLOOKUP('Données projet'!$B$14,Paramètres!$A$1:$I$89,3,0)*0.475*44/12</f>
        <v>5.3400196820125991</v>
      </c>
      <c r="EC184" s="21">
        <f>EXP(-LN(2)/2)*EC183+(1-EXP(-LN(2)/2))/(LN(2)/2)*DW184*DZ184*VLOOKUP('Données projet'!$B$14,Paramètres!$A$1:$I$89,3,0)*0.475*44/12</f>
        <v>8.0714530646774281E-11</v>
      </c>
      <c r="ED184" s="22">
        <f t="shared" si="178"/>
        <v>44.237449396522123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-2.8421709430404007E-13</v>
      </c>
      <c r="EK184" s="17">
        <f>EJ184*VLOOKUP('Données projet'!$B$15,Paramètres!$A$1:$I$89,3,0)*VLOOKUP('Données projet'!$B$15,Paramètres!$A$1:$I$89,5,0)</f>
        <v>-1.69961822393816E-13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200.15574321350221</v>
      </c>
      <c r="EP184" s="59">
        <f t="shared" si="154"/>
        <v>200.70728852570426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11.811635181280703</v>
      </c>
      <c r="EW184" s="21">
        <f>EXP(-LN(2)/25)*EW183+(1-EXP(-LN(2)/25))/(LN(2)/25)*Calculateur!ER184*Calculateur!ET184*VLOOKUP('Données projet'!$B$15,Paramètres!$A$1:$I$89,3,0)*0.475*44/12</f>
        <v>1.2617727210986525</v>
      </c>
      <c r="EX184" s="21">
        <f>EXP(-LN(2)/2)*EX183+(1-EXP(-LN(2)/2))/(LN(2)/2)*ER184*EU184*VLOOKUP('Données projet'!$B$15,Paramètres!$A$1:$I$89,3,0)*0.475*44/12</f>
        <v>1.9603370067252849E-17</v>
      </c>
      <c r="EY184" s="22">
        <f t="shared" si="181"/>
        <v>13.073407902379355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5.6843418860808015E-13</v>
      </c>
      <c r="FF184" s="17">
        <f>FE184*VLOOKUP('Données projet'!$B$16,Paramètres!$A$1:$I$89,3,0)*VLOOKUP('Données projet'!$B$16,Paramètres!$A$1:$I$89,5,0)</f>
        <v>6.1186256061773743E-13</v>
      </c>
      <c r="FG184" s="13">
        <f t="shared" si="182"/>
        <v>7.4445668332430206E-12</v>
      </c>
      <c r="FH184" s="20">
        <f t="shared" si="183"/>
        <v>1.4031614527640822E-11</v>
      </c>
      <c r="FI184" s="59">
        <f t="shared" si="131"/>
        <v>293.33333333334735</v>
      </c>
      <c r="FJ184" s="59">
        <f ca="1">AVERAGE(OFFSET($FI$3,0,0,'Données projet'!$E$16+1,1))-AVERAGE(OFFSET($H$3,0,0,'Données projet'!$E$16+1,1))</f>
        <v>347.17049316703486</v>
      </c>
      <c r="FK184" s="59">
        <f t="shared" si="156"/>
        <v>255.45365487683489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75.568072017934526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75.568072017934526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7">
        <f t="shared" si="110"/>
        <v>482.43320411600246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266.02599413192075</v>
      </c>
      <c r="T185" s="59">
        <f t="shared" si="142"/>
        <v>332.94146254783254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5.1431925385259092E-13</v>
      </c>
      <c r="AK185" s="13">
        <f t="shared" si="164"/>
        <v>6.3855359115685756E-12</v>
      </c>
      <c r="AL185" s="20">
        <f t="shared" si="165"/>
        <v>1.2017247746441865E-11</v>
      </c>
      <c r="AM185" s="59">
        <f t="shared" si="113"/>
        <v>293.33333333334531</v>
      </c>
      <c r="AN185" s="59">
        <f ca="1">AVERAGE(OFFSET($AM$3,0,0,'Données projet'!$E$10+1,1))-AVERAGE(OFFSET($H$3,0,0,'Données projet'!$E$10+1,1))</f>
        <v>282.13645166362238</v>
      </c>
      <c r="AO185" s="59">
        <f t="shared" si="144"/>
        <v>210.5345332979457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62.275380240911055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62.275380240911055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254.6443970237226</v>
      </c>
      <c r="BJ185" s="59">
        <f t="shared" si="146"/>
        <v>231.81667808018062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22.903816569132026</v>
      </c>
      <c r="BQ185" s="21">
        <f>EXP(-LN(2)/25)*BQ184+(1-EXP(-LN(2)/25))/(LN(2)/25)*Calculateur!BL185*Calculateur!BN185*VLOOKUP('Données projet'!$B$11,Paramètres!$A$1:$I$89,3,0)*0.475*44/12</f>
        <v>2.4838756225831897</v>
      </c>
      <c r="BR185" s="21">
        <f>EXP(-LN(2)/2)*BR184+(1-EXP(-LN(2)/2))/(LN(2)/2)*BL185*BO185*VLOOKUP('Données projet'!$B$11,Paramètres!$A$1:$I$89,3,0)*0.475*44/12</f>
        <v>5.5278504424386544E-16</v>
      </c>
      <c r="BS185" s="22">
        <f t="shared" si="169"/>
        <v>25.387692191715217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-4.5474735088646412E-13</v>
      </c>
      <c r="BZ185" s="13">
        <f>BY185*VLOOKUP('Données projet'!$B$12,Paramètres!$A$1:$I$89,3,0)*VLOOKUP('Données projet'!$B$12,Paramètres!$A$1:$I$89,5,0)</f>
        <v>-4.6111381379887462E-13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264.08050363622294</v>
      </c>
      <c r="CE185" s="59">
        <f t="shared" si="148"/>
        <v>164.48884512322883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105.09528641603482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105.09528641603482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194.7221767407824</v>
      </c>
      <c r="CZ185" s="59">
        <f t="shared" si="150"/>
        <v>177.6550559568646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18.109994496523022</v>
      </c>
      <c r="DG185" s="21">
        <f>EXP(-LN(2)/25)*DG184+(1-EXP(-LN(2)/25))/(LN(2)/25)*Calculateur!DB185*Calculateur!DD185*VLOOKUP('Données projet'!$B$13,Paramètres!$A$1:$I$89,3,0)*0.475*44/12</f>
        <v>1.9639946783215965</v>
      </c>
      <c r="DH185" s="21">
        <f>EXP(-LN(2)/2)*DH184+(1-EXP(-LN(2)/2))/(LN(2)/2)*DB185*DE185*VLOOKUP('Données projet'!$B$13,Paramètres!$A$1:$I$89,3,0)*0.475*44/12</f>
        <v>4.3708584893701356E-16</v>
      </c>
      <c r="DI185" s="22">
        <f t="shared" si="175"/>
        <v>20.07398917484462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3.4106051316484809E-13</v>
      </c>
      <c r="DP185" s="17">
        <f>DO185*VLOOKUP('Données projet'!$B$14,Paramètres!$A$1:$I$89,3,0)*VLOOKUP('Données projet'!$B$14,Paramètres!$A$1:$I$89,5,0)</f>
        <v>1.5961632016114892E-13</v>
      </c>
      <c r="DQ185" s="13">
        <f t="shared" si="176"/>
        <v>2.2708641912150958E-12</v>
      </c>
      <c r="DR185" s="20">
        <f t="shared" si="177"/>
        <v>4.2330868906469593E-12</v>
      </c>
      <c r="DS185" s="59">
        <f t="shared" si="125"/>
        <v>293.33333333333752</v>
      </c>
      <c r="DT185" s="59">
        <f ca="1">AVERAGE(OFFSET($DS$3,0,0,'Données projet'!$E$14+1,1))-AVERAGE(OFFSET($H$3,0,0,'Données projet'!$E$14+1,1))</f>
        <v>207.25176714718668</v>
      </c>
      <c r="DU185" s="59">
        <f t="shared" si="152"/>
        <v>191.53228014642559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38.13467484281832</v>
      </c>
      <c r="EB185" s="21">
        <f>EXP(-LN(2)/25)*EB184+(1-EXP(-LN(2)/25))/(LN(2)/25)*Calculateur!DW185*Calculateur!DY185*VLOOKUP('Données projet'!$B$14,Paramètres!$A$1:$I$89,3,0)*0.475*44/12</f>
        <v>5.1939965629885343</v>
      </c>
      <c r="EC185" s="21">
        <f>EXP(-LN(2)/2)*EC184+(1-EXP(-LN(2)/2))/(LN(2)/2)*DW185*DZ185*VLOOKUP('Données projet'!$B$14,Paramètres!$A$1:$I$89,3,0)*0.475*44/12</f>
        <v>5.7073791960623509E-11</v>
      </c>
      <c r="ED185" s="22">
        <f t="shared" si="178"/>
        <v>43.328671405863929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-2.8421709430404007E-13</v>
      </c>
      <c r="EK185" s="17">
        <f>EJ185*VLOOKUP('Données projet'!$B$15,Paramètres!$A$1:$I$89,3,0)*VLOOKUP('Données projet'!$B$15,Paramètres!$A$1:$I$89,5,0)</f>
        <v>-1.69961822393816E-13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200.15574321350221</v>
      </c>
      <c r="EP185" s="59">
        <f t="shared" si="154"/>
        <v>200.70728852570426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11.580016219761875</v>
      </c>
      <c r="EW185" s="21">
        <f>EXP(-LN(2)/25)*EW184+(1-EXP(-LN(2)/25))/(LN(2)/25)*Calculateur!ER185*Calculateur!ET185*VLOOKUP('Données projet'!$B$15,Paramètres!$A$1:$I$89,3,0)*0.475*44/12</f>
        <v>1.2272694796864663</v>
      </c>
      <c r="EX185" s="21">
        <f>EXP(-LN(2)/2)*EX184+(1-EXP(-LN(2)/2))/(LN(2)/2)*ER185*EU185*VLOOKUP('Données projet'!$B$15,Paramètres!$A$1:$I$89,3,0)*0.475*44/12</f>
        <v>1.3861675908663877E-17</v>
      </c>
      <c r="EY185" s="22">
        <f t="shared" si="181"/>
        <v>12.807285699448341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5.6843418860808015E-13</v>
      </c>
      <c r="FF185" s="17">
        <f>FE185*VLOOKUP('Données projet'!$B$16,Paramètres!$A$1:$I$89,3,0)*VLOOKUP('Données projet'!$B$16,Paramètres!$A$1:$I$89,5,0)</f>
        <v>6.1186256061773743E-13</v>
      </c>
      <c r="FG185" s="13">
        <f t="shared" si="182"/>
        <v>7.4445668332430206E-12</v>
      </c>
      <c r="FH185" s="20">
        <f t="shared" si="183"/>
        <v>1.4031614527640822E-11</v>
      </c>
      <c r="FI185" s="59">
        <f t="shared" si="131"/>
        <v>293.33333333334735</v>
      </c>
      <c r="FJ185" s="59">
        <f ca="1">AVERAGE(OFFSET($FI$3,0,0,'Données projet'!$E$16+1,1))-AVERAGE(OFFSET($H$3,0,0,'Données projet'!$E$16+1,1))</f>
        <v>347.17049316703486</v>
      </c>
      <c r="FK185" s="59">
        <f t="shared" si="156"/>
        <v>255.45365487683489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74.086228217635551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74.086228217635551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7">
        <f t="shared" si="110"/>
        <v>483.44608809994094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266.02599413192075</v>
      </c>
      <c r="T186" s="59">
        <f t="shared" si="142"/>
        <v>332.94146254783254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5.1431925385259092E-13</v>
      </c>
      <c r="AK186" s="13">
        <f t="shared" si="164"/>
        <v>6.3855359115685756E-12</v>
      </c>
      <c r="AL186" s="20">
        <f t="shared" si="165"/>
        <v>1.2017247746441865E-11</v>
      </c>
      <c r="AM186" s="59">
        <f t="shared" si="113"/>
        <v>293.33333333334531</v>
      </c>
      <c r="AN186" s="59">
        <f ca="1">AVERAGE(OFFSET($AM$3,0,0,'Données projet'!$E$10+1,1))-AVERAGE(OFFSET($H$3,0,0,'Données projet'!$E$10+1,1))</f>
        <v>282.13645166362238</v>
      </c>
      <c r="AO186" s="59">
        <f t="shared" si="144"/>
        <v>210.5345332979457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61.054198018618102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61.054198018618102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254.6443970237226</v>
      </c>
      <c r="BJ186" s="59">
        <f t="shared" si="146"/>
        <v>231.81667808018062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22.454686696160035</v>
      </c>
      <c r="BQ186" s="21">
        <f>EXP(-LN(2)/25)*BQ185+(1-EXP(-LN(2)/25))/(LN(2)/25)*Calculateur!BL186*Calculateur!BN186*VLOOKUP('Données projet'!$B$11,Paramètres!$A$1:$I$89,3,0)*0.475*44/12</f>
        <v>2.4159539130623102</v>
      </c>
      <c r="BR186" s="21">
        <f>EXP(-LN(2)/2)*BR185+(1-EXP(-LN(2)/2))/(LN(2)/2)*BL186*BO186*VLOOKUP('Données projet'!$B$11,Paramètres!$A$1:$I$89,3,0)*0.475*44/12</f>
        <v>3.9087805332334296E-16</v>
      </c>
      <c r="BS186" s="22">
        <f t="shared" si="169"/>
        <v>24.870640609222345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-4.5474735088646412E-13</v>
      </c>
      <c r="BZ186" s="13">
        <f>BY186*VLOOKUP('Données projet'!$B$12,Paramètres!$A$1:$I$89,3,0)*VLOOKUP('Données projet'!$B$12,Paramètres!$A$1:$I$89,5,0)</f>
        <v>-4.6111381379887462E-13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264.08050363622294</v>
      </c>
      <c r="CE186" s="59">
        <f t="shared" si="148"/>
        <v>164.48884512322883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103.03443195121157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103.03443195121157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194.7221767407824</v>
      </c>
      <c r="CZ186" s="59">
        <f t="shared" si="150"/>
        <v>177.6550559568646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17.754868550452144</v>
      </c>
      <c r="DG186" s="21">
        <f>EXP(-LN(2)/25)*DG185+(1-EXP(-LN(2)/25))/(LN(2)/25)*Calculateur!DB186*Calculateur!DD186*VLOOKUP('Données projet'!$B$13,Paramètres!$A$1:$I$89,3,0)*0.475*44/12</f>
        <v>1.910289140560901</v>
      </c>
      <c r="DH186" s="21">
        <f>EXP(-LN(2)/2)*DH185+(1-EXP(-LN(2)/2))/(LN(2)/2)*DB186*DE186*VLOOKUP('Données projet'!$B$13,Paramètres!$A$1:$I$89,3,0)*0.475*44/12</f>
        <v>3.0906636774404124E-16</v>
      </c>
      <c r="DI186" s="22">
        <f t="shared" si="175"/>
        <v>19.665157691013047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3.4106051316484809E-13</v>
      </c>
      <c r="DP186" s="17">
        <f>DO186*VLOOKUP('Données projet'!$B$14,Paramètres!$A$1:$I$89,3,0)*VLOOKUP('Données projet'!$B$14,Paramètres!$A$1:$I$89,5,0)</f>
        <v>1.5961632016114892E-13</v>
      </c>
      <c r="DQ186" s="13">
        <f t="shared" si="176"/>
        <v>2.2708641912150958E-12</v>
      </c>
      <c r="DR186" s="20">
        <f t="shared" si="177"/>
        <v>4.2330868906469593E-12</v>
      </c>
      <c r="DS186" s="59">
        <f t="shared" si="125"/>
        <v>293.33333333333752</v>
      </c>
      <c r="DT186" s="59">
        <f ca="1">AVERAGE(OFFSET($DS$3,0,0,'Données projet'!$E$14+1,1))-AVERAGE(OFFSET($H$3,0,0,'Données projet'!$E$14+1,1))</f>
        <v>207.25176714718668</v>
      </c>
      <c r="DU186" s="59">
        <f t="shared" si="152"/>
        <v>191.53228014642559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37.38687712900559</v>
      </c>
      <c r="EB186" s="21">
        <f>EXP(-LN(2)/25)*EB185+(1-EXP(-LN(2)/25))/(LN(2)/25)*Calculateur!DW186*Calculateur!DY186*VLOOKUP('Données projet'!$B$14,Paramètres!$A$1:$I$89,3,0)*0.475*44/12</f>
        <v>5.051966453833205</v>
      </c>
      <c r="EC186" s="21">
        <f>EXP(-LN(2)/2)*EC185+(1-EXP(-LN(2)/2))/(LN(2)/2)*DW186*DZ186*VLOOKUP('Données projet'!$B$14,Paramètres!$A$1:$I$89,3,0)*0.475*44/12</f>
        <v>4.0357265323387147E-11</v>
      </c>
      <c r="ED186" s="22">
        <f t="shared" si="178"/>
        <v>42.438843582879151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-2.8421709430404007E-13</v>
      </c>
      <c r="EK186" s="17">
        <f>EJ186*VLOOKUP('Données projet'!$B$15,Paramètres!$A$1:$I$89,3,0)*VLOOKUP('Données projet'!$B$15,Paramètres!$A$1:$I$89,5,0)</f>
        <v>-1.69961822393816E-13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200.15574321350221</v>
      </c>
      <c r="EP186" s="59">
        <f t="shared" si="154"/>
        <v>200.70728852570426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11.352939164804814</v>
      </c>
      <c r="EW186" s="21">
        <f>EXP(-LN(2)/25)*EW185+(1-EXP(-LN(2)/25))/(LN(2)/25)*Calculateur!ER186*Calculateur!ET186*VLOOKUP('Données projet'!$B$15,Paramètres!$A$1:$I$89,3,0)*0.475*44/12</f>
        <v>1.1937097312251428</v>
      </c>
      <c r="EX186" s="21">
        <f>EXP(-LN(2)/2)*EX185+(1-EXP(-LN(2)/2))/(LN(2)/2)*ER186*EU186*VLOOKUP('Données projet'!$B$15,Paramètres!$A$1:$I$89,3,0)*0.475*44/12</f>
        <v>9.801685033626426E-18</v>
      </c>
      <c r="EY186" s="22">
        <f t="shared" si="181"/>
        <v>12.546648896029957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5.6843418860808015E-13</v>
      </c>
      <c r="FF186" s="17">
        <f>FE186*VLOOKUP('Données projet'!$B$16,Paramètres!$A$1:$I$89,3,0)*VLOOKUP('Données projet'!$B$16,Paramètres!$A$1:$I$89,5,0)</f>
        <v>6.1186256061773743E-13</v>
      </c>
      <c r="FG186" s="13">
        <f t="shared" si="182"/>
        <v>7.4445668332430206E-12</v>
      </c>
      <c r="FH186" s="20">
        <f t="shared" si="183"/>
        <v>1.4031614527640822E-11</v>
      </c>
      <c r="FI186" s="59">
        <f t="shared" si="131"/>
        <v>293.33333333334735</v>
      </c>
      <c r="FJ186" s="59">
        <f ca="1">AVERAGE(OFFSET($FI$3,0,0,'Données projet'!$E$16+1,1))-AVERAGE(OFFSET($H$3,0,0,'Données projet'!$E$16+1,1))</f>
        <v>347.17049316703486</v>
      </c>
      <c r="FK186" s="59">
        <f t="shared" si="156"/>
        <v>255.45365487683489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72.633442470424967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72.633442470424967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7">
        <f t="shared" si="110"/>
        <v>484.4588463196352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266.02599413192075</v>
      </c>
      <c r="T187" s="59">
        <f t="shared" si="142"/>
        <v>332.94146254783254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5.1431925385259092E-13</v>
      </c>
      <c r="AK187" s="13">
        <f t="shared" si="164"/>
        <v>6.3855359115685756E-12</v>
      </c>
      <c r="AL187" s="20">
        <f t="shared" si="165"/>
        <v>1.2017247746441865E-11</v>
      </c>
      <c r="AM187" s="59">
        <f t="shared" si="113"/>
        <v>293.33333333334531</v>
      </c>
      <c r="AN187" s="59">
        <f ca="1">AVERAGE(OFFSET($AM$3,0,0,'Données projet'!$E$10+1,1))-AVERAGE(OFFSET($H$3,0,0,'Données projet'!$E$10+1,1))</f>
        <v>282.13645166362238</v>
      </c>
      <c r="AO187" s="59">
        <f t="shared" si="144"/>
        <v>210.5345332979457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59.856962434856712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59.856962434856712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254.6443970237226</v>
      </c>
      <c r="BJ187" s="59">
        <f t="shared" si="146"/>
        <v>231.81667808018062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22.014363986054853</v>
      </c>
      <c r="BQ187" s="21">
        <f>EXP(-LN(2)/25)*BQ186+(1-EXP(-LN(2)/25))/(LN(2)/25)*Calculateur!BL187*Calculateur!BN187*VLOOKUP('Données projet'!$B$11,Paramètres!$A$1:$I$89,3,0)*0.475*44/12</f>
        <v>2.3498895262601267</v>
      </c>
      <c r="BR187" s="21">
        <f>EXP(-LN(2)/2)*BR186+(1-EXP(-LN(2)/2))/(LN(2)/2)*BL187*BO187*VLOOKUP('Données projet'!$B$11,Paramètres!$A$1:$I$89,3,0)*0.475*44/12</f>
        <v>2.7639252212193272E-16</v>
      </c>
      <c r="BS187" s="22">
        <f t="shared" si="169"/>
        <v>24.364253512314981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-4.5474735088646412E-13</v>
      </c>
      <c r="BZ187" s="13">
        <f>BY187*VLOOKUP('Données projet'!$B$12,Paramètres!$A$1:$I$89,3,0)*VLOOKUP('Données projet'!$B$12,Paramètres!$A$1:$I$89,5,0)</f>
        <v>-4.6111381379887462E-13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264.08050363622294</v>
      </c>
      <c r="CE187" s="59">
        <f t="shared" si="148"/>
        <v>164.48884512322883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101.0139895854464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101.0139895854464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194.7221767407824</v>
      </c>
      <c r="CZ187" s="59">
        <f t="shared" si="150"/>
        <v>177.6550559568646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17.40670640757828</v>
      </c>
      <c r="DG187" s="21">
        <f>EXP(-LN(2)/25)*DG186+(1-EXP(-LN(2)/25))/(LN(2)/25)*Calculateur!DB187*Calculateur!DD187*VLOOKUP('Données projet'!$B$13,Paramètres!$A$1:$I$89,3,0)*0.475*44/12</f>
        <v>1.8580521835545234</v>
      </c>
      <c r="DH187" s="21">
        <f>EXP(-LN(2)/2)*DH186+(1-EXP(-LN(2)/2))/(LN(2)/2)*DB187*DE187*VLOOKUP('Données projet'!$B$13,Paramètres!$A$1:$I$89,3,0)*0.475*44/12</f>
        <v>2.1854292446850683E-16</v>
      </c>
      <c r="DI187" s="22">
        <f t="shared" si="175"/>
        <v>19.264758591132804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3.4106051316484809E-13</v>
      </c>
      <c r="DP187" s="17">
        <f>DO187*VLOOKUP('Données projet'!$B$14,Paramètres!$A$1:$I$89,3,0)*VLOOKUP('Données projet'!$B$14,Paramètres!$A$1:$I$89,5,0)</f>
        <v>1.5961632016114892E-13</v>
      </c>
      <c r="DQ187" s="13">
        <f t="shared" si="176"/>
        <v>2.2708641912150958E-12</v>
      </c>
      <c r="DR187" s="20">
        <f t="shared" si="177"/>
        <v>4.2330868906469593E-12</v>
      </c>
      <c r="DS187" s="59">
        <f t="shared" si="125"/>
        <v>293.33333333333752</v>
      </c>
      <c r="DT187" s="59">
        <f ca="1">AVERAGE(OFFSET($DS$3,0,0,'Données projet'!$E$14+1,1))-AVERAGE(OFFSET($H$3,0,0,'Données projet'!$E$14+1,1))</f>
        <v>207.25176714718668</v>
      </c>
      <c r="DU187" s="59">
        <f t="shared" si="152"/>
        <v>191.53228014642559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36.653743272249159</v>
      </c>
      <c r="EB187" s="21">
        <f>EXP(-LN(2)/25)*EB186+(1-EXP(-LN(2)/25))/(LN(2)/25)*Calculateur!DW187*Calculateur!DY187*VLOOKUP('Données projet'!$B$14,Paramètres!$A$1:$I$89,3,0)*0.475*44/12</f>
        <v>4.9138201654817664</v>
      </c>
      <c r="EC187" s="21">
        <f>EXP(-LN(2)/2)*EC186+(1-EXP(-LN(2)/2))/(LN(2)/2)*DW187*DZ187*VLOOKUP('Données projet'!$B$14,Paramètres!$A$1:$I$89,3,0)*0.475*44/12</f>
        <v>2.8536895980311761E-11</v>
      </c>
      <c r="ED187" s="22">
        <f t="shared" si="178"/>
        <v>41.56756343775946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-2.8421709430404007E-13</v>
      </c>
      <c r="EK187" s="17">
        <f>EJ187*VLOOKUP('Données projet'!$B$15,Paramètres!$A$1:$I$89,3,0)*VLOOKUP('Données projet'!$B$15,Paramètres!$A$1:$I$89,5,0)</f>
        <v>-1.69961822393816E-13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200.15574321350221</v>
      </c>
      <c r="EP187" s="59">
        <f t="shared" si="154"/>
        <v>200.70728852570426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11.130314952392133</v>
      </c>
      <c r="EW187" s="21">
        <f>EXP(-LN(2)/25)*EW186+(1-EXP(-LN(2)/25))/(LN(2)/25)*Calculateur!ER187*Calculateur!ET187*VLOOKUP('Données projet'!$B$15,Paramètres!$A$1:$I$89,3,0)*0.475*44/12</f>
        <v>1.1610676758503247</v>
      </c>
      <c r="EX187" s="21">
        <f>EXP(-LN(2)/2)*EX186+(1-EXP(-LN(2)/2))/(LN(2)/2)*ER187*EU187*VLOOKUP('Données projet'!$B$15,Paramètres!$A$1:$I$89,3,0)*0.475*44/12</f>
        <v>6.9308379543319394E-18</v>
      </c>
      <c r="EY187" s="22">
        <f t="shared" si="181"/>
        <v>12.291382628242458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5.6843418860808015E-13</v>
      </c>
      <c r="FF187" s="17">
        <f>FE187*VLOOKUP('Données projet'!$B$16,Paramètres!$A$1:$I$89,3,0)*VLOOKUP('Données projet'!$B$16,Paramètres!$A$1:$I$89,5,0)</f>
        <v>6.1186256061773743E-13</v>
      </c>
      <c r="FG187" s="13">
        <f t="shared" si="182"/>
        <v>7.4445668332430206E-12</v>
      </c>
      <c r="FH187" s="20">
        <f t="shared" si="183"/>
        <v>1.4031614527640822E-11</v>
      </c>
      <c r="FI187" s="59">
        <f t="shared" si="131"/>
        <v>293.33333333334735</v>
      </c>
      <c r="FJ187" s="59">
        <f ca="1">AVERAGE(OFFSET($FI$3,0,0,'Données projet'!$E$16+1,1))-AVERAGE(OFFSET($H$3,0,0,'Données projet'!$E$16+1,1))</f>
        <v>347.17049316703486</v>
      </c>
      <c r="FK187" s="59">
        <f t="shared" si="156"/>
        <v>255.45365487683489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71.209144965605375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71.209144965605375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7">
        <f t="shared" si="110"/>
        <v>485.4714795379125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266.02599413192075</v>
      </c>
      <c r="T188" s="59">
        <f t="shared" si="142"/>
        <v>332.94146254783254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5.1431925385259092E-13</v>
      </c>
      <c r="AK188" s="13">
        <f t="shared" si="164"/>
        <v>6.3855359115685756E-12</v>
      </c>
      <c r="AL188" s="20">
        <f t="shared" si="165"/>
        <v>1.2017247746441865E-11</v>
      </c>
      <c r="AM188" s="59">
        <f t="shared" si="113"/>
        <v>293.33333333334531</v>
      </c>
      <c r="AN188" s="59">
        <f ca="1">AVERAGE(OFFSET($AM$3,0,0,'Données projet'!$E$10+1,1))-AVERAGE(OFFSET($H$3,0,0,'Données projet'!$E$10+1,1))</f>
        <v>282.13645166362238</v>
      </c>
      <c r="AO188" s="59">
        <f t="shared" si="144"/>
        <v>210.5345332979457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58.68320391065128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58.68320391065128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254.6443970237226</v>
      </c>
      <c r="BJ188" s="59">
        <f t="shared" si="146"/>
        <v>231.81667808018062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21.5826757357245</v>
      </c>
      <c r="BQ188" s="21">
        <f>EXP(-LN(2)/25)*BQ187+(1-EXP(-LN(2)/25))/(LN(2)/25)*Calculateur!BL188*Calculateur!BN188*VLOOKUP('Données projet'!$B$11,Paramètres!$A$1:$I$89,3,0)*0.475*44/12</f>
        <v>2.2856316735892239</v>
      </c>
      <c r="BR188" s="21">
        <f>EXP(-LN(2)/2)*BR187+(1-EXP(-LN(2)/2))/(LN(2)/2)*BL188*BO188*VLOOKUP('Données projet'!$B$11,Paramètres!$A$1:$I$89,3,0)*0.475*44/12</f>
        <v>1.9543902666167148E-16</v>
      </c>
      <c r="BS188" s="22">
        <f t="shared" si="169"/>
        <v>23.868307409313722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-4.5474735088646412E-13</v>
      </c>
      <c r="BZ188" s="13">
        <f>BY188*VLOOKUP('Données projet'!$B$12,Paramètres!$A$1:$I$89,3,0)*VLOOKUP('Données projet'!$B$12,Paramètres!$A$1:$I$89,5,0)</f>
        <v>-4.6111381379887462E-13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264.08050363622294</v>
      </c>
      <c r="CE188" s="59">
        <f t="shared" si="148"/>
        <v>164.48884512322883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99.033166862125711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99.033166862125711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194.7221767407824</v>
      </c>
      <c r="CZ188" s="59">
        <f t="shared" si="150"/>
        <v>177.6550559568646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17.065371511968234</v>
      </c>
      <c r="DG188" s="21">
        <f>EXP(-LN(2)/25)*DG187+(1-EXP(-LN(2)/25))/(LN(2)/25)*Calculateur!DB188*Calculateur!DD188*VLOOKUP('Données projet'!$B$13,Paramètres!$A$1:$I$89,3,0)*0.475*44/12</f>
        <v>1.8072436488845072</v>
      </c>
      <c r="DH188" s="21">
        <f>EXP(-LN(2)/2)*DH187+(1-EXP(-LN(2)/2))/(LN(2)/2)*DB188*DE188*VLOOKUP('Données projet'!$B$13,Paramètres!$A$1:$I$89,3,0)*0.475*44/12</f>
        <v>1.5453318387202065E-16</v>
      </c>
      <c r="DI188" s="22">
        <f t="shared" si="175"/>
        <v>18.872615160852742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3.4106051316484809E-13</v>
      </c>
      <c r="DP188" s="17">
        <f>DO188*VLOOKUP('Données projet'!$B$14,Paramètres!$A$1:$I$89,3,0)*VLOOKUP('Données projet'!$B$14,Paramètres!$A$1:$I$89,5,0)</f>
        <v>1.5961632016114892E-13</v>
      </c>
      <c r="DQ188" s="13">
        <f t="shared" si="176"/>
        <v>2.2708641912150958E-12</v>
      </c>
      <c r="DR188" s="20">
        <f t="shared" si="177"/>
        <v>4.2330868906469593E-12</v>
      </c>
      <c r="DS188" s="59">
        <f t="shared" si="125"/>
        <v>293.33333333333752</v>
      </c>
      <c r="DT188" s="59">
        <f ca="1">AVERAGE(OFFSET($DS$3,0,0,'Données projet'!$E$14+1,1))-AVERAGE(OFFSET($H$3,0,0,'Données projet'!$E$14+1,1))</f>
        <v>207.25176714718668</v>
      </c>
      <c r="DU188" s="59">
        <f t="shared" si="152"/>
        <v>191.53228014642559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35.934985723256219</v>
      </c>
      <c r="EB188" s="21">
        <f>EXP(-LN(2)/25)*EB187+(1-EXP(-LN(2)/25))/(LN(2)/25)*Calculateur!DW188*Calculateur!DY188*VLOOKUP('Données projet'!$B$14,Paramètres!$A$1:$I$89,3,0)*0.475*44/12</f>
        <v>4.7794514946500959</v>
      </c>
      <c r="EC188" s="21">
        <f>EXP(-LN(2)/2)*EC187+(1-EXP(-LN(2)/2))/(LN(2)/2)*DW188*DZ188*VLOOKUP('Données projet'!$B$14,Paramètres!$A$1:$I$89,3,0)*0.475*44/12</f>
        <v>2.0178632661693577E-11</v>
      </c>
      <c r="ED188" s="22">
        <f t="shared" si="178"/>
        <v>40.714437217926495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-2.8421709430404007E-13</v>
      </c>
      <c r="EK188" s="17">
        <f>EJ188*VLOOKUP('Données projet'!$B$15,Paramètres!$A$1:$I$89,3,0)*VLOOKUP('Données projet'!$B$15,Paramètres!$A$1:$I$89,5,0)</f>
        <v>-1.69961822393816E-13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200.15574321350221</v>
      </c>
      <c r="EP188" s="59">
        <f t="shared" si="154"/>
        <v>200.70728852570426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10.912056264997505</v>
      </c>
      <c r="EW188" s="21">
        <f>EXP(-LN(2)/25)*EW187+(1-EXP(-LN(2)/25))/(LN(2)/25)*Calculateur!ER188*Calculateur!ET188*VLOOKUP('Données projet'!$B$15,Paramètres!$A$1:$I$89,3,0)*0.475*44/12</f>
        <v>1.129318219196302</v>
      </c>
      <c r="EX188" s="21">
        <f>EXP(-LN(2)/2)*EX187+(1-EXP(-LN(2)/2))/(LN(2)/2)*ER188*EU188*VLOOKUP('Données projet'!$B$15,Paramètres!$A$1:$I$89,3,0)*0.475*44/12</f>
        <v>4.9008425168132138E-18</v>
      </c>
      <c r="EY188" s="22">
        <f t="shared" si="181"/>
        <v>12.041374484193806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5.6843418860808015E-13</v>
      </c>
      <c r="FF188" s="17">
        <f>FE188*VLOOKUP('Données projet'!$B$16,Paramètres!$A$1:$I$89,3,0)*VLOOKUP('Données projet'!$B$16,Paramètres!$A$1:$I$89,5,0)</f>
        <v>6.1186256061773743E-13</v>
      </c>
      <c r="FG188" s="13">
        <f t="shared" si="182"/>
        <v>7.4445668332430206E-12</v>
      </c>
      <c r="FH188" s="20">
        <f t="shared" si="183"/>
        <v>1.4031614527640822E-11</v>
      </c>
      <c r="FI188" s="59">
        <f t="shared" si="131"/>
        <v>293.33333333334735</v>
      </c>
      <c r="FJ188" s="59">
        <f ca="1">AVERAGE(OFFSET($FI$3,0,0,'Données projet'!$E$16+1,1))-AVERAGE(OFFSET($H$3,0,0,'Données projet'!$E$16+1,1))</f>
        <v>347.17049316703486</v>
      </c>
      <c r="FK188" s="59">
        <f t="shared" si="156"/>
        <v>255.45365487683489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69.812777066119608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69.812777066119608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7">
        <f t="shared" si="110"/>
        <v>486.48398850887571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266.02599413192075</v>
      </c>
      <c r="T189" s="59">
        <f t="shared" si="142"/>
        <v>332.94146254783254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5.1431925385259092E-13</v>
      </c>
      <c r="AK189" s="13">
        <f t="shared" si="164"/>
        <v>6.3855359115685756E-12</v>
      </c>
      <c r="AL189" s="20">
        <f t="shared" si="165"/>
        <v>1.2017247746441865E-11</v>
      </c>
      <c r="AM189" s="59">
        <f t="shared" si="113"/>
        <v>293.33333333334531</v>
      </c>
      <c r="AN189" s="59">
        <f ca="1">AVERAGE(OFFSET($AM$3,0,0,'Données projet'!$E$10+1,1))-AVERAGE(OFFSET($H$3,0,0,'Données projet'!$E$10+1,1))</f>
        <v>282.13645166362238</v>
      </c>
      <c r="AO189" s="59">
        <f t="shared" si="144"/>
        <v>210.5345332979457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57.53246207518351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57.53246207518351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254.6443970237226</v>
      </c>
      <c r="BJ189" s="59">
        <f t="shared" si="146"/>
        <v>231.81667808018062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21.15945262867929</v>
      </c>
      <c r="BQ189" s="21">
        <f>EXP(-LN(2)/25)*BQ188+(1-EXP(-LN(2)/25))/(LN(2)/25)*Calculateur!BL189*Calculateur!BN189*VLOOKUP('Données projet'!$B$11,Paramètres!$A$1:$I$89,3,0)*0.475*44/12</f>
        <v>2.2231309552787808</v>
      </c>
      <c r="BR189" s="21">
        <f>EXP(-LN(2)/2)*BR188+(1-EXP(-LN(2)/2))/(LN(2)/2)*BL189*BO189*VLOOKUP('Données projet'!$B$11,Paramètres!$A$1:$I$89,3,0)*0.475*44/12</f>
        <v>1.3819626106096636E-16</v>
      </c>
      <c r="BS189" s="22">
        <f t="shared" si="169"/>
        <v>23.38258358395807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-4.5474735088646412E-13</v>
      </c>
      <c r="BZ189" s="13">
        <f>BY189*VLOOKUP('Données projet'!$B$12,Paramètres!$A$1:$I$89,3,0)*VLOOKUP('Données projet'!$B$12,Paramètres!$A$1:$I$89,5,0)</f>
        <v>-4.6111381379887462E-13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264.08050363622294</v>
      </c>
      <c r="CE189" s="59">
        <f t="shared" si="148"/>
        <v>164.48884512322883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97.091186864226785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97.091186864226785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194.7221767407824</v>
      </c>
      <c r="CZ189" s="59">
        <f t="shared" si="150"/>
        <v>177.6550559568646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16.73072998546737</v>
      </c>
      <c r="DG189" s="21">
        <f>EXP(-LN(2)/25)*DG188+(1-EXP(-LN(2)/25))/(LN(2)/25)*Calculateur!DB189*Calculateur!DD189*VLOOKUP('Données projet'!$B$13,Paramètres!$A$1:$I$89,3,0)*0.475*44/12</f>
        <v>1.7578244762669473</v>
      </c>
      <c r="DH189" s="21">
        <f>EXP(-LN(2)/2)*DH188+(1-EXP(-LN(2)/2))/(LN(2)/2)*DB189*DE189*VLOOKUP('Données projet'!$B$13,Paramètres!$A$1:$I$89,3,0)*0.475*44/12</f>
        <v>1.0927146223425343E-16</v>
      </c>
      <c r="DI189" s="22">
        <f t="shared" si="175"/>
        <v>18.488554461734317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3.4106051316484809E-13</v>
      </c>
      <c r="DP189" s="17">
        <f>DO189*VLOOKUP('Données projet'!$B$14,Paramètres!$A$1:$I$89,3,0)*VLOOKUP('Données projet'!$B$14,Paramètres!$A$1:$I$89,5,0)</f>
        <v>1.5961632016114892E-13</v>
      </c>
      <c r="DQ189" s="13">
        <f t="shared" si="176"/>
        <v>2.2708641912150958E-12</v>
      </c>
      <c r="DR189" s="20">
        <f t="shared" si="177"/>
        <v>4.2330868906469593E-12</v>
      </c>
      <c r="DS189" s="59">
        <f t="shared" si="125"/>
        <v>293.33333333333752</v>
      </c>
      <c r="DT189" s="59">
        <f ca="1">AVERAGE(OFFSET($DS$3,0,0,'Données projet'!$E$14+1,1))-AVERAGE(OFFSET($H$3,0,0,'Données projet'!$E$14+1,1))</f>
        <v>207.25176714718668</v>
      </c>
      <c r="DU189" s="59">
        <f t="shared" si="152"/>
        <v>191.53228014642559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35.230322571400215</v>
      </c>
      <c r="EB189" s="21">
        <f>EXP(-LN(2)/25)*EB188+(1-EXP(-LN(2)/25))/(LN(2)/25)*Calculateur!DW189*Calculateur!DY189*VLOOKUP('Données projet'!$B$14,Paramètres!$A$1:$I$89,3,0)*0.475*44/12</f>
        <v>4.6487571421884581</v>
      </c>
      <c r="EC189" s="21">
        <f>EXP(-LN(2)/2)*EC188+(1-EXP(-LN(2)/2))/(LN(2)/2)*DW189*DZ189*VLOOKUP('Données projet'!$B$14,Paramètres!$A$1:$I$89,3,0)*0.475*44/12</f>
        <v>1.4268447990155882E-11</v>
      </c>
      <c r="ED189" s="22">
        <f t="shared" si="178"/>
        <v>39.879079713602941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-2.8421709430404007E-13</v>
      </c>
      <c r="EK189" s="17">
        <f>EJ189*VLOOKUP('Données projet'!$B$15,Paramètres!$A$1:$I$89,3,0)*VLOOKUP('Données projet'!$B$15,Paramètres!$A$1:$I$89,5,0)</f>
        <v>-1.69961822393816E-13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200.15574321350221</v>
      </c>
      <c r="EP189" s="59">
        <f t="shared" si="154"/>
        <v>200.70728852570426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10.69807749733803</v>
      </c>
      <c r="EW189" s="21">
        <f>EXP(-LN(2)/25)*EW188+(1-EXP(-LN(2)/25))/(LN(2)/25)*Calculateur!ER189*Calculateur!ET189*VLOOKUP('Données projet'!$B$15,Paramètres!$A$1:$I$89,3,0)*0.475*44/12</f>
        <v>1.0984369531041152</v>
      </c>
      <c r="EX189" s="21">
        <f>EXP(-LN(2)/2)*EX188+(1-EXP(-LN(2)/2))/(LN(2)/2)*ER189*EU189*VLOOKUP('Données projet'!$B$15,Paramètres!$A$1:$I$89,3,0)*0.475*44/12</f>
        <v>3.4654189771659701E-18</v>
      </c>
      <c r="EY189" s="22">
        <f t="shared" si="181"/>
        <v>11.796514450442146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5.6843418860808015E-13</v>
      </c>
      <c r="FF189" s="17">
        <f>FE189*VLOOKUP('Données projet'!$B$16,Paramètres!$A$1:$I$89,3,0)*VLOOKUP('Données projet'!$B$16,Paramètres!$A$1:$I$89,5,0)</f>
        <v>6.1186256061773743E-13</v>
      </c>
      <c r="FG189" s="13">
        <f t="shared" si="182"/>
        <v>7.4445668332430206E-12</v>
      </c>
      <c r="FH189" s="20">
        <f t="shared" si="183"/>
        <v>1.4031614527640822E-11</v>
      </c>
      <c r="FI189" s="59">
        <f t="shared" si="131"/>
        <v>293.33333333334735</v>
      </c>
      <c r="FJ189" s="59">
        <f ca="1">AVERAGE(OFFSET($FI$3,0,0,'Données projet'!$E$16+1,1))-AVERAGE(OFFSET($H$3,0,0,'Données projet'!$E$16+1,1))</f>
        <v>347.17049316703486</v>
      </c>
      <c r="FK189" s="59">
        <f t="shared" si="156"/>
        <v>255.45365487683489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68.443791089442428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68.443791089442428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7">
        <f t="shared" si="110"/>
        <v>487.49637397804975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266.02599413192075</v>
      </c>
      <c r="T190" s="59">
        <f t="shared" si="142"/>
        <v>332.94146254783254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5.1431925385259092E-13</v>
      </c>
      <c r="AK190" s="13">
        <f t="shared" si="164"/>
        <v>6.3855359115685756E-12</v>
      </c>
      <c r="AL190" s="20">
        <f t="shared" si="165"/>
        <v>1.2017247746441865E-11</v>
      </c>
      <c r="AM190" s="59">
        <f t="shared" si="113"/>
        <v>293.33333333334531</v>
      </c>
      <c r="AN190" s="59">
        <f ca="1">AVERAGE(OFFSET($AM$3,0,0,'Données projet'!$E$10+1,1))-AVERAGE(OFFSET($H$3,0,0,'Données projet'!$E$10+1,1))</f>
        <v>282.13645166362238</v>
      </c>
      <c r="AO190" s="59">
        <f t="shared" si="144"/>
        <v>210.5345332979457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56.404285585226049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56.404285585226049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254.6443970237226</v>
      </c>
      <c r="BJ190" s="59">
        <f t="shared" si="146"/>
        <v>231.81667808018062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20.744528668622632</v>
      </c>
      <c r="BQ190" s="21">
        <f>EXP(-LN(2)/25)*BQ189+(1-EXP(-LN(2)/25))/(LN(2)/25)*Calculateur!BL190*Calculateur!BN190*VLOOKUP('Données projet'!$B$11,Paramètres!$A$1:$I$89,3,0)*0.475*44/12</f>
        <v>2.1623393223973064</v>
      </c>
      <c r="BR190" s="21">
        <f>EXP(-LN(2)/2)*BR189+(1-EXP(-LN(2)/2))/(LN(2)/2)*BL190*BO190*VLOOKUP('Données projet'!$B$11,Paramètres!$A$1:$I$89,3,0)*0.475*44/12</f>
        <v>9.771951333083574E-17</v>
      </c>
      <c r="BS190" s="22">
        <f t="shared" si="169"/>
        <v>22.906867991019936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-4.5474735088646412E-13</v>
      </c>
      <c r="BZ190" s="13">
        <f>BY190*VLOOKUP('Données projet'!$B$12,Paramètres!$A$1:$I$89,3,0)*VLOOKUP('Données projet'!$B$12,Paramètres!$A$1:$I$89,5,0)</f>
        <v>-4.6111381379887462E-13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264.08050363622294</v>
      </c>
      <c r="CE190" s="59">
        <f t="shared" si="148"/>
        <v>164.48884512322883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95.187287909595824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95.187287909595824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194.7221767407824</v>
      </c>
      <c r="CZ190" s="59">
        <f t="shared" si="150"/>
        <v>177.6550559568646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16.402650575190012</v>
      </c>
      <c r="DG190" s="21">
        <f>EXP(-LN(2)/25)*DG189+(1-EXP(-LN(2)/25))/(LN(2)/25)*Calculateur!DB190*Calculateur!DD190*VLOOKUP('Données projet'!$B$13,Paramètres!$A$1:$I$89,3,0)*0.475*44/12</f>
        <v>1.7097566735234559</v>
      </c>
      <c r="DH190" s="21">
        <f>EXP(-LN(2)/2)*DH189+(1-EXP(-LN(2)/2))/(LN(2)/2)*DB190*DE190*VLOOKUP('Données projet'!$B$13,Paramètres!$A$1:$I$89,3,0)*0.475*44/12</f>
        <v>7.7266591936010336E-17</v>
      </c>
      <c r="DI190" s="22">
        <f t="shared" si="175"/>
        <v>18.112407248713467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3.4106051316484809E-13</v>
      </c>
      <c r="DP190" s="17">
        <f>DO190*VLOOKUP('Données projet'!$B$14,Paramètres!$A$1:$I$89,3,0)*VLOOKUP('Données projet'!$B$14,Paramètres!$A$1:$I$89,5,0)</f>
        <v>1.5961632016114892E-13</v>
      </c>
      <c r="DQ190" s="13">
        <f t="shared" si="176"/>
        <v>2.2708641912150958E-12</v>
      </c>
      <c r="DR190" s="20">
        <f t="shared" si="177"/>
        <v>4.2330868906469593E-12</v>
      </c>
      <c r="DS190" s="59">
        <f t="shared" si="125"/>
        <v>293.33333333333752</v>
      </c>
      <c r="DT190" s="59">
        <f ca="1">AVERAGE(OFFSET($DS$3,0,0,'Données projet'!$E$14+1,1))-AVERAGE(OFFSET($H$3,0,0,'Données projet'!$E$14+1,1))</f>
        <v>207.25176714718668</v>
      </c>
      <c r="DU190" s="59">
        <f t="shared" si="152"/>
        <v>191.53228014642559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34.539477434150022</v>
      </c>
      <c r="EB190" s="21">
        <f>EXP(-LN(2)/25)*EB189+(1-EXP(-LN(2)/25))/(LN(2)/25)*Calculateur!DW190*Calculateur!DY190*VLOOKUP('Données projet'!$B$14,Paramètres!$A$1:$I$89,3,0)*0.475*44/12</f>
        <v>4.5216366336678018</v>
      </c>
      <c r="EC190" s="21">
        <f>EXP(-LN(2)/2)*EC189+(1-EXP(-LN(2)/2))/(LN(2)/2)*DW190*DZ190*VLOOKUP('Données projet'!$B$14,Paramètres!$A$1:$I$89,3,0)*0.475*44/12</f>
        <v>1.008931633084679E-11</v>
      </c>
      <c r="ED190" s="22">
        <f t="shared" si="178"/>
        <v>39.061114067827916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-2.8421709430404007E-13</v>
      </c>
      <c r="EK190" s="17">
        <f>EJ190*VLOOKUP('Données projet'!$B$15,Paramètres!$A$1:$I$89,3,0)*VLOOKUP('Données projet'!$B$15,Paramètres!$A$1:$I$89,5,0)</f>
        <v>-1.69961822393816E-13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200.15574321350221</v>
      </c>
      <c r="EP190" s="59">
        <f t="shared" si="154"/>
        <v>200.70728852570426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10.488294722798196</v>
      </c>
      <c r="EW190" s="21">
        <f>EXP(-LN(2)/25)*EW189+(1-EXP(-LN(2)/25))/(LN(2)/25)*Calculateur!ER190*Calculateur!ET190*VLOOKUP('Données projet'!$B$15,Paramètres!$A$1:$I$89,3,0)*0.475*44/12</f>
        <v>1.0684001368571943</v>
      </c>
      <c r="EX190" s="21">
        <f>EXP(-LN(2)/2)*EX189+(1-EXP(-LN(2)/2))/(LN(2)/2)*ER190*EU190*VLOOKUP('Données projet'!$B$15,Paramètres!$A$1:$I$89,3,0)*0.475*44/12</f>
        <v>2.4504212584066073E-18</v>
      </c>
      <c r="EY190" s="22">
        <f t="shared" si="181"/>
        <v>11.556694859655391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5.6843418860808015E-13</v>
      </c>
      <c r="FF190" s="17">
        <f>FE190*VLOOKUP('Données projet'!$B$16,Paramètres!$A$1:$I$89,3,0)*VLOOKUP('Données projet'!$B$16,Paramètres!$A$1:$I$89,5,0)</f>
        <v>6.1186256061773743E-13</v>
      </c>
      <c r="FG190" s="13">
        <f t="shared" si="182"/>
        <v>7.4445668332430206E-12</v>
      </c>
      <c r="FH190" s="20">
        <f t="shared" si="183"/>
        <v>1.4031614527640822E-11</v>
      </c>
      <c r="FI190" s="59">
        <f t="shared" si="131"/>
        <v>293.33333333334735</v>
      </c>
      <c r="FJ190" s="59">
        <f ca="1">AVERAGE(OFFSET($FI$3,0,0,'Données projet'!$E$16+1,1))-AVERAGE(OFFSET($H$3,0,0,'Données projet'!$E$16+1,1))</f>
        <v>347.17049316703486</v>
      </c>
      <c r="FK190" s="59">
        <f t="shared" si="156"/>
        <v>255.45365487683489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67.101650092768892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67.101650092768892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7">
        <f t="shared" si="110"/>
        <v>488.50863668252464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266.02599413192075</v>
      </c>
      <c r="T191" s="59">
        <f t="shared" si="142"/>
        <v>332.94146254783254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5.1431925385259092E-13</v>
      </c>
      <c r="AK191" s="13">
        <f t="shared" si="164"/>
        <v>6.3855359115685756E-12</v>
      </c>
      <c r="AL191" s="20">
        <f t="shared" si="165"/>
        <v>1.2017247746441865E-11</v>
      </c>
      <c r="AM191" s="59">
        <f t="shared" si="113"/>
        <v>293.33333333334531</v>
      </c>
      <c r="AN191" s="59">
        <f ca="1">AVERAGE(OFFSET($AM$3,0,0,'Données projet'!$E$10+1,1))-AVERAGE(OFFSET($H$3,0,0,'Données projet'!$E$10+1,1))</f>
        <v>282.13645166362238</v>
      </c>
      <c r="AO191" s="59">
        <f t="shared" si="144"/>
        <v>210.5345332979457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55.298231948116936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55.298231948116936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254.6443970237226</v>
      </c>
      <c r="BJ191" s="59">
        <f t="shared" si="146"/>
        <v>231.81667808018062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20.337741114344059</v>
      </c>
      <c r="BQ191" s="21">
        <f>EXP(-LN(2)/25)*BQ190+(1-EXP(-LN(2)/25))/(LN(2)/25)*Calculateur!BL191*Calculateur!BN191*VLOOKUP('Données projet'!$B$11,Paramètres!$A$1:$I$89,3,0)*0.475*44/12</f>
        <v>2.1032100399138693</v>
      </c>
      <c r="BR191" s="21">
        <f>EXP(-LN(2)/2)*BR190+(1-EXP(-LN(2)/2))/(LN(2)/2)*BL191*BO191*VLOOKUP('Données projet'!$B$11,Paramètres!$A$1:$I$89,3,0)*0.475*44/12</f>
        <v>6.909813053048318E-17</v>
      </c>
      <c r="BS191" s="22">
        <f t="shared" si="169"/>
        <v>22.440951154257927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-4.5474735088646412E-13</v>
      </c>
      <c r="BZ191" s="13">
        <f>BY191*VLOOKUP('Données projet'!$B$12,Paramètres!$A$1:$I$89,3,0)*VLOOKUP('Données projet'!$B$12,Paramètres!$A$1:$I$89,5,0)</f>
        <v>-4.6111381379887462E-13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264.08050363622294</v>
      </c>
      <c r="CE191" s="59">
        <f t="shared" si="148"/>
        <v>164.48884512322883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93.320723252201475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93.320723252201475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194.7221767407824</v>
      </c>
      <c r="CZ191" s="59">
        <f t="shared" si="150"/>
        <v>177.6550559568646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16.081004602039513</v>
      </c>
      <c r="DG191" s="21">
        <f>EXP(-LN(2)/25)*DG190+(1-EXP(-LN(2)/25))/(LN(2)/25)*Calculateur!DB191*Calculateur!DD191*VLOOKUP('Données projet'!$B$13,Paramètres!$A$1:$I$89,3,0)*0.475*44/12</f>
        <v>1.6630032873737612</v>
      </c>
      <c r="DH191" s="21">
        <f>EXP(-LN(2)/2)*DH190+(1-EXP(-LN(2)/2))/(LN(2)/2)*DB191*DE191*VLOOKUP('Données projet'!$B$13,Paramètres!$A$1:$I$89,3,0)*0.475*44/12</f>
        <v>5.4635731117126719E-17</v>
      </c>
      <c r="DI191" s="22">
        <f t="shared" si="175"/>
        <v>17.744007889413275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3.4106051316484809E-13</v>
      </c>
      <c r="DP191" s="17">
        <f>DO191*VLOOKUP('Données projet'!$B$14,Paramètres!$A$1:$I$89,3,0)*VLOOKUP('Données projet'!$B$14,Paramètres!$A$1:$I$89,5,0)</f>
        <v>1.5961632016114892E-13</v>
      </c>
      <c r="DQ191" s="13">
        <f t="shared" si="176"/>
        <v>2.2708641912150958E-12</v>
      </c>
      <c r="DR191" s="20">
        <f t="shared" si="177"/>
        <v>4.2330868906469593E-12</v>
      </c>
      <c r="DS191" s="59">
        <f t="shared" si="125"/>
        <v>293.33333333333752</v>
      </c>
      <c r="DT191" s="59">
        <f ca="1">AVERAGE(OFFSET($DS$3,0,0,'Données projet'!$E$14+1,1))-AVERAGE(OFFSET($H$3,0,0,'Données projet'!$E$14+1,1))</f>
        <v>207.25176714718668</v>
      </c>
      <c r="DU191" s="59">
        <f t="shared" si="152"/>
        <v>191.53228014642559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33.862179348667382</v>
      </c>
      <c r="EB191" s="21">
        <f>EXP(-LN(2)/25)*EB190+(1-EXP(-LN(2)/25))/(LN(2)/25)*Calculateur!DW191*Calculateur!DY191*VLOOKUP('Données projet'!$B$14,Paramètres!$A$1:$I$89,3,0)*0.475*44/12</f>
        <v>4.3979922421376196</v>
      </c>
      <c r="EC191" s="21">
        <f>EXP(-LN(2)/2)*EC190+(1-EXP(-LN(2)/2))/(LN(2)/2)*DW191*DZ191*VLOOKUP('Données projet'!$B$14,Paramètres!$A$1:$I$89,3,0)*0.475*44/12</f>
        <v>7.1342239950779419E-12</v>
      </c>
      <c r="ED191" s="22">
        <f t="shared" si="178"/>
        <v>38.260171590812135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-2.8421709430404007E-13</v>
      </c>
      <c r="EK191" s="17">
        <f>EJ191*VLOOKUP('Données projet'!$B$15,Paramètres!$A$1:$I$89,3,0)*VLOOKUP('Données projet'!$B$15,Paramètres!$A$1:$I$89,5,0)</f>
        <v>-1.69961822393816E-13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200.15574321350221</v>
      </c>
      <c r="EP191" s="59">
        <f t="shared" si="154"/>
        <v>200.70728852570426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10.282625660512231</v>
      </c>
      <c r="EW191" s="21">
        <f>EXP(-LN(2)/25)*EW190+(1-EXP(-LN(2)/25))/(LN(2)/25)*Calculateur!ER191*Calculateur!ET191*VLOOKUP('Données projet'!$B$15,Paramètres!$A$1:$I$89,3,0)*0.475*44/12</f>
        <v>1.0391846789301129</v>
      </c>
      <c r="EX191" s="21">
        <f>EXP(-LN(2)/2)*EX190+(1-EXP(-LN(2)/2))/(LN(2)/2)*ER191*EU191*VLOOKUP('Données projet'!$B$15,Paramètres!$A$1:$I$89,3,0)*0.475*44/12</f>
        <v>1.7327094885829854E-18</v>
      </c>
      <c r="EY191" s="22">
        <f t="shared" si="181"/>
        <v>11.321810339442344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5.6843418860808015E-13</v>
      </c>
      <c r="FF191" s="17">
        <f>FE191*VLOOKUP('Données projet'!$B$16,Paramètres!$A$1:$I$89,3,0)*VLOOKUP('Données projet'!$B$16,Paramètres!$A$1:$I$89,5,0)</f>
        <v>6.1186256061773743E-13</v>
      </c>
      <c r="FG191" s="13">
        <f t="shared" si="182"/>
        <v>7.4445668332430206E-12</v>
      </c>
      <c r="FH191" s="20">
        <f t="shared" si="183"/>
        <v>1.4031614527640822E-11</v>
      </c>
      <c r="FI191" s="59">
        <f t="shared" si="131"/>
        <v>293.33333333334735</v>
      </c>
      <c r="FJ191" s="59">
        <f ca="1">AVERAGE(OFFSET($FI$3,0,0,'Données projet'!$E$16+1,1))-AVERAGE(OFFSET($H$3,0,0,'Données projet'!$E$16+1,1))</f>
        <v>347.17049316703486</v>
      </c>
      <c r="FK191" s="59">
        <f t="shared" si="156"/>
        <v>255.45365487683489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65.785827662414945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65.785827662414945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7">
        <f t="shared" si="110"/>
        <v>489.52077735109492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266.02599413192075</v>
      </c>
      <c r="T192" s="59">
        <f t="shared" si="142"/>
        <v>332.94146254783254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5.1431925385259092E-13</v>
      </c>
      <c r="AK192" s="13">
        <f t="shared" si="164"/>
        <v>6.3855359115685756E-12</v>
      </c>
      <c r="AL192" s="20">
        <f t="shared" si="165"/>
        <v>1.2017247746441865E-11</v>
      </c>
      <c r="AM192" s="59">
        <f t="shared" si="113"/>
        <v>293.33333333334531</v>
      </c>
      <c r="AN192" s="59">
        <f ca="1">AVERAGE(OFFSET($AM$3,0,0,'Données projet'!$E$10+1,1))-AVERAGE(OFFSET($H$3,0,0,'Données projet'!$E$10+1,1))</f>
        <v>282.13645166362238</v>
      </c>
      <c r="AO192" s="59">
        <f t="shared" si="144"/>
        <v>210.5345332979457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54.213867348205426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54.213867348205426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254.6443970237226</v>
      </c>
      <c r="BJ192" s="59">
        <f t="shared" si="146"/>
        <v>231.81667808018062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19.938930415888979</v>
      </c>
      <c r="BQ192" s="21">
        <f>EXP(-LN(2)/25)*BQ191+(1-EXP(-LN(2)/25))/(LN(2)/25)*Calculateur!BL192*Calculateur!BN192*VLOOKUP('Données projet'!$B$11,Paramètres!$A$1:$I$89,3,0)*0.475*44/12</f>
        <v>2.0456976507694153</v>
      </c>
      <c r="BR192" s="21">
        <f>EXP(-LN(2)/2)*BR191+(1-EXP(-LN(2)/2))/(LN(2)/2)*BL192*BO192*VLOOKUP('Données projet'!$B$11,Paramètres!$A$1:$I$89,3,0)*0.475*44/12</f>
        <v>4.885975666541787E-17</v>
      </c>
      <c r="BS192" s="22">
        <f t="shared" si="169"/>
        <v>21.984628066658395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-4.5474735088646412E-13</v>
      </c>
      <c r="BZ192" s="13">
        <f>BY192*VLOOKUP('Données projet'!$B$12,Paramètres!$A$1:$I$89,3,0)*VLOOKUP('Données projet'!$B$12,Paramètres!$A$1:$I$89,5,0)</f>
        <v>-4.6111381379887462E-13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264.08050363622294</v>
      </c>
      <c r="CE192" s="59">
        <f t="shared" si="148"/>
        <v>164.48884512322883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91.490760789246607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91.490760789246607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194.7221767407824</v>
      </c>
      <c r="CZ192" s="59">
        <f t="shared" si="150"/>
        <v>177.6550559568646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15.765665910237823</v>
      </c>
      <c r="DG192" s="21">
        <f>EXP(-LN(2)/25)*DG191+(1-EXP(-LN(2)/25))/(LN(2)/25)*Calculateur!DB192*Calculateur!DD192*VLOOKUP('Données projet'!$B$13,Paramètres!$A$1:$I$89,3,0)*0.475*44/12</f>
        <v>1.6175283750269838</v>
      </c>
      <c r="DH192" s="21">
        <f>EXP(-LN(2)/2)*DH191+(1-EXP(-LN(2)/2))/(LN(2)/2)*DB192*DE192*VLOOKUP('Données projet'!$B$13,Paramètres!$A$1:$I$89,3,0)*0.475*44/12</f>
        <v>3.8633295968005174E-17</v>
      </c>
      <c r="DI192" s="22">
        <f t="shared" si="175"/>
        <v>17.383194285264807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3.4106051316484809E-13</v>
      </c>
      <c r="DP192" s="17">
        <f>DO192*VLOOKUP('Données projet'!$B$14,Paramètres!$A$1:$I$89,3,0)*VLOOKUP('Données projet'!$B$14,Paramètres!$A$1:$I$89,5,0)</f>
        <v>1.5961632016114892E-13</v>
      </c>
      <c r="DQ192" s="13">
        <f t="shared" si="176"/>
        <v>2.2708641912150958E-12</v>
      </c>
      <c r="DR192" s="20">
        <f t="shared" si="177"/>
        <v>4.2330868906469593E-12</v>
      </c>
      <c r="DS192" s="59">
        <f t="shared" si="125"/>
        <v>293.33333333333752</v>
      </c>
      <c r="DT192" s="59">
        <f ca="1">AVERAGE(OFFSET($DS$3,0,0,'Données projet'!$E$14+1,1))-AVERAGE(OFFSET($H$3,0,0,'Données projet'!$E$14+1,1))</f>
        <v>207.25176714718668</v>
      </c>
      <c r="DU192" s="59">
        <f t="shared" si="152"/>
        <v>191.53228014642559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33.198162665530013</v>
      </c>
      <c r="EB192" s="21">
        <f>EXP(-LN(2)/25)*EB191+(1-EXP(-LN(2)/25))/(LN(2)/25)*Calculateur!DW192*Calculateur!DY192*VLOOKUP('Données projet'!$B$14,Paramètres!$A$1:$I$89,3,0)*0.475*44/12</f>
        <v>4.2777289129960065</v>
      </c>
      <c r="EC192" s="21">
        <f>EXP(-LN(2)/2)*EC191+(1-EXP(-LN(2)/2))/(LN(2)/2)*DW192*DZ192*VLOOKUP('Données projet'!$B$14,Paramètres!$A$1:$I$89,3,0)*0.475*44/12</f>
        <v>5.0446581654233958E-12</v>
      </c>
      <c r="ED192" s="22">
        <f t="shared" si="178"/>
        <v>37.475891578531062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-2.8421709430404007E-13</v>
      </c>
      <c r="EK192" s="17">
        <f>EJ192*VLOOKUP('Données projet'!$B$15,Paramètres!$A$1:$I$89,3,0)*VLOOKUP('Données projet'!$B$15,Paramètres!$A$1:$I$89,5,0)</f>
        <v>-1.69961822393816E-13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200.15574321350221</v>
      </c>
      <c r="EP192" s="59">
        <f t="shared" si="154"/>
        <v>200.70728852570426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10.080989643091952</v>
      </c>
      <c r="EW192" s="21">
        <f>EXP(-LN(2)/25)*EW191+(1-EXP(-LN(2)/25))/(LN(2)/25)*Calculateur!ER192*Calculateur!ET192*VLOOKUP('Données projet'!$B$15,Paramètres!$A$1:$I$89,3,0)*0.475*44/12</f>
        <v>1.0107681192364217</v>
      </c>
      <c r="EX192" s="21">
        <f>EXP(-LN(2)/2)*EX191+(1-EXP(-LN(2)/2))/(LN(2)/2)*ER192*EU192*VLOOKUP('Données projet'!$B$15,Paramètres!$A$1:$I$89,3,0)*0.475*44/12</f>
        <v>1.2252106292033038E-18</v>
      </c>
      <c r="EY192" s="22">
        <f t="shared" si="181"/>
        <v>11.091757762328374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5.6843418860808015E-13</v>
      </c>
      <c r="FF192" s="17">
        <f>FE192*VLOOKUP('Données projet'!$B$16,Paramètres!$A$1:$I$89,3,0)*VLOOKUP('Données projet'!$B$16,Paramètres!$A$1:$I$89,5,0)</f>
        <v>6.1186256061773743E-13</v>
      </c>
      <c r="FG192" s="13">
        <f t="shared" si="182"/>
        <v>7.4445668332430206E-12</v>
      </c>
      <c r="FH192" s="20">
        <f t="shared" si="183"/>
        <v>1.4031614527640822E-11</v>
      </c>
      <c r="FI192" s="59">
        <f t="shared" si="131"/>
        <v>293.33333333334735</v>
      </c>
      <c r="FJ192" s="59">
        <f ca="1">AVERAGE(OFFSET($FI$3,0,0,'Données projet'!$E$16+1,1))-AVERAGE(OFFSET($H$3,0,0,'Données projet'!$E$16+1,1))</f>
        <v>347.17049316703486</v>
      </c>
      <c r="FK192" s="59">
        <f t="shared" si="156"/>
        <v>255.45365487683489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64.495807707347808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64.495807707347808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7">
        <f t="shared" si="110"/>
        <v>490.53279670439667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266.02599413192075</v>
      </c>
      <c r="T193" s="59">
        <f t="shared" si="142"/>
        <v>332.94146254783254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5.1431925385259092E-13</v>
      </c>
      <c r="AK193" s="13">
        <f t="shared" si="164"/>
        <v>6.3855359115685756E-12</v>
      </c>
      <c r="AL193" s="20">
        <f t="shared" si="165"/>
        <v>1.2017247746441865E-11</v>
      </c>
      <c r="AM193" s="59">
        <f t="shared" si="113"/>
        <v>293.33333333334531</v>
      </c>
      <c r="AN193" s="59">
        <f ca="1">AVERAGE(OFFSET($AM$3,0,0,'Données projet'!$E$10+1,1))-AVERAGE(OFFSET($H$3,0,0,'Données projet'!$E$10+1,1))</f>
        <v>282.13645166362238</v>
      </c>
      <c r="AO193" s="59">
        <f t="shared" si="144"/>
        <v>210.5345332979457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53.150766476701087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53.150766476701087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254.6443970237226</v>
      </c>
      <c r="BJ193" s="59">
        <f t="shared" si="146"/>
        <v>231.81667808018062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19.547940151980097</v>
      </c>
      <c r="BQ193" s="21">
        <f>EXP(-LN(2)/25)*BQ192+(1-EXP(-LN(2)/25))/(LN(2)/25)*Calculateur!BL193*Calculateur!BN193*VLOOKUP('Données projet'!$B$11,Paramètres!$A$1:$I$89,3,0)*0.475*44/12</f>
        <v>1.9897579409305617</v>
      </c>
      <c r="BR193" s="21">
        <f>EXP(-LN(2)/2)*BR192+(1-EXP(-LN(2)/2))/(LN(2)/2)*BL193*BO193*VLOOKUP('Données projet'!$B$11,Paramètres!$A$1:$I$89,3,0)*0.475*44/12</f>
        <v>3.454906526524159E-17</v>
      </c>
      <c r="BS193" s="22">
        <f t="shared" si="169"/>
        <v>21.537698092910659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-4.5474735088646412E-13</v>
      </c>
      <c r="BZ193" s="13">
        <f>BY193*VLOOKUP('Données projet'!$B$12,Paramètres!$A$1:$I$89,3,0)*VLOOKUP('Données projet'!$B$12,Paramètres!$A$1:$I$89,5,0)</f>
        <v>-4.6111381379887462E-13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264.08050363622294</v>
      </c>
      <c r="CE193" s="59">
        <f t="shared" si="148"/>
        <v>164.48884512322883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89.696682774023387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89.696682774023387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194.7221767407824</v>
      </c>
      <c r="CZ193" s="59">
        <f t="shared" si="150"/>
        <v>177.6550559568646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15.456510817844753</v>
      </c>
      <c r="DG193" s="21">
        <f>EXP(-LN(2)/25)*DG192+(1-EXP(-LN(2)/25))/(LN(2)/25)*Calculateur!DB193*Calculateur!DD193*VLOOKUP('Données projet'!$B$13,Paramètres!$A$1:$I$89,3,0)*0.475*44/12</f>
        <v>1.5732969765497506</v>
      </c>
      <c r="DH193" s="21">
        <f>EXP(-LN(2)/2)*DH192+(1-EXP(-LN(2)/2))/(LN(2)/2)*DB193*DE193*VLOOKUP('Données projet'!$B$13,Paramètres!$A$1:$I$89,3,0)*0.475*44/12</f>
        <v>2.7317865558563366E-17</v>
      </c>
      <c r="DI193" s="22">
        <f t="shared" si="175"/>
        <v>17.029807794394504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3.4106051316484809E-13</v>
      </c>
      <c r="DP193" s="17">
        <f>DO193*VLOOKUP('Données projet'!$B$14,Paramètres!$A$1:$I$89,3,0)*VLOOKUP('Données projet'!$B$14,Paramètres!$A$1:$I$89,5,0)</f>
        <v>1.5961632016114892E-13</v>
      </c>
      <c r="DQ193" s="13">
        <f t="shared" si="176"/>
        <v>2.2708641912150958E-12</v>
      </c>
      <c r="DR193" s="20">
        <f t="shared" si="177"/>
        <v>4.2330868906469593E-12</v>
      </c>
      <c r="DS193" s="59">
        <f t="shared" si="125"/>
        <v>293.33333333333752</v>
      </c>
      <c r="DT193" s="59">
        <f ca="1">AVERAGE(OFFSET($DS$3,0,0,'Données projet'!$E$14+1,1))-AVERAGE(OFFSET($H$3,0,0,'Données projet'!$E$14+1,1))</f>
        <v>207.25176714718668</v>
      </c>
      <c r="DU193" s="59">
        <f t="shared" si="152"/>
        <v>191.53228014642559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32.547166944538787</v>
      </c>
      <c r="EB193" s="21">
        <f>EXP(-LN(2)/25)*EB192+(1-EXP(-LN(2)/25))/(LN(2)/25)*Calculateur!DW193*Calculateur!DY193*VLOOKUP('Données projet'!$B$14,Paramètres!$A$1:$I$89,3,0)*0.475*44/12</f>
        <v>4.1607541909141439</v>
      </c>
      <c r="EC193" s="21">
        <f>EXP(-LN(2)/2)*EC192+(1-EXP(-LN(2)/2))/(LN(2)/2)*DW193*DZ193*VLOOKUP('Données projet'!$B$14,Paramètres!$A$1:$I$89,3,0)*0.475*44/12</f>
        <v>3.5671119975389718E-12</v>
      </c>
      <c r="ED193" s="22">
        <f t="shared" si="178"/>
        <v>36.707921135456502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-2.8421709430404007E-13</v>
      </c>
      <c r="EK193" s="17">
        <f>EJ193*VLOOKUP('Données projet'!$B$15,Paramètres!$A$1:$I$89,3,0)*VLOOKUP('Données projet'!$B$15,Paramètres!$A$1:$I$89,5,0)</f>
        <v>-1.69961822393816E-13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200.15574321350221</v>
      </c>
      <c r="EP193" s="59">
        <f t="shared" si="154"/>
        <v>200.70728852570426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9.8833075849874579</v>
      </c>
      <c r="EW193" s="21">
        <f>EXP(-LN(2)/25)*EW192+(1-EXP(-LN(2)/25))/(LN(2)/25)*Calculateur!ER193*Calculateur!ET193*VLOOKUP('Données projet'!$B$15,Paramètres!$A$1:$I$89,3,0)*0.475*44/12</f>
        <v>0.98312861186191658</v>
      </c>
      <c r="EX193" s="21">
        <f>EXP(-LN(2)/2)*EX192+(1-EXP(-LN(2)/2))/(LN(2)/2)*ER193*EU193*VLOOKUP('Données projet'!$B$15,Paramètres!$A$1:$I$89,3,0)*0.475*44/12</f>
        <v>8.6635474429149281E-19</v>
      </c>
      <c r="EY193" s="22">
        <f t="shared" si="181"/>
        <v>10.866436196849374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5.6843418860808015E-13</v>
      </c>
      <c r="FF193" s="17">
        <f>FE193*VLOOKUP('Données projet'!$B$16,Paramètres!$A$1:$I$89,3,0)*VLOOKUP('Données projet'!$B$16,Paramètres!$A$1:$I$89,5,0)</f>
        <v>6.1186256061773743E-13</v>
      </c>
      <c r="FG193" s="13">
        <f t="shared" si="182"/>
        <v>7.4445668332430206E-12</v>
      </c>
      <c r="FH193" s="20">
        <f t="shared" si="183"/>
        <v>1.4031614527640822E-11</v>
      </c>
      <c r="FI193" s="59">
        <f t="shared" si="131"/>
        <v>293.33333333334735</v>
      </c>
      <c r="FJ193" s="59">
        <f ca="1">AVERAGE(OFFSET($FI$3,0,0,'Données projet'!$E$16+1,1))-AVERAGE(OFFSET($H$3,0,0,'Données projet'!$E$16+1,1))</f>
        <v>347.17049316703486</v>
      </c>
      <c r="FK193" s="59">
        <f t="shared" si="156"/>
        <v>255.45365487683489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63.231084256765058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63.231084256765058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7">
        <f t="shared" si="110"/>
        <v>491.54469545504116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266.02599413192075</v>
      </c>
      <c r="T194" s="59">
        <f t="shared" si="142"/>
        <v>332.94146254783254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5.1431925385259092E-13</v>
      </c>
      <c r="AK194" s="13">
        <f t="shared" si="164"/>
        <v>6.3855359115685756E-12</v>
      </c>
      <c r="AL194" s="20">
        <f t="shared" si="165"/>
        <v>1.2017247746441865E-11</v>
      </c>
      <c r="AM194" s="59">
        <f t="shared" si="113"/>
        <v>293.33333333334531</v>
      </c>
      <c r="AN194" s="59">
        <f ca="1">AVERAGE(OFFSET($AM$3,0,0,'Données projet'!$E$10+1,1))-AVERAGE(OFFSET($H$3,0,0,'Données projet'!$E$10+1,1))</f>
        <v>282.13645166362238</v>
      </c>
      <c r="AO194" s="59">
        <f t="shared" si="144"/>
        <v>210.5345332979457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52.108512364859443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52.108512364859443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254.6443970237226</v>
      </c>
      <c r="BJ194" s="59">
        <f t="shared" si="146"/>
        <v>231.81667808018062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19.164616968665953</v>
      </c>
      <c r="BQ194" s="21">
        <f>EXP(-LN(2)/25)*BQ193+(1-EXP(-LN(2)/25))/(LN(2)/25)*Calculateur!BL194*Calculateur!BN194*VLOOKUP('Données projet'!$B$11,Paramètres!$A$1:$I$89,3,0)*0.475*44/12</f>
        <v>1.935347905398993</v>
      </c>
      <c r="BR194" s="21">
        <f>EXP(-LN(2)/2)*BR193+(1-EXP(-LN(2)/2))/(LN(2)/2)*BL194*BO194*VLOOKUP('Données projet'!$B$11,Paramètres!$A$1:$I$89,3,0)*0.475*44/12</f>
        <v>2.4429878332708935E-17</v>
      </c>
      <c r="BS194" s="22">
        <f t="shared" si="169"/>
        <v>21.099964874064945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-4.5474735088646412E-13</v>
      </c>
      <c r="BZ194" s="13">
        <f>BY194*VLOOKUP('Données projet'!$B$12,Paramètres!$A$1:$I$89,3,0)*VLOOKUP('Données projet'!$B$12,Paramètres!$A$1:$I$89,5,0)</f>
        <v>-4.6111381379887462E-13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264.08050363622294</v>
      </c>
      <c r="CE194" s="59">
        <f t="shared" si="148"/>
        <v>164.48884512322883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87.937785534399154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87.937785534399154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194.7221767407824</v>
      </c>
      <c r="CZ194" s="59">
        <f t="shared" si="150"/>
        <v>177.6550559568646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15.153418068247525</v>
      </c>
      <c r="DG194" s="21">
        <f>EXP(-LN(2)/25)*DG193+(1-EXP(-LN(2)/25))/(LN(2)/25)*Calculateur!DB194*Calculateur!DD194*VLOOKUP('Données projet'!$B$13,Paramètres!$A$1:$I$89,3,0)*0.475*44/12</f>
        <v>1.5302750879899056</v>
      </c>
      <c r="DH194" s="21">
        <f>EXP(-LN(2)/2)*DH193+(1-EXP(-LN(2)/2))/(LN(2)/2)*DB194*DE194*VLOOKUP('Données projet'!$B$13,Paramètres!$A$1:$I$89,3,0)*0.475*44/12</f>
        <v>1.931664798400259E-17</v>
      </c>
      <c r="DI194" s="22">
        <f t="shared" si="175"/>
        <v>16.683693156237432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3.4106051316484809E-13</v>
      </c>
      <c r="DP194" s="17">
        <f>DO194*VLOOKUP('Données projet'!$B$14,Paramètres!$A$1:$I$89,3,0)*VLOOKUP('Données projet'!$B$14,Paramètres!$A$1:$I$89,5,0)</f>
        <v>1.5961632016114892E-13</v>
      </c>
      <c r="DQ194" s="13">
        <f t="shared" si="176"/>
        <v>2.2708641912150958E-12</v>
      </c>
      <c r="DR194" s="20">
        <f t="shared" si="177"/>
        <v>4.2330868906469593E-12</v>
      </c>
      <c r="DS194" s="59">
        <f t="shared" si="125"/>
        <v>293.33333333333752</v>
      </c>
      <c r="DT194" s="59">
        <f ca="1">AVERAGE(OFFSET($DS$3,0,0,'Données projet'!$E$14+1,1))-AVERAGE(OFFSET($H$3,0,0,'Données projet'!$E$14+1,1))</f>
        <v>207.25176714718668</v>
      </c>
      <c r="DU194" s="59">
        <f t="shared" si="152"/>
        <v>191.53228014642559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31.908936852568015</v>
      </c>
      <c r="EB194" s="21">
        <f>EXP(-LN(2)/25)*EB193+(1-EXP(-LN(2)/25))/(LN(2)/25)*Calculateur!DW194*Calculateur!DY194*VLOOKUP('Données projet'!$B$14,Paramètres!$A$1:$I$89,3,0)*0.475*44/12</f>
        <v>4.0469781487590435</v>
      </c>
      <c r="EC194" s="21">
        <f>EXP(-LN(2)/2)*EC193+(1-EXP(-LN(2)/2))/(LN(2)/2)*DW194*DZ194*VLOOKUP('Données projet'!$B$14,Paramètres!$A$1:$I$89,3,0)*0.475*44/12</f>
        <v>2.5223290827116983E-12</v>
      </c>
      <c r="ED194" s="22">
        <f t="shared" si="178"/>
        <v>35.955915001329579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-2.8421709430404007E-13</v>
      </c>
      <c r="EK194" s="17">
        <f>EJ194*VLOOKUP('Données projet'!$B$15,Paramètres!$A$1:$I$89,3,0)*VLOOKUP('Données projet'!$B$15,Paramètres!$A$1:$I$89,5,0)</f>
        <v>-1.69961822393816E-13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200.15574321350221</v>
      </c>
      <c r="EP194" s="59">
        <f t="shared" si="154"/>
        <v>200.70728852570426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9.6895019514682428</v>
      </c>
      <c r="EW194" s="21">
        <f>EXP(-LN(2)/25)*EW193+(1-EXP(-LN(2)/25))/(LN(2)/25)*Calculateur!ER194*Calculateur!ET194*VLOOKUP('Données projet'!$B$15,Paramètres!$A$1:$I$89,3,0)*0.475*44/12</f>
        <v>0.9562449082700657</v>
      </c>
      <c r="EX194" s="21">
        <f>EXP(-LN(2)/2)*EX193+(1-EXP(-LN(2)/2))/(LN(2)/2)*ER194*EU194*VLOOKUP('Données projet'!$B$15,Paramètres!$A$1:$I$89,3,0)*0.475*44/12</f>
        <v>6.1260531460165201E-19</v>
      </c>
      <c r="EY194" s="22">
        <f t="shared" si="181"/>
        <v>10.645746859738308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5.6843418860808015E-13</v>
      </c>
      <c r="FF194" s="17">
        <f>FE194*VLOOKUP('Données projet'!$B$16,Paramètres!$A$1:$I$89,3,0)*VLOOKUP('Données projet'!$B$16,Paramètres!$A$1:$I$89,5,0)</f>
        <v>6.1186256061773743E-13</v>
      </c>
      <c r="FG194" s="13">
        <f t="shared" si="182"/>
        <v>7.4445668332430206E-12</v>
      </c>
      <c r="FH194" s="20">
        <f t="shared" si="183"/>
        <v>1.4031614527640822E-11</v>
      </c>
      <c r="FI194" s="59">
        <f t="shared" si="131"/>
        <v>293.33333333334735</v>
      </c>
      <c r="FJ194" s="59">
        <f ca="1">AVERAGE(OFFSET($FI$3,0,0,'Données projet'!$E$16+1,1))-AVERAGE(OFFSET($H$3,0,0,'Données projet'!$E$16+1,1))</f>
        <v>347.17049316703486</v>
      </c>
      <c r="FK194" s="59">
        <f t="shared" si="156"/>
        <v>255.45365487683489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61.9911612616431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61.9911612616431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7">
        <f t="shared" si="110"/>
        <v>492.5564743077457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266.02599413192075</v>
      </c>
      <c r="T195" s="59">
        <f t="shared" si="142"/>
        <v>332.94146254783254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5.1431925385259092E-13</v>
      </c>
      <c r="AK195" s="13">
        <f t="shared" si="164"/>
        <v>6.3855359115685756E-12</v>
      </c>
      <c r="AL195" s="20">
        <f t="shared" si="165"/>
        <v>1.2017247746441865E-11</v>
      </c>
      <c r="AM195" s="59">
        <f t="shared" si="113"/>
        <v>293.33333333334531</v>
      </c>
      <c r="AN195" s="59">
        <f ca="1">AVERAGE(OFFSET($AM$3,0,0,'Données projet'!$E$10+1,1))-AVERAGE(OFFSET($H$3,0,0,'Données projet'!$E$10+1,1))</f>
        <v>282.13645166362238</v>
      </c>
      <c r="AO195" s="59">
        <f t="shared" si="144"/>
        <v>210.5345332979457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51.086696220438775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51.086696220438775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254.6443970237226</v>
      </c>
      <c r="BJ195" s="59">
        <f t="shared" si="146"/>
        <v>231.81667808018062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18.788810519172547</v>
      </c>
      <c r="BQ195" s="21">
        <f>EXP(-LN(2)/25)*BQ194+(1-EXP(-LN(2)/25))/(LN(2)/25)*Calculateur!BL195*Calculateur!BN195*VLOOKUP('Données projet'!$B$11,Paramètres!$A$1:$I$89,3,0)*0.475*44/12</f>
        <v>1.8824257151503345</v>
      </c>
      <c r="BR195" s="21">
        <f>EXP(-LN(2)/2)*BR194+(1-EXP(-LN(2)/2))/(LN(2)/2)*BL195*BO195*VLOOKUP('Données projet'!$B$11,Paramètres!$A$1:$I$89,3,0)*0.475*44/12</f>
        <v>1.7274532632620795E-17</v>
      </c>
      <c r="BS195" s="22">
        <f t="shared" si="169"/>
        <v>20.67123623432288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-4.5474735088646412E-13</v>
      </c>
      <c r="BZ195" s="13">
        <f>BY195*VLOOKUP('Données projet'!$B$12,Paramètres!$A$1:$I$89,3,0)*VLOOKUP('Données projet'!$B$12,Paramètres!$A$1:$I$89,5,0)</f>
        <v>-4.6111381379887462E-13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264.08050363622294</v>
      </c>
      <c r="CE195" s="59">
        <f t="shared" si="148"/>
        <v>164.48884512322883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86.213379196822572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86.213379196822572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194.7221767407824</v>
      </c>
      <c r="CZ195" s="59">
        <f t="shared" si="150"/>
        <v>177.6550559568646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14.856268782601575</v>
      </c>
      <c r="DG195" s="21">
        <f>EXP(-LN(2)/25)*DG194+(1-EXP(-LN(2)/25))/(LN(2)/25)*Calculateur!DB195*Calculateur!DD195*VLOOKUP('Données projet'!$B$13,Paramètres!$A$1:$I$89,3,0)*0.475*44/12</f>
        <v>1.4884296352351523</v>
      </c>
      <c r="DH195" s="21">
        <f>EXP(-LN(2)/2)*DH194+(1-EXP(-LN(2)/2))/(LN(2)/2)*DB195*DE195*VLOOKUP('Données projet'!$B$13,Paramètres!$A$1:$I$89,3,0)*0.475*44/12</f>
        <v>1.3658932779281684E-17</v>
      </c>
      <c r="DI195" s="22">
        <f t="shared" si="175"/>
        <v>16.344698417836728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3.4106051316484809E-13</v>
      </c>
      <c r="DP195" s="17">
        <f>DO195*VLOOKUP('Données projet'!$B$14,Paramètres!$A$1:$I$89,3,0)*VLOOKUP('Données projet'!$B$14,Paramètres!$A$1:$I$89,5,0)</f>
        <v>1.5961632016114892E-13</v>
      </c>
      <c r="DQ195" s="13">
        <f t="shared" si="176"/>
        <v>2.2708641912150958E-12</v>
      </c>
      <c r="DR195" s="20">
        <f t="shared" si="177"/>
        <v>4.2330868906469593E-12</v>
      </c>
      <c r="DS195" s="59">
        <f t="shared" si="125"/>
        <v>293.33333333333752</v>
      </c>
      <c r="DT195" s="59">
        <f ca="1">AVERAGE(OFFSET($DS$3,0,0,'Données projet'!$E$14+1,1))-AVERAGE(OFFSET($H$3,0,0,'Données projet'!$E$14+1,1))</f>
        <v>207.25176714718668</v>
      </c>
      <c r="DU195" s="59">
        <f t="shared" si="152"/>
        <v>191.53228014642559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31.283222063418872</v>
      </c>
      <c r="EB195" s="21">
        <f>EXP(-LN(2)/25)*EB194+(1-EXP(-LN(2)/25))/(LN(2)/25)*Calculateur!DW195*Calculateur!DY195*VLOOKUP('Données projet'!$B$14,Paramètres!$A$1:$I$89,3,0)*0.475*44/12</f>
        <v>3.936313318459896</v>
      </c>
      <c r="EC195" s="21">
        <f>EXP(-LN(2)/2)*EC194+(1-EXP(-LN(2)/2))/(LN(2)/2)*DW195*DZ195*VLOOKUP('Données projet'!$B$14,Paramètres!$A$1:$I$89,3,0)*0.475*44/12</f>
        <v>1.7835559987694861E-12</v>
      </c>
      <c r="ED195" s="22">
        <f t="shared" si="178"/>
        <v>35.219535381880554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-2.8421709430404007E-13</v>
      </c>
      <c r="EK195" s="17">
        <f>EJ195*VLOOKUP('Données projet'!$B$15,Paramètres!$A$1:$I$89,3,0)*VLOOKUP('Données projet'!$B$15,Paramètres!$A$1:$I$89,5,0)</f>
        <v>-1.69961822393816E-13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200.15574321350221</v>
      </c>
      <c r="EP195" s="59">
        <f t="shared" si="154"/>
        <v>200.70728852570426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9.4994967282125753</v>
      </c>
      <c r="EW195" s="21">
        <f>EXP(-LN(2)/25)*EW194+(1-EXP(-LN(2)/25))/(LN(2)/25)*Calculateur!ER195*Calculateur!ET195*VLOOKUP('Données projet'!$B$15,Paramètres!$A$1:$I$89,3,0)*0.475*44/12</f>
        <v>0.93009634096668659</v>
      </c>
      <c r="EX195" s="21">
        <f>EXP(-LN(2)/2)*EX194+(1-EXP(-LN(2)/2))/(LN(2)/2)*ER195*EU195*VLOOKUP('Données projet'!$B$15,Paramètres!$A$1:$I$89,3,0)*0.475*44/12</f>
        <v>4.331773721457465E-19</v>
      </c>
      <c r="EY195" s="22">
        <f t="shared" si="181"/>
        <v>10.429593069179262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5.6843418860808015E-13</v>
      </c>
      <c r="FF195" s="17">
        <f>FE195*VLOOKUP('Données projet'!$B$16,Paramètres!$A$1:$I$89,3,0)*VLOOKUP('Données projet'!$B$16,Paramètres!$A$1:$I$89,5,0)</f>
        <v>6.1186256061773743E-13</v>
      </c>
      <c r="FG195" s="13">
        <f t="shared" si="182"/>
        <v>7.4445668332430206E-12</v>
      </c>
      <c r="FH195" s="20">
        <f t="shared" si="183"/>
        <v>1.4031614527640822E-11</v>
      </c>
      <c r="FI195" s="59">
        <f t="shared" si="131"/>
        <v>293.33333333334735</v>
      </c>
      <c r="FJ195" s="59">
        <f ca="1">AVERAGE(OFFSET($FI$3,0,0,'Données projet'!$E$16+1,1))-AVERAGE(OFFSET($H$3,0,0,'Données projet'!$E$16+1,1))</f>
        <v>347.17049316703486</v>
      </c>
      <c r="FK195" s="59">
        <f t="shared" si="156"/>
        <v>255.45365487683489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60.775552400177133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60.775552400177133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7">
        <f t="shared" ref="H196:H203" si="192">(B196+E196+F196)*44/12+(C196+D196)*0.475*44/12</f>
        <v>493.56813395946199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266.02599413192075</v>
      </c>
      <c r="T196" s="59">
        <f t="shared" si="142"/>
        <v>332.94146254783254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5.1431925385259092E-13</v>
      </c>
      <c r="AK196" s="13">
        <f t="shared" si="164"/>
        <v>6.3855359115685756E-12</v>
      </c>
      <c r="AL196" s="20">
        <f t="shared" si="165"/>
        <v>1.2017247746441865E-11</v>
      </c>
      <c r="AM196" s="59">
        <f t="shared" ref="AM196:AM203" si="193">AL196+(AD196+AE196)*44/12</f>
        <v>293.33333333334531</v>
      </c>
      <c r="AN196" s="59">
        <f ca="1">AVERAGE(OFFSET($AM$3,0,0,'Données projet'!$E$10+1,1))-AVERAGE(OFFSET($H$3,0,0,'Données projet'!$E$10+1,1))</f>
        <v>282.13645166362238</v>
      </c>
      <c r="AO196" s="59">
        <f t="shared" si="144"/>
        <v>210.5345332979457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50.084917267363892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50.084917267363892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254.6443970237226</v>
      </c>
      <c r="BJ196" s="59">
        <f t="shared" si="146"/>
        <v>231.81667808018062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18.420373404934406</v>
      </c>
      <c r="BQ196" s="21">
        <f>EXP(-LN(2)/25)*BQ195+(1-EXP(-LN(2)/25))/(LN(2)/25)*Calculateur!BL196*Calculateur!BN196*VLOOKUP('Données projet'!$B$11,Paramètres!$A$1:$I$89,3,0)*0.475*44/12</f>
        <v>1.8309506849770827</v>
      </c>
      <c r="BR196" s="21">
        <f>EXP(-LN(2)/2)*BR195+(1-EXP(-LN(2)/2))/(LN(2)/2)*BL196*BO196*VLOOKUP('Données projet'!$B$11,Paramètres!$A$1:$I$89,3,0)*0.475*44/12</f>
        <v>1.2214939166354468E-17</v>
      </c>
      <c r="BS196" s="22">
        <f t="shared" si="169"/>
        <v>20.251324089911488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-4.5474735088646412E-13</v>
      </c>
      <c r="BZ196" s="13">
        <f>BY196*VLOOKUP('Données projet'!$B$12,Paramètres!$A$1:$I$89,3,0)*VLOOKUP('Données projet'!$B$12,Paramètres!$A$1:$I$89,5,0)</f>
        <v>-4.6111381379887462E-13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264.08050363622294</v>
      </c>
      <c r="CE196" s="59">
        <f t="shared" si="148"/>
        <v>164.48884512322883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84.52278741574186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84.52278741574186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194.7221767407824</v>
      </c>
      <c r="CZ196" s="59">
        <f t="shared" si="150"/>
        <v>177.6550559568646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14.564946413203973</v>
      </c>
      <c r="DG196" s="21">
        <f>EXP(-LN(2)/25)*DG195+(1-EXP(-LN(2)/25))/(LN(2)/25)*Calculateur!DB196*Calculateur!DD196*VLOOKUP('Données projet'!$B$13,Paramètres!$A$1:$I$89,3,0)*0.475*44/12</f>
        <v>1.4477284485865343</v>
      </c>
      <c r="DH196" s="21">
        <f>EXP(-LN(2)/2)*DH195+(1-EXP(-LN(2)/2))/(LN(2)/2)*DB196*DE196*VLOOKUP('Données projet'!$B$13,Paramètres!$A$1:$I$89,3,0)*0.475*44/12</f>
        <v>9.6583239920012966E-18</v>
      </c>
      <c r="DI196" s="22">
        <f t="shared" si="175"/>
        <v>16.012674861790508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3.4106051316484809E-13</v>
      </c>
      <c r="DP196" s="17">
        <f>DO196*VLOOKUP('Données projet'!$B$14,Paramètres!$A$1:$I$89,3,0)*VLOOKUP('Données projet'!$B$14,Paramètres!$A$1:$I$89,5,0)</f>
        <v>1.5961632016114892E-13</v>
      </c>
      <c r="DQ196" s="13">
        <f t="shared" si="176"/>
        <v>2.2708641912150958E-12</v>
      </c>
      <c r="DR196" s="20">
        <f t="shared" si="177"/>
        <v>4.2330868906469593E-12</v>
      </c>
      <c r="DS196" s="59">
        <f t="shared" ref="DS196:DS203" si="197">DR196+(DJ196+DK196)*44/12</f>
        <v>293.33333333333752</v>
      </c>
      <c r="DT196" s="59">
        <f ca="1">AVERAGE(OFFSET($DS$3,0,0,'Données projet'!$E$14+1,1))-AVERAGE(OFFSET($H$3,0,0,'Données projet'!$E$14+1,1))</f>
        <v>207.25176714718668</v>
      </c>
      <c r="DU196" s="59">
        <f t="shared" si="152"/>
        <v>191.53228014642559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30.669777159636606</v>
      </c>
      <c r="EB196" s="21">
        <f>EXP(-LN(2)/25)*EB195+(1-EXP(-LN(2)/25))/(LN(2)/25)*Calculateur!DW196*Calculateur!DY196*VLOOKUP('Données projet'!$B$14,Paramètres!$A$1:$I$89,3,0)*0.475*44/12</f>
        <v>3.8286746237648894</v>
      </c>
      <c r="EC196" s="21">
        <f>EXP(-LN(2)/2)*EC195+(1-EXP(-LN(2)/2))/(LN(2)/2)*DW196*DZ196*VLOOKUP('Données projet'!$B$14,Paramètres!$A$1:$I$89,3,0)*0.475*44/12</f>
        <v>1.2611645413558494E-12</v>
      </c>
      <c r="ED196" s="22">
        <f t="shared" si="178"/>
        <v>34.49845178340275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-2.8421709430404007E-13</v>
      </c>
      <c r="EK196" s="17">
        <f>EJ196*VLOOKUP('Données projet'!$B$15,Paramètres!$A$1:$I$89,3,0)*VLOOKUP('Données projet'!$B$15,Paramètres!$A$1:$I$89,5,0)</f>
        <v>-1.69961822393816E-13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200.15574321350221</v>
      </c>
      <c r="EP196" s="59">
        <f t="shared" si="154"/>
        <v>200.70728852570426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9.3132173914932093</v>
      </c>
      <c r="EW196" s="21">
        <f>EXP(-LN(2)/25)*EW195+(1-EXP(-LN(2)/25))/(LN(2)/25)*Calculateur!ER196*Calculateur!ET196*VLOOKUP('Données projet'!$B$15,Paramètres!$A$1:$I$89,3,0)*0.475*44/12</f>
        <v>0.90466280761131168</v>
      </c>
      <c r="EX196" s="21">
        <f>EXP(-LN(2)/2)*EX195+(1-EXP(-LN(2)/2))/(LN(2)/2)*ER196*EU196*VLOOKUP('Données projet'!$B$15,Paramètres!$A$1:$I$89,3,0)*0.475*44/12</f>
        <v>3.0630265730082605E-19</v>
      </c>
      <c r="EY196" s="22">
        <f t="shared" si="181"/>
        <v>10.21788019910452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5.6843418860808015E-13</v>
      </c>
      <c r="FF196" s="17">
        <f>FE196*VLOOKUP('Données projet'!$B$16,Paramètres!$A$1:$I$89,3,0)*VLOOKUP('Données projet'!$B$16,Paramètres!$A$1:$I$89,5,0)</f>
        <v>6.1186256061773743E-13</v>
      </c>
      <c r="FG196" s="13">
        <f t="shared" si="182"/>
        <v>7.4445668332430206E-12</v>
      </c>
      <c r="FH196" s="20">
        <f t="shared" si="183"/>
        <v>1.4031614527640822E-11</v>
      </c>
      <c r="FI196" s="59">
        <f t="shared" ref="FI196:FI203" si="199">FH196+(EZ196+FA196)*44/12</f>
        <v>293.33333333334735</v>
      </c>
      <c r="FJ196" s="59">
        <f ca="1">AVERAGE(OFFSET($FI$3,0,0,'Données projet'!$E$16+1,1))-AVERAGE(OFFSET($H$3,0,0,'Données projet'!$E$16+1,1))</f>
        <v>347.17049316703486</v>
      </c>
      <c r="FK196" s="59">
        <f t="shared" si="156"/>
        <v>255.45365487683489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59.583780887036319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59.583780887036319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7">
        <f t="shared" si="192"/>
        <v>494.57967509950117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266.02599413192075</v>
      </c>
      <c r="T197" s="59">
        <f t="shared" ref="T197:T203" si="204">$T$3</f>
        <v>332.94146254783254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5.1431925385259092E-13</v>
      </c>
      <c r="AK197" s="13">
        <f t="shared" si="164"/>
        <v>6.3855359115685756E-12</v>
      </c>
      <c r="AL197" s="20">
        <f t="shared" si="165"/>
        <v>1.2017247746441865E-11</v>
      </c>
      <c r="AM197" s="59">
        <f t="shared" si="193"/>
        <v>293.33333333334531</v>
      </c>
      <c r="AN197" s="59">
        <f ca="1">AVERAGE(OFFSET($AM$3,0,0,'Données projet'!$E$10+1,1))-AVERAGE(OFFSET($H$3,0,0,'Données projet'!$E$10+1,1))</f>
        <v>282.13645166362238</v>
      </c>
      <c r="AO197" s="59">
        <f t="shared" ref="AO197:AO203" si="205">$AO$3</f>
        <v>210.5345332979457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49.102782588533977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49.102782588533977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254.6443970237226</v>
      </c>
      <c r="BJ197" s="59">
        <f t="shared" ref="BJ197:BJ203" si="206">$BJ$3</f>
        <v>231.81667808018062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18.059161117782022</v>
      </c>
      <c r="BQ197" s="21">
        <f>EXP(-LN(2)/25)*BQ196+(1-EXP(-LN(2)/25))/(LN(2)/25)*Calculateur!BL197*Calculateur!BN197*VLOOKUP('Données projet'!$B$11,Paramètres!$A$1:$I$89,3,0)*0.475*44/12</f>
        <v>1.7808832422108725</v>
      </c>
      <c r="BR197" s="21">
        <f>EXP(-LN(2)/2)*BR196+(1-EXP(-LN(2)/2))/(LN(2)/2)*BL197*BO197*VLOOKUP('Données projet'!$B$11,Paramètres!$A$1:$I$89,3,0)*0.475*44/12</f>
        <v>8.6372663163103975E-18</v>
      </c>
      <c r="BS197" s="22">
        <f t="shared" si="169"/>
        <v>19.840044359992895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-4.5474735088646412E-13</v>
      </c>
      <c r="BZ197" s="13">
        <f>BY197*VLOOKUP('Données projet'!$B$12,Paramètres!$A$1:$I$89,3,0)*VLOOKUP('Données projet'!$B$12,Paramètres!$A$1:$I$89,5,0)</f>
        <v>-4.6111381379887462E-13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264.08050363622294</v>
      </c>
      <c r="CE197" s="59">
        <f t="shared" ref="CE197:CE203" si="207">$CE$3</f>
        <v>164.48884512322883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82.865347108328976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82.865347108328976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194.7221767407824</v>
      </c>
      <c r="CZ197" s="59">
        <f t="shared" ref="CZ197:CZ203" si="208">$CZ$3</f>
        <v>177.6550559568646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14.279336697781158</v>
      </c>
      <c r="DG197" s="21">
        <f>EXP(-LN(2)/25)*DG196+(1-EXP(-LN(2)/25))/(LN(2)/25)*Calculateur!DB197*Calculateur!DD197*VLOOKUP('Données projet'!$B$13,Paramètres!$A$1:$I$89,3,0)*0.475*44/12</f>
        <v>1.4081402380272052</v>
      </c>
      <c r="DH197" s="21">
        <f>EXP(-LN(2)/2)*DH196+(1-EXP(-LN(2)/2))/(LN(2)/2)*DB197*DE197*VLOOKUP('Données projet'!$B$13,Paramètres!$A$1:$I$89,3,0)*0.475*44/12</f>
        <v>6.8294663896408437E-18</v>
      </c>
      <c r="DI197" s="22">
        <f t="shared" si="175"/>
        <v>15.687476935808363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3.4106051316484809E-13</v>
      </c>
      <c r="DP197" s="17">
        <f>DO197*VLOOKUP('Données projet'!$B$14,Paramètres!$A$1:$I$89,3,0)*VLOOKUP('Données projet'!$B$14,Paramètres!$A$1:$I$89,5,0)</f>
        <v>1.5961632016114892E-13</v>
      </c>
      <c r="DQ197" s="13">
        <f t="shared" si="176"/>
        <v>2.2708641912150958E-12</v>
      </c>
      <c r="DR197" s="20">
        <f t="shared" si="177"/>
        <v>4.2330868906469593E-12</v>
      </c>
      <c r="DS197" s="59">
        <f t="shared" si="197"/>
        <v>293.33333333333752</v>
      </c>
      <c r="DT197" s="59">
        <f ca="1">AVERAGE(OFFSET($DS$3,0,0,'Données projet'!$E$14+1,1))-AVERAGE(OFFSET($H$3,0,0,'Données projet'!$E$14+1,1))</f>
        <v>207.25176714718668</v>
      </c>
      <c r="DU197" s="59">
        <f t="shared" ref="DU197:DU203" si="209">$DU$3</f>
        <v>191.53228014642559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30.068361536253065</v>
      </c>
      <c r="EB197" s="21">
        <f>EXP(-LN(2)/25)*EB196+(1-EXP(-LN(2)/25))/(LN(2)/25)*Calculateur!DW197*Calculateur!DY197*VLOOKUP('Données projet'!$B$14,Paramètres!$A$1:$I$89,3,0)*0.475*44/12</f>
        <v>3.7239793148367908</v>
      </c>
      <c r="EC197" s="21">
        <f>EXP(-LN(2)/2)*EC196+(1-EXP(-LN(2)/2))/(LN(2)/2)*DW197*DZ197*VLOOKUP('Données projet'!$B$14,Paramètres!$A$1:$I$89,3,0)*0.475*44/12</f>
        <v>8.9177799938474324E-13</v>
      </c>
      <c r="ED197" s="22">
        <f t="shared" si="178"/>
        <v>33.792340851090749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-2.8421709430404007E-13</v>
      </c>
      <c r="EK197" s="17">
        <f>EJ197*VLOOKUP('Données projet'!$B$15,Paramètres!$A$1:$I$89,3,0)*VLOOKUP('Données projet'!$B$15,Paramètres!$A$1:$I$89,5,0)</f>
        <v>-1.69961822393816E-13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200.15574321350221</v>
      </c>
      <c r="EP197" s="59">
        <f t="shared" ref="EP197:EP203" si="210">$EP$3</f>
        <v>200.70728852570426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9.1305908789477339</v>
      </c>
      <c r="EW197" s="21">
        <f>EXP(-LN(2)/25)*EW196+(1-EXP(-LN(2)/25))/(LN(2)/25)*Calculateur!ER197*Calculateur!ET197*VLOOKUP('Données projet'!$B$15,Paramètres!$A$1:$I$89,3,0)*0.475*44/12</f>
        <v>0.87992475556303096</v>
      </c>
      <c r="EX197" s="21">
        <f>EXP(-LN(2)/2)*EX196+(1-EXP(-LN(2)/2))/(LN(2)/2)*ER197*EU197*VLOOKUP('Données projet'!$B$15,Paramètres!$A$1:$I$89,3,0)*0.475*44/12</f>
        <v>2.1658868607287327E-19</v>
      </c>
      <c r="EY197" s="22">
        <f t="shared" si="181"/>
        <v>10.010515634510766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5.6843418860808015E-13</v>
      </c>
      <c r="FF197" s="17">
        <f>FE197*VLOOKUP('Données projet'!$B$16,Paramètres!$A$1:$I$89,3,0)*VLOOKUP('Données projet'!$B$16,Paramètres!$A$1:$I$89,5,0)</f>
        <v>6.1186256061773743E-13</v>
      </c>
      <c r="FG197" s="13">
        <f t="shared" si="182"/>
        <v>7.4445668332430206E-12</v>
      </c>
      <c r="FH197" s="20">
        <f t="shared" si="183"/>
        <v>1.4031614527640822E-11</v>
      </c>
      <c r="FI197" s="59">
        <f t="shared" si="199"/>
        <v>293.33333333334735</v>
      </c>
      <c r="FJ197" s="59">
        <f ca="1">AVERAGE(OFFSET($FI$3,0,0,'Données projet'!$E$16+1,1))-AVERAGE(OFFSET($H$3,0,0,'Données projet'!$E$16+1,1))</f>
        <v>347.17049316703486</v>
      </c>
      <c r="FK197" s="59">
        <f t="shared" ref="FK197:FK203" si="211">$FK$3</f>
        <v>255.45365487683489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58.415379286359354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58.415379286359354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7">
        <f t="shared" si="192"/>
        <v>495.59109840965664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266.02599413192075</v>
      </c>
      <c r="T198" s="59">
        <f t="shared" si="204"/>
        <v>332.94146254783254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5.1431925385259092E-13</v>
      </c>
      <c r="AK198" s="13">
        <f t="shared" si="164"/>
        <v>6.3855359115685756E-12</v>
      </c>
      <c r="AL198" s="20">
        <f t="shared" si="165"/>
        <v>1.2017247746441865E-11</v>
      </c>
      <c r="AM198" s="59">
        <f t="shared" si="193"/>
        <v>293.33333333334531</v>
      </c>
      <c r="AN198" s="59">
        <f ca="1">AVERAGE(OFFSET($AM$3,0,0,'Données projet'!$E$10+1,1))-AVERAGE(OFFSET($H$3,0,0,'Données projet'!$E$10+1,1))</f>
        <v>282.13645166362238</v>
      </c>
      <c r="AO198" s="59">
        <f t="shared" si="205"/>
        <v>210.5345332979457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48.139906971712911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48.139906971712911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254.6443970237226</v>
      </c>
      <c r="BJ198" s="59">
        <f t="shared" si="206"/>
        <v>231.81667808018062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17.705031983262959</v>
      </c>
      <c r="BQ198" s="21">
        <f>EXP(-LN(2)/25)*BQ197+(1-EXP(-LN(2)/25))/(LN(2)/25)*Calculateur!BL198*Calculateur!BN198*VLOOKUP('Données projet'!$B$11,Paramètres!$A$1:$I$89,3,0)*0.475*44/12</f>
        <v>1.7321848963000368</v>
      </c>
      <c r="BR198" s="21">
        <f>EXP(-LN(2)/2)*BR197+(1-EXP(-LN(2)/2))/(LN(2)/2)*BL198*BO198*VLOOKUP('Données projet'!$B$11,Paramètres!$A$1:$I$89,3,0)*0.475*44/12</f>
        <v>6.1074695831772338E-18</v>
      </c>
      <c r="BS198" s="22">
        <f t="shared" si="169"/>
        <v>19.437216879562996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-4.5474735088646412E-13</v>
      </c>
      <c r="BZ198" s="13">
        <f>BY198*VLOOKUP('Données projet'!$B$12,Paramètres!$A$1:$I$89,3,0)*VLOOKUP('Données projet'!$B$12,Paramètres!$A$1:$I$89,5,0)</f>
        <v>-4.6111381379887462E-13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264.08050363622294</v>
      </c>
      <c r="CE198" s="59">
        <f t="shared" si="207"/>
        <v>164.48884512322883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81.240408194405688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81.240408194405688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194.7221767407824</v>
      </c>
      <c r="CZ198" s="59">
        <f t="shared" si="208"/>
        <v>177.6550559568646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13.99932761467306</v>
      </c>
      <c r="DG198" s="21">
        <f>EXP(-LN(2)/25)*DG197+(1-EXP(-LN(2)/25))/(LN(2)/25)*Calculateur!DB198*Calculateur!DD198*VLOOKUP('Données projet'!$B$13,Paramètres!$A$1:$I$89,3,0)*0.475*44/12</f>
        <v>1.3696345691674745</v>
      </c>
      <c r="DH198" s="21">
        <f>EXP(-LN(2)/2)*DH197+(1-EXP(-LN(2)/2))/(LN(2)/2)*DB198*DE198*VLOOKUP('Données projet'!$B$13,Paramètres!$A$1:$I$89,3,0)*0.475*44/12</f>
        <v>4.8291619960006491E-18</v>
      </c>
      <c r="DI198" s="22">
        <f t="shared" si="175"/>
        <v>15.368962183840534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3.4106051316484809E-13</v>
      </c>
      <c r="DP198" s="17">
        <f>DO198*VLOOKUP('Données projet'!$B$14,Paramètres!$A$1:$I$89,3,0)*VLOOKUP('Données projet'!$B$14,Paramètres!$A$1:$I$89,5,0)</f>
        <v>1.5961632016114892E-13</v>
      </c>
      <c r="DQ198" s="13">
        <f t="shared" si="176"/>
        <v>2.2708641912150958E-12</v>
      </c>
      <c r="DR198" s="20">
        <f t="shared" si="177"/>
        <v>4.2330868906469593E-12</v>
      </c>
      <c r="DS198" s="59">
        <f t="shared" si="197"/>
        <v>293.33333333333752</v>
      </c>
      <c r="DT198" s="59">
        <f ca="1">AVERAGE(OFFSET($DS$3,0,0,'Données projet'!$E$14+1,1))-AVERAGE(OFFSET($H$3,0,0,'Données projet'!$E$14+1,1))</f>
        <v>207.25176714718668</v>
      </c>
      <c r="DU198" s="59">
        <f t="shared" si="209"/>
        <v>191.53228014642559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29.478739306416767</v>
      </c>
      <c r="EB198" s="21">
        <f>EXP(-LN(2)/25)*EB197+(1-EXP(-LN(2)/25))/(LN(2)/25)*Calculateur!DW198*Calculateur!DY198*VLOOKUP('Données projet'!$B$14,Paramètres!$A$1:$I$89,3,0)*0.475*44/12</f>
        <v>3.6221469046370181</v>
      </c>
      <c r="EC198" s="21">
        <f>EXP(-LN(2)/2)*EC197+(1-EXP(-LN(2)/2))/(LN(2)/2)*DW198*DZ198*VLOOKUP('Données projet'!$B$14,Paramètres!$A$1:$I$89,3,0)*0.475*44/12</f>
        <v>6.3058227067792478E-13</v>
      </c>
      <c r="ED198" s="22">
        <f t="shared" si="178"/>
        <v>33.100886211054416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-2.8421709430404007E-13</v>
      </c>
      <c r="EK198" s="17">
        <f>EJ198*VLOOKUP('Données projet'!$B$15,Paramètres!$A$1:$I$89,3,0)*VLOOKUP('Données projet'!$B$15,Paramètres!$A$1:$I$89,5,0)</f>
        <v>-1.69961822393816E-13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200.15574321350221</v>
      </c>
      <c r="EP198" s="59">
        <f t="shared" si="210"/>
        <v>200.70728852570426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8.9515455609221011</v>
      </c>
      <c r="EW198" s="21">
        <f>EXP(-LN(2)/25)*EW197+(1-EXP(-LN(2)/25))/(LN(2)/25)*Calculateur!ER198*Calculateur!ET198*VLOOKUP('Données projet'!$B$15,Paramètres!$A$1:$I$89,3,0)*0.475*44/12</f>
        <v>0.85586316684892805</v>
      </c>
      <c r="EX198" s="21">
        <f>EXP(-LN(2)/2)*EX197+(1-EXP(-LN(2)/2))/(LN(2)/2)*ER198*EU198*VLOOKUP('Données projet'!$B$15,Paramètres!$A$1:$I$89,3,0)*0.475*44/12</f>
        <v>1.5315132865041305E-19</v>
      </c>
      <c r="EY198" s="22">
        <f t="shared" si="181"/>
        <v>9.8074087277710298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5.6843418860808015E-13</v>
      </c>
      <c r="FF198" s="17">
        <f>FE198*VLOOKUP('Données projet'!$B$16,Paramètres!$A$1:$I$89,3,0)*VLOOKUP('Données projet'!$B$16,Paramètres!$A$1:$I$89,5,0)</f>
        <v>6.1186256061773743E-13</v>
      </c>
      <c r="FG198" s="13">
        <f t="shared" si="182"/>
        <v>7.4445668332430206E-12</v>
      </c>
      <c r="FH198" s="20">
        <f t="shared" si="183"/>
        <v>1.4031614527640822E-11</v>
      </c>
      <c r="FI198" s="59">
        <f t="shared" si="199"/>
        <v>293.33333333334735</v>
      </c>
      <c r="FJ198" s="59">
        <f ca="1">AVERAGE(OFFSET($FI$3,0,0,'Données projet'!$E$16+1,1))-AVERAGE(OFFSET($H$3,0,0,'Données projet'!$E$16+1,1))</f>
        <v>347.17049316703486</v>
      </c>
      <c r="FK198" s="59">
        <f t="shared" si="211"/>
        <v>255.45365487683489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57.269889328417058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57.269889328417058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7">
        <f t="shared" si="192"/>
        <v>496.60240456432416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266.02599413192075</v>
      </c>
      <c r="T199" s="59">
        <f t="shared" si="204"/>
        <v>332.94146254783254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5.1431925385259092E-13</v>
      </c>
      <c r="AK199" s="13">
        <f t="shared" si="164"/>
        <v>6.3855359115685756E-12</v>
      </c>
      <c r="AL199" s="20">
        <f t="shared" si="165"/>
        <v>1.2017247746441865E-11</v>
      </c>
      <c r="AM199" s="59">
        <f t="shared" si="193"/>
        <v>293.33333333334531</v>
      </c>
      <c r="AN199" s="59">
        <f ca="1">AVERAGE(OFFSET($AM$3,0,0,'Données projet'!$E$10+1,1))-AVERAGE(OFFSET($H$3,0,0,'Données projet'!$E$10+1,1))</f>
        <v>282.13645166362238</v>
      </c>
      <c r="AO199" s="59">
        <f t="shared" si="205"/>
        <v>210.5345332979457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47.195912758441573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47.195912758441573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254.6443970237226</v>
      </c>
      <c r="BJ199" s="59">
        <f t="shared" si="206"/>
        <v>231.81667808018062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17.35784710507437</v>
      </c>
      <c r="BQ199" s="21">
        <f>EXP(-LN(2)/25)*BQ198+(1-EXP(-LN(2)/25))/(LN(2)/25)*Calculateur!BL199*Calculateur!BN199*VLOOKUP('Données projet'!$B$11,Paramètres!$A$1:$I$89,3,0)*0.475*44/12</f>
        <v>1.6848182092190676</v>
      </c>
      <c r="BR199" s="21">
        <f>EXP(-LN(2)/2)*BR198+(1-EXP(-LN(2)/2))/(LN(2)/2)*BL199*BO199*VLOOKUP('Données projet'!$B$11,Paramètres!$A$1:$I$89,3,0)*0.475*44/12</f>
        <v>4.3186331581551988E-18</v>
      </c>
      <c r="BS199" s="22">
        <f t="shared" si="169"/>
        <v>19.042665314293437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-4.5474735088646412E-13</v>
      </c>
      <c r="BZ199" s="13">
        <f>BY199*VLOOKUP('Données projet'!$B$12,Paramètres!$A$1:$I$89,3,0)*VLOOKUP('Données projet'!$B$12,Paramètres!$A$1:$I$89,5,0)</f>
        <v>-4.6111381379887462E-13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264.08050363622294</v>
      </c>
      <c r="CE199" s="59">
        <f t="shared" si="207"/>
        <v>164.48884512322883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79.647333341469562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79.647333341469562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194.7221767407824</v>
      </c>
      <c r="CZ199" s="59">
        <f t="shared" si="208"/>
        <v>177.6550559568646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13.724809338896035</v>
      </c>
      <c r="DG199" s="21">
        <f>EXP(-LN(2)/25)*DG198+(1-EXP(-LN(2)/25))/(LN(2)/25)*Calculateur!DB199*Calculateur!DD199*VLOOKUP('Données projet'!$B$13,Paramètres!$A$1:$I$89,3,0)*0.475*44/12</f>
        <v>1.3321818398476382</v>
      </c>
      <c r="DH199" s="21">
        <f>EXP(-LN(2)/2)*DH198+(1-EXP(-LN(2)/2))/(LN(2)/2)*DB199*DE199*VLOOKUP('Données projet'!$B$13,Paramètres!$A$1:$I$89,3,0)*0.475*44/12</f>
        <v>3.4147331948204223E-18</v>
      </c>
      <c r="DI199" s="22">
        <f t="shared" si="175"/>
        <v>15.056991178743674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3.4106051316484809E-13</v>
      </c>
      <c r="DP199" s="17">
        <f>DO199*VLOOKUP('Données projet'!$B$14,Paramètres!$A$1:$I$89,3,0)*VLOOKUP('Données projet'!$B$14,Paramètres!$A$1:$I$89,5,0)</f>
        <v>1.5961632016114892E-13</v>
      </c>
      <c r="DQ199" s="13">
        <f t="shared" si="176"/>
        <v>2.2708641912150958E-12</v>
      </c>
      <c r="DR199" s="20">
        <f t="shared" si="177"/>
        <v>4.2330868906469593E-12</v>
      </c>
      <c r="DS199" s="59">
        <f t="shared" si="197"/>
        <v>293.33333333333752</v>
      </c>
      <c r="DT199" s="59">
        <f ca="1">AVERAGE(OFFSET($DS$3,0,0,'Données projet'!$E$14+1,1))-AVERAGE(OFFSET($H$3,0,0,'Données projet'!$E$14+1,1))</f>
        <v>207.25176714718668</v>
      </c>
      <c r="DU199" s="59">
        <f t="shared" si="209"/>
        <v>191.53228014642559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28.900679208873509</v>
      </c>
      <c r="EB199" s="21">
        <f>EXP(-LN(2)/25)*EB198+(1-EXP(-LN(2)/25))/(LN(2)/25)*Calculateur!DW199*Calculateur!DY199*VLOOKUP('Données projet'!$B$14,Paramètres!$A$1:$I$89,3,0)*0.475*44/12</f>
        <v>3.5230991070492914</v>
      </c>
      <c r="EC199" s="21">
        <f>EXP(-LN(2)/2)*EC198+(1-EXP(-LN(2)/2))/(LN(2)/2)*DW199*DZ199*VLOOKUP('Données projet'!$B$14,Paramètres!$A$1:$I$89,3,0)*0.475*44/12</f>
        <v>4.4588899969237167E-13</v>
      </c>
      <c r="ED199" s="22">
        <f t="shared" si="178"/>
        <v>32.423778315923251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-2.8421709430404007E-13</v>
      </c>
      <c r="EK199" s="17">
        <f>EJ199*VLOOKUP('Données projet'!$B$15,Paramètres!$A$1:$I$89,3,0)*VLOOKUP('Données projet'!$B$15,Paramètres!$A$1:$I$89,5,0)</f>
        <v>-1.69961822393816E-13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200.15574321350221</v>
      </c>
      <c r="EP199" s="59">
        <f t="shared" si="210"/>
        <v>200.70728852570426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8.7760112123760905</v>
      </c>
      <c r="EW199" s="21">
        <f>EXP(-LN(2)/25)*EW198+(1-EXP(-LN(2)/25))/(LN(2)/25)*Calculateur!ER199*Calculateur!ET199*VLOOKUP('Données projet'!$B$15,Paramètres!$A$1:$I$89,3,0)*0.475*44/12</f>
        <v>0.83245954354355622</v>
      </c>
      <c r="EX199" s="21">
        <f>EXP(-LN(2)/2)*EX198+(1-EXP(-LN(2)/2))/(LN(2)/2)*ER199*EU199*VLOOKUP('Données projet'!$B$15,Paramètres!$A$1:$I$89,3,0)*0.475*44/12</f>
        <v>1.0829434303643665E-19</v>
      </c>
      <c r="EY199" s="22">
        <f t="shared" si="181"/>
        <v>9.6084707559196474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5.6843418860808015E-13</v>
      </c>
      <c r="FF199" s="17">
        <f>FE199*VLOOKUP('Données projet'!$B$16,Paramètres!$A$1:$I$89,3,0)*VLOOKUP('Données projet'!$B$16,Paramètres!$A$1:$I$89,5,0)</f>
        <v>6.1186256061773743E-13</v>
      </c>
      <c r="FG199" s="13">
        <f t="shared" si="182"/>
        <v>7.4445668332430206E-12</v>
      </c>
      <c r="FH199" s="20">
        <f t="shared" si="183"/>
        <v>1.4031614527640822E-11</v>
      </c>
      <c r="FI199" s="59">
        <f t="shared" si="199"/>
        <v>293.33333333334735</v>
      </c>
      <c r="FJ199" s="59">
        <f ca="1">AVERAGE(OFFSET($FI$3,0,0,'Données projet'!$E$16+1,1))-AVERAGE(OFFSET($H$3,0,0,'Données projet'!$E$16+1,1))</f>
        <v>347.17049316703486</v>
      </c>
      <c r="FK199" s="59">
        <f t="shared" si="211"/>
        <v>255.45365487683489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56.146861729870125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56.146861729870125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7">
        <f t="shared" si="192"/>
        <v>497.6135942306197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266.02599413192075</v>
      </c>
      <c r="T200" s="59">
        <f t="shared" si="204"/>
        <v>332.94146254783254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5.1431925385259092E-13</v>
      </c>
      <c r="AK200" s="13">
        <f t="shared" si="164"/>
        <v>6.3855359115685756E-12</v>
      </c>
      <c r="AL200" s="20">
        <f t="shared" si="165"/>
        <v>1.2017247746441865E-11</v>
      </c>
      <c r="AM200" s="59">
        <f t="shared" si="193"/>
        <v>293.33333333334531</v>
      </c>
      <c r="AN200" s="59">
        <f ca="1">AVERAGE(OFFSET($AM$3,0,0,'Données projet'!$E$10+1,1))-AVERAGE(OFFSET($H$3,0,0,'Données projet'!$E$10+1,1))</f>
        <v>282.13645166362238</v>
      </c>
      <c r="AO200" s="59">
        <f t="shared" si="205"/>
        <v>210.5345332979457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46.270429695912867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46.270429695912867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254.6443970237226</v>
      </c>
      <c r="BJ200" s="59">
        <f t="shared" si="206"/>
        <v>231.81667808018062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17.017470310585193</v>
      </c>
      <c r="BQ200" s="21">
        <f>EXP(-LN(2)/25)*BQ199+(1-EXP(-LN(2)/25))/(LN(2)/25)*Calculateur!BL200*Calculateur!BN200*VLOOKUP('Données projet'!$B$11,Paramètres!$A$1:$I$89,3,0)*0.475*44/12</f>
        <v>1.6387467666872333</v>
      </c>
      <c r="BR200" s="21">
        <f>EXP(-LN(2)/2)*BR199+(1-EXP(-LN(2)/2))/(LN(2)/2)*BL200*BO200*VLOOKUP('Données projet'!$B$11,Paramètres!$A$1:$I$89,3,0)*0.475*44/12</f>
        <v>3.0537347915886169E-18</v>
      </c>
      <c r="BS200" s="22">
        <f t="shared" si="169"/>
        <v>18.656217077272427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-4.5474735088646412E-13</v>
      </c>
      <c r="BZ200" s="13">
        <f>BY200*VLOOKUP('Données projet'!$B$12,Paramètres!$A$1:$I$89,3,0)*VLOOKUP('Données projet'!$B$12,Paramètres!$A$1:$I$89,5,0)</f>
        <v>-4.6111381379887462E-13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264.08050363622294</v>
      </c>
      <c r="CE200" s="59">
        <f t="shared" si="207"/>
        <v>164.48884512322883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78.085497714719793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78.085497714719793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194.7221767407824</v>
      </c>
      <c r="CZ200" s="59">
        <f t="shared" si="208"/>
        <v>177.6550559568646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13.455674199067383</v>
      </c>
      <c r="DG200" s="21">
        <f>EXP(-LN(2)/25)*DG199+(1-EXP(-LN(2)/25))/(LN(2)/25)*Calculateur!DB200*Calculateur!DD200*VLOOKUP('Données projet'!$B$13,Paramètres!$A$1:$I$89,3,0)*0.475*44/12</f>
        <v>1.2957532573806063</v>
      </c>
      <c r="DH200" s="21">
        <f>EXP(-LN(2)/2)*DH199+(1-EXP(-LN(2)/2))/(LN(2)/2)*DB200*DE200*VLOOKUP('Données projet'!$B$13,Paramètres!$A$1:$I$89,3,0)*0.475*44/12</f>
        <v>2.4145809980003249E-18</v>
      </c>
      <c r="DI200" s="22">
        <f t="shared" si="175"/>
        <v>14.75142745644799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3.4106051316484809E-13</v>
      </c>
      <c r="DP200" s="17">
        <f>DO200*VLOOKUP('Données projet'!$B$14,Paramètres!$A$1:$I$89,3,0)*VLOOKUP('Données projet'!$B$14,Paramètres!$A$1:$I$89,5,0)</f>
        <v>1.5961632016114892E-13</v>
      </c>
      <c r="DQ200" s="13">
        <f t="shared" si="176"/>
        <v>2.2708641912150958E-12</v>
      </c>
      <c r="DR200" s="20">
        <f t="shared" si="177"/>
        <v>4.2330868906469593E-12</v>
      </c>
      <c r="DS200" s="59">
        <f t="shared" si="197"/>
        <v>293.33333333333752</v>
      </c>
      <c r="DT200" s="59">
        <f ca="1">AVERAGE(OFFSET($DS$3,0,0,'Données projet'!$E$14+1,1))-AVERAGE(OFFSET($H$3,0,0,'Données projet'!$E$14+1,1))</f>
        <v>207.25176714718668</v>
      </c>
      <c r="DU200" s="59">
        <f t="shared" si="209"/>
        <v>191.53228014642559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28.33395451726123</v>
      </c>
      <c r="EB200" s="21">
        <f>EXP(-LN(2)/25)*EB199+(1-EXP(-LN(2)/25))/(LN(2)/25)*Calculateur!DW200*Calculateur!DY200*VLOOKUP('Données projet'!$B$14,Paramètres!$A$1:$I$89,3,0)*0.475*44/12</f>
        <v>3.4267597766952989</v>
      </c>
      <c r="EC200" s="21">
        <f>EXP(-LN(2)/2)*EC199+(1-EXP(-LN(2)/2))/(LN(2)/2)*DW200*DZ200*VLOOKUP('Données projet'!$B$14,Paramètres!$A$1:$I$89,3,0)*0.475*44/12</f>
        <v>3.1529113533896244E-13</v>
      </c>
      <c r="ED200" s="22">
        <f t="shared" si="178"/>
        <v>31.760714293956845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-2.8421709430404007E-13</v>
      </c>
      <c r="EK200" s="17">
        <f>EJ200*VLOOKUP('Données projet'!$B$15,Paramètres!$A$1:$I$89,3,0)*VLOOKUP('Données projet'!$B$15,Paramètres!$A$1:$I$89,5,0)</f>
        <v>-1.69961822393816E-13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200.15574321350221</v>
      </c>
      <c r="EP200" s="59">
        <f t="shared" si="210"/>
        <v>200.70728852570426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8.6039189853396856</v>
      </c>
      <c r="EW200" s="21">
        <f>EXP(-LN(2)/25)*EW199+(1-EXP(-LN(2)/25))/(LN(2)/25)*Calculateur!ER200*Calculateur!ET200*VLOOKUP('Données projet'!$B$15,Paramètres!$A$1:$I$89,3,0)*0.475*44/12</f>
        <v>0.80969589354821292</v>
      </c>
      <c r="EX200" s="21">
        <f>EXP(-LN(2)/2)*EX199+(1-EXP(-LN(2)/2))/(LN(2)/2)*ER200*EU200*VLOOKUP('Données projet'!$B$15,Paramètres!$A$1:$I$89,3,0)*0.475*44/12</f>
        <v>7.6575664325206537E-20</v>
      </c>
      <c r="EY200" s="22">
        <f t="shared" si="181"/>
        <v>9.4136148788878984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5.6843418860808015E-13</v>
      </c>
      <c r="FF200" s="17">
        <f>FE200*VLOOKUP('Données projet'!$B$16,Paramètres!$A$1:$I$89,3,0)*VLOOKUP('Données projet'!$B$16,Paramètres!$A$1:$I$89,5,0)</f>
        <v>6.1186256061773743E-13</v>
      </c>
      <c r="FG200" s="13">
        <f t="shared" si="182"/>
        <v>7.4445668332430206E-12</v>
      </c>
      <c r="FH200" s="20">
        <f t="shared" si="183"/>
        <v>1.4031614527640822E-11</v>
      </c>
      <c r="FI200" s="59">
        <f t="shared" si="199"/>
        <v>293.33333333334735</v>
      </c>
      <c r="FJ200" s="59">
        <f ca="1">AVERAGE(OFFSET($FI$3,0,0,'Données projet'!$E$16+1,1))-AVERAGE(OFFSET($H$3,0,0,'Données projet'!$E$16+1,1))</f>
        <v>347.17049316703486</v>
      </c>
      <c r="FK200" s="59">
        <f t="shared" si="211"/>
        <v>255.45365487683489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55.045856017551493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55.045856017551493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7">
        <f t="shared" si="192"/>
        <v>498.62466806849403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266.02599413192075</v>
      </c>
      <c r="T201" s="59">
        <f t="shared" si="204"/>
        <v>332.94146254783254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5.1431925385259092E-13</v>
      </c>
      <c r="AK201" s="13">
        <f t="shared" si="164"/>
        <v>6.3855359115685756E-12</v>
      </c>
      <c r="AL201" s="20">
        <f t="shared" si="165"/>
        <v>1.2017247746441865E-11</v>
      </c>
      <c r="AM201" s="59">
        <f t="shared" si="193"/>
        <v>293.33333333334531</v>
      </c>
      <c r="AN201" s="59">
        <f ca="1">AVERAGE(OFFSET($AM$3,0,0,'Données projet'!$E$10+1,1))-AVERAGE(OFFSET($H$3,0,0,'Données projet'!$E$10+1,1))</f>
        <v>282.13645166362238</v>
      </c>
      <c r="AO201" s="59">
        <f t="shared" si="205"/>
        <v>210.5345332979457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45.363094791751422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45.363094791751422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254.6443970237226</v>
      </c>
      <c r="BJ201" s="59">
        <f t="shared" si="206"/>
        <v>231.81667808018062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16.683768097426604</v>
      </c>
      <c r="BQ201" s="21">
        <f>EXP(-LN(2)/25)*BQ200+(1-EXP(-LN(2)/25))/(LN(2)/25)*Calculateur!BL201*Calculateur!BN201*VLOOKUP('Données projet'!$B$11,Paramètres!$A$1:$I$89,3,0)*0.475*44/12</f>
        <v>1.5939351501742238</v>
      </c>
      <c r="BR201" s="21">
        <f>EXP(-LN(2)/2)*BR200+(1-EXP(-LN(2)/2))/(LN(2)/2)*BL201*BO201*VLOOKUP('Données projet'!$B$11,Paramètres!$A$1:$I$89,3,0)*0.475*44/12</f>
        <v>2.1593165790775994E-18</v>
      </c>
      <c r="BS201" s="22">
        <f t="shared" si="169"/>
        <v>18.277703247600829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-4.5474735088646412E-13</v>
      </c>
      <c r="BZ201" s="13">
        <f>BY201*VLOOKUP('Données projet'!$B$12,Paramètres!$A$1:$I$89,3,0)*VLOOKUP('Données projet'!$B$12,Paramètres!$A$1:$I$89,5,0)</f>
        <v>-4.6111381379887462E-13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264.08050363622294</v>
      </c>
      <c r="CE201" s="59">
        <f t="shared" si="207"/>
        <v>164.48884512322883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76.554288731984926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76.554288731984926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194.7221767407824</v>
      </c>
      <c r="CZ201" s="59">
        <f t="shared" si="208"/>
        <v>177.6550559568646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13.191816635174545</v>
      </c>
      <c r="DG201" s="21">
        <f>EXP(-LN(2)/25)*DG200+(1-EXP(-LN(2)/25))/(LN(2)/25)*Calculateur!DB201*Calculateur!DD201*VLOOKUP('Données projet'!$B$13,Paramètres!$A$1:$I$89,3,0)*0.475*44/12</f>
        <v>1.2603208164168314</v>
      </c>
      <c r="DH201" s="21">
        <f>EXP(-LN(2)/2)*DH200+(1-EXP(-LN(2)/2))/(LN(2)/2)*DB201*DE201*VLOOKUP('Données projet'!$B$13,Paramètres!$A$1:$I$89,3,0)*0.475*44/12</f>
        <v>1.7073665974102115E-18</v>
      </c>
      <c r="DI201" s="22">
        <f t="shared" si="175"/>
        <v>14.452137451591376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3.4106051316484809E-13</v>
      </c>
      <c r="DP201" s="17">
        <f>DO201*VLOOKUP('Données projet'!$B$14,Paramètres!$A$1:$I$89,3,0)*VLOOKUP('Données projet'!$B$14,Paramètres!$A$1:$I$89,5,0)</f>
        <v>1.5961632016114892E-13</v>
      </c>
      <c r="DQ201" s="13">
        <f t="shared" si="176"/>
        <v>2.2708641912150958E-12</v>
      </c>
      <c r="DR201" s="20">
        <f t="shared" si="177"/>
        <v>4.2330868906469593E-12</v>
      </c>
      <c r="DS201" s="59">
        <f t="shared" si="197"/>
        <v>293.33333333333752</v>
      </c>
      <c r="DT201" s="59">
        <f ca="1">AVERAGE(OFFSET($DS$3,0,0,'Données projet'!$E$14+1,1))-AVERAGE(OFFSET($H$3,0,0,'Données projet'!$E$14+1,1))</f>
        <v>207.25176714718668</v>
      </c>
      <c r="DU201" s="59">
        <f t="shared" si="209"/>
        <v>191.53228014642559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27.778342951183536</v>
      </c>
      <c r="EB201" s="21">
        <f>EXP(-LN(2)/25)*EB200+(1-EXP(-LN(2)/25))/(LN(2)/25)*Calculateur!DW201*Calculateur!DY201*VLOOKUP('Données projet'!$B$14,Paramètres!$A$1:$I$89,3,0)*0.475*44/12</f>
        <v>3.3330548503961013</v>
      </c>
      <c r="EC201" s="21">
        <f>EXP(-LN(2)/2)*EC200+(1-EXP(-LN(2)/2))/(LN(2)/2)*DW201*DZ201*VLOOKUP('Données projet'!$B$14,Paramètres!$A$1:$I$89,3,0)*0.475*44/12</f>
        <v>2.2294449984618586E-13</v>
      </c>
      <c r="ED201" s="22">
        <f t="shared" si="178"/>
        <v>31.111397801579862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-2.8421709430404007E-13</v>
      </c>
      <c r="EK201" s="17">
        <f>EJ201*VLOOKUP('Données projet'!$B$15,Paramètres!$A$1:$I$89,3,0)*VLOOKUP('Données projet'!$B$15,Paramètres!$A$1:$I$89,5,0)</f>
        <v>-1.69961822393816E-13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200.15574321350221</v>
      </c>
      <c r="EP201" s="59">
        <f t="shared" si="210"/>
        <v>200.70728852570426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8.4352013819095717</v>
      </c>
      <c r="EW201" s="21">
        <f>EXP(-LN(2)/25)*EW200+(1-EXP(-LN(2)/25))/(LN(2)/25)*Calculateur!ER201*Calculateur!ET201*VLOOKUP('Données projet'!$B$15,Paramètres!$A$1:$I$89,3,0)*0.475*44/12</f>
        <v>0.78755471675908062</v>
      </c>
      <c r="EX201" s="21">
        <f>EXP(-LN(2)/2)*EX200+(1-EXP(-LN(2)/2))/(LN(2)/2)*ER201*EU201*VLOOKUP('Données projet'!$B$15,Paramètres!$A$1:$I$89,3,0)*0.475*44/12</f>
        <v>5.4147171518218337E-20</v>
      </c>
      <c r="EY201" s="22">
        <f t="shared" si="181"/>
        <v>9.2227560986686523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5.6843418860808015E-13</v>
      </c>
      <c r="FF201" s="17">
        <f>FE201*VLOOKUP('Données projet'!$B$16,Paramètres!$A$1:$I$89,3,0)*VLOOKUP('Données projet'!$B$16,Paramètres!$A$1:$I$89,5,0)</f>
        <v>6.1186256061773743E-13</v>
      </c>
      <c r="FG201" s="13">
        <f t="shared" si="182"/>
        <v>7.4445668332430206E-12</v>
      </c>
      <c r="FH201" s="20">
        <f t="shared" si="183"/>
        <v>1.4031614527640822E-11</v>
      </c>
      <c r="FI201" s="59">
        <f t="shared" si="199"/>
        <v>293.33333333334735</v>
      </c>
      <c r="FJ201" s="59">
        <f ca="1">AVERAGE(OFFSET($FI$3,0,0,'Données projet'!$E$16+1,1))-AVERAGE(OFFSET($H$3,0,0,'Données projet'!$E$16+1,1))</f>
        <v>347.17049316703486</v>
      </c>
      <c r="FK201" s="59">
        <f t="shared" si="211"/>
        <v>255.45365487683489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53.966440355704258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53.966440355704258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7">
        <f t="shared" si="192"/>
        <v>499.63562673084584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266.02599413192075</v>
      </c>
      <c r="T202" s="59">
        <f t="shared" si="204"/>
        <v>332.94146254783254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5.1431925385259092E-13</v>
      </c>
      <c r="AK202" s="13">
        <f t="shared" si="164"/>
        <v>6.3855359115685756E-12</v>
      </c>
      <c r="AL202" s="20">
        <f t="shared" si="165"/>
        <v>1.2017247746441865E-11</v>
      </c>
      <c r="AM202" s="59">
        <f t="shared" si="193"/>
        <v>293.33333333334531</v>
      </c>
      <c r="AN202" s="59">
        <f ca="1">AVERAGE(OFFSET($AM$3,0,0,'Données projet'!$E$10+1,1))-AVERAGE(OFFSET($H$3,0,0,'Données projet'!$E$10+1,1))</f>
        <v>282.13645166362238</v>
      </c>
      <c r="AO202" s="59">
        <f t="shared" si="205"/>
        <v>210.5345332979457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44.473552171640939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44.473552171640939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254.6443970237226</v>
      </c>
      <c r="BJ202" s="59">
        <f t="shared" si="206"/>
        <v>231.81667808018062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16.356609581129803</v>
      </c>
      <c r="BQ202" s="21">
        <f>EXP(-LN(2)/25)*BQ201+(1-EXP(-LN(2)/25))/(LN(2)/25)*Calculateur!BL202*Calculateur!BN202*VLOOKUP('Données projet'!$B$11,Paramètres!$A$1:$I$89,3,0)*0.475*44/12</f>
        <v>1.550348909671303</v>
      </c>
      <c r="BR202" s="21">
        <f>EXP(-LN(2)/2)*BR201+(1-EXP(-LN(2)/2))/(LN(2)/2)*BL202*BO202*VLOOKUP('Données projet'!$B$11,Paramètres!$A$1:$I$89,3,0)*0.475*44/12</f>
        <v>1.5268673957943084E-18</v>
      </c>
      <c r="BS202" s="22">
        <f t="shared" si="169"/>
        <v>17.906958490801106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-4.5474735088646412E-13</v>
      </c>
      <c r="BZ202" s="13">
        <f>BY202*VLOOKUP('Données projet'!$B$12,Paramètres!$A$1:$I$89,3,0)*VLOOKUP('Données projet'!$B$12,Paramètres!$A$1:$I$89,5,0)</f>
        <v>-4.6111381379887462E-13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264.08050363622294</v>
      </c>
      <c r="CE202" s="59">
        <f t="shared" si="207"/>
        <v>164.48884512322883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75.053105823456221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75.053105823456221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194.7221767407824</v>
      </c>
      <c r="CZ202" s="59">
        <f t="shared" si="208"/>
        <v>177.6550559568646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12.933133157172422</v>
      </c>
      <c r="DG202" s="21">
        <f>EXP(-LN(2)/25)*DG201+(1-EXP(-LN(2)/25))/(LN(2)/25)*Calculateur!DB202*Calculateur!DD202*VLOOKUP('Données projet'!$B$13,Paramètres!$A$1:$I$89,3,0)*0.475*44/12</f>
        <v>1.2258572774145218</v>
      </c>
      <c r="DH202" s="21">
        <f>EXP(-LN(2)/2)*DH201+(1-EXP(-LN(2)/2))/(LN(2)/2)*DB202*DE202*VLOOKUP('Données projet'!$B$13,Paramètres!$A$1:$I$89,3,0)*0.475*44/12</f>
        <v>1.2072904990001627E-18</v>
      </c>
      <c r="DI202" s="22">
        <f t="shared" si="175"/>
        <v>14.158990434586944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3.4106051316484809E-13</v>
      </c>
      <c r="DP202" s="17">
        <f>DO202*VLOOKUP('Données projet'!$B$14,Paramètres!$A$1:$I$89,3,0)*VLOOKUP('Données projet'!$B$14,Paramètres!$A$1:$I$89,5,0)</f>
        <v>1.5961632016114892E-13</v>
      </c>
      <c r="DQ202" s="13">
        <f t="shared" si="176"/>
        <v>2.2708641912150958E-12</v>
      </c>
      <c r="DR202" s="20">
        <f t="shared" si="177"/>
        <v>4.2330868906469593E-12</v>
      </c>
      <c r="DS202" s="59">
        <f t="shared" si="197"/>
        <v>293.33333333333752</v>
      </c>
      <c r="DT202" s="59">
        <f ca="1">AVERAGE(OFFSET($DS$3,0,0,'Données projet'!$E$14+1,1))-AVERAGE(OFFSET($H$3,0,0,'Données projet'!$E$14+1,1))</f>
        <v>207.25176714718668</v>
      </c>
      <c r="DU202" s="59">
        <f t="shared" si="209"/>
        <v>191.53228014642559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27.233626589027033</v>
      </c>
      <c r="EB202" s="21">
        <f>EXP(-LN(2)/25)*EB201+(1-EXP(-LN(2)/25))/(LN(2)/25)*Calculateur!DW202*Calculateur!DY202*VLOOKUP('Données projet'!$B$14,Paramètres!$A$1:$I$89,3,0)*0.475*44/12</f>
        <v>3.241912290234283</v>
      </c>
      <c r="EC202" s="21">
        <f>EXP(-LN(2)/2)*EC201+(1-EXP(-LN(2)/2))/(LN(2)/2)*DW202*DZ202*VLOOKUP('Données projet'!$B$14,Paramètres!$A$1:$I$89,3,0)*0.475*44/12</f>
        <v>1.5764556766948125E-13</v>
      </c>
      <c r="ED202" s="22">
        <f t="shared" si="178"/>
        <v>30.475538879261471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-2.8421709430404007E-13</v>
      </c>
      <c r="EK202" s="17">
        <f>EJ202*VLOOKUP('Données projet'!$B$15,Paramètres!$A$1:$I$89,3,0)*VLOOKUP('Données projet'!$B$15,Paramètres!$A$1:$I$89,5,0)</f>
        <v>-1.69961822393816E-13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200.15574321350221</v>
      </c>
      <c r="EP202" s="59">
        <f t="shared" si="210"/>
        <v>200.70728852570426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8.2697922277751452</v>
      </c>
      <c r="EW202" s="21">
        <f>EXP(-LN(2)/25)*EW201+(1-EXP(-LN(2)/25))/(LN(2)/25)*Calculateur!ER202*Calculateur!ET202*VLOOKUP('Données projet'!$B$15,Paramètres!$A$1:$I$89,3,0)*0.475*44/12</f>
        <v>0.76601899161360099</v>
      </c>
      <c r="EX202" s="21">
        <f>EXP(-LN(2)/2)*EX201+(1-EXP(-LN(2)/2))/(LN(2)/2)*ER202*EU202*VLOOKUP('Données projet'!$B$15,Paramètres!$A$1:$I$89,3,0)*0.475*44/12</f>
        <v>3.8287832162603275E-20</v>
      </c>
      <c r="EY202" s="22">
        <f t="shared" si="181"/>
        <v>9.0358112193887461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5.6843418860808015E-13</v>
      </c>
      <c r="FF202" s="17">
        <f>FE202*VLOOKUP('Données projet'!$B$16,Paramètres!$A$1:$I$89,3,0)*VLOOKUP('Données projet'!$B$16,Paramètres!$A$1:$I$89,5,0)</f>
        <v>6.1186256061773743E-13</v>
      </c>
      <c r="FG202" s="13">
        <f t="shared" si="182"/>
        <v>7.4445668332430206E-12</v>
      </c>
      <c r="FH202" s="20">
        <f t="shared" si="183"/>
        <v>1.4031614527640822E-11</v>
      </c>
      <c r="FI202" s="59">
        <f t="shared" si="199"/>
        <v>293.33333333334735</v>
      </c>
      <c r="FJ202" s="59">
        <f ca="1">AVERAGE(OFFSET($FI$3,0,0,'Données projet'!$E$16+1,1))-AVERAGE(OFFSET($H$3,0,0,'Données projet'!$E$16+1,1))</f>
        <v>347.17049316703486</v>
      </c>
      <c r="FK202" s="59">
        <f t="shared" si="211"/>
        <v>255.45365487683489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52.908191376607299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52.908191376607299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7">
        <f t="shared" si="192"/>
        <v>500.6464708636322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266.02599413192075</v>
      </c>
      <c r="T203" s="59">
        <f t="shared" si="204"/>
        <v>332.94146254783254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5.1431925385259092E-13</v>
      </c>
      <c r="AK203" s="13">
        <f t="shared" si="164"/>
        <v>6.3855359115685756E-12</v>
      </c>
      <c r="AL203" s="20">
        <f t="shared" si="165"/>
        <v>1.2017247746441865E-11</v>
      </c>
      <c r="AM203" s="59">
        <f t="shared" si="193"/>
        <v>293.33333333334531</v>
      </c>
      <c r="AN203" s="59">
        <f ca="1">AVERAGE(OFFSET($AM$3,0,0,'Données projet'!$E$10+1,1))-AVERAGE(OFFSET($H$3,0,0,'Données projet'!$E$10+1,1))</f>
        <v>282.13645166362238</v>
      </c>
      <c r="AO203" s="59">
        <f t="shared" si="205"/>
        <v>210.5345332979457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43.601452939743396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43.601452939743396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254.6443970237226</v>
      </c>
      <c r="BJ203" s="59">
        <f t="shared" si="206"/>
        <v>231.81667808018062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16.035866443790589</v>
      </c>
      <c r="BQ203" s="21">
        <f>EXP(-LN(2)/25)*BQ202+(1-EXP(-LN(2)/25))/(LN(2)/25)*Calculateur!BL203*Calculateur!BN203*VLOOKUP('Données projet'!$B$11,Paramètres!$A$1:$I$89,3,0)*0.475*44/12</f>
        <v>1.5079545372070355</v>
      </c>
      <c r="BR203" s="21">
        <f>EXP(-LN(2)/2)*BR202+(1-EXP(-LN(2)/2))/(LN(2)/2)*BL203*BO203*VLOOKUP('Données projet'!$B$11,Paramètres!$A$1:$I$89,3,0)*0.475*44/12</f>
        <v>1.0796582895387997E-18</v>
      </c>
      <c r="BS203" s="22">
        <f t="shared" si="169"/>
        <v>17.543820980997623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-4.5474735088646412E-13</v>
      </c>
      <c r="BZ203" s="13">
        <f>BY203*VLOOKUP('Données projet'!$B$12,Paramètres!$A$1:$I$89,3,0)*VLOOKUP('Données projet'!$B$12,Paramètres!$A$1:$I$89,5,0)</f>
        <v>-4.6111381379887462E-13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264.08050363622294</v>
      </c>
      <c r="CE203" s="59">
        <f t="shared" si="207"/>
        <v>164.48884512322883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73.581360196132607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73.581360196132607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194.7221767407824</v>
      </c>
      <c r="CZ203" s="59">
        <f t="shared" si="208"/>
        <v>177.6550559568646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12.679522304392579</v>
      </c>
      <c r="DG203" s="21">
        <f>EXP(-LN(2)/25)*DG202+(1-EXP(-LN(2)/25))/(LN(2)/25)*Calculateur!DB203*Calculateur!DD203*VLOOKUP('Données projet'!$B$13,Paramètres!$A$1:$I$89,3,0)*0.475*44/12</f>
        <v>1.1923361456985893</v>
      </c>
      <c r="DH203" s="21">
        <f>EXP(-LN(2)/2)*DH202+(1-EXP(-LN(2)/2))/(LN(2)/2)*DB203*DE203*VLOOKUP('Données projet'!$B$13,Paramètres!$A$1:$I$89,3,0)*0.475*44/12</f>
        <v>8.5368329870510585E-19</v>
      </c>
      <c r="DI203" s="22">
        <f t="shared" si="175"/>
        <v>13.871858450091167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3.4106051316484809E-13</v>
      </c>
      <c r="DP203" s="17">
        <f>DO203*VLOOKUP('Données projet'!$B$14,Paramètres!$A$1:$I$89,3,0)*VLOOKUP('Données projet'!$B$14,Paramètres!$A$1:$I$89,5,0)</f>
        <v>1.5961632016114892E-13</v>
      </c>
      <c r="DQ203" s="13">
        <f t="shared" si="176"/>
        <v>2.2708641912150958E-12</v>
      </c>
      <c r="DR203" s="20">
        <f t="shared" si="177"/>
        <v>4.2330868906469593E-12</v>
      </c>
      <c r="DS203" s="59">
        <f t="shared" si="197"/>
        <v>293.33333333333752</v>
      </c>
      <c r="DT203" s="59">
        <f ca="1">AVERAGE(OFFSET($DS$3,0,0,'Données projet'!$E$14+1,1))-AVERAGE(OFFSET($H$3,0,0,'Données projet'!$E$14+1,1))</f>
        <v>207.25176714718668</v>
      </c>
      <c r="DU203" s="59">
        <f t="shared" si="209"/>
        <v>191.53228014642559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26.699591782488245</v>
      </c>
      <c r="EB203" s="21">
        <f>EXP(-LN(2)/25)*EB202+(1-EXP(-LN(2)/25))/(LN(2)/25)*Calculateur!DW203*Calculateur!DY203*VLOOKUP('Données projet'!$B$14,Paramètres!$A$1:$I$89,3,0)*0.475*44/12</f>
        <v>3.1532620281730686</v>
      </c>
      <c r="EC203" s="21">
        <f>EXP(-LN(2)/2)*EC202+(1-EXP(-LN(2)/2))/(LN(2)/2)*DW203*DZ203*VLOOKUP('Données projet'!$B$14,Paramètres!$A$1:$I$89,3,0)*0.475*44/12</f>
        <v>1.1147224992309296E-13</v>
      </c>
      <c r="ED203" s="22">
        <f t="shared" si="178"/>
        <v>29.852853810661422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-2.8421709430404007E-13</v>
      </c>
      <c r="EK203" s="17">
        <f>EJ203*VLOOKUP('Données projet'!$B$15,Paramètres!$A$1:$I$89,3,0)*VLOOKUP('Données projet'!$B$15,Paramètres!$A$1:$I$89,5,0)</f>
        <v>-1.69961822393816E-13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200.15574321350221</v>
      </c>
      <c r="EP203" s="59">
        <f t="shared" si="210"/>
        <v>200.70728852570426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8.1076266462636717</v>
      </c>
      <c r="EW203" s="21">
        <f>EXP(-LN(2)/25)*EW202+(1-EXP(-LN(2)/25))/(LN(2)/25)*Calculateur!ER203*Calculateur!ET203*VLOOKUP('Données projet'!$B$15,Paramètres!$A$1:$I$89,3,0)*0.475*44/12</f>
        <v>0.74507216200473902</v>
      </c>
      <c r="EX203" s="21">
        <f>EXP(-LN(2)/2)*EX202+(1-EXP(-LN(2)/2))/(LN(2)/2)*ER203*EU203*VLOOKUP('Données projet'!$B$15,Paramètres!$A$1:$I$89,3,0)*0.475*44/12</f>
        <v>2.7073585759109171E-20</v>
      </c>
      <c r="EY203" s="22">
        <f t="shared" si="181"/>
        <v>8.8526988082684106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5.6843418860808015E-13</v>
      </c>
      <c r="FF203" s="17">
        <f>FE203*VLOOKUP('Données projet'!$B$16,Paramètres!$A$1:$I$89,3,0)*VLOOKUP('Données projet'!$B$16,Paramètres!$A$1:$I$89,5,0)</f>
        <v>6.1186256061773743E-13</v>
      </c>
      <c r="FG203" s="13">
        <f t="shared" si="182"/>
        <v>7.4445668332430206E-12</v>
      </c>
      <c r="FH203" s="20">
        <f t="shared" si="183"/>
        <v>1.4031614527640822E-11</v>
      </c>
      <c r="FI203" s="59">
        <f t="shared" si="199"/>
        <v>293.33333333334735</v>
      </c>
      <c r="FJ203" s="59">
        <f ca="1">AVERAGE(OFFSET($FI$3,0,0,'Données projet'!$E$16+1,1))-AVERAGE(OFFSET($H$3,0,0,'Données projet'!$E$16+1,1))</f>
        <v>347.17049316703486</v>
      </c>
      <c r="FK203" s="59">
        <f t="shared" si="211"/>
        <v>255.45365487683489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51.870694014522293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51.870694014522293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1.1736311550444201</v>
      </c>
      <c r="BA205" s="82">
        <f>EXP(LN('Données projet'!B88)/'Données projet'!A88)</f>
        <v>1.2805631431945952</v>
      </c>
      <c r="BV205" s="82">
        <f>EXP(LN('Données projet'!B114)/'Données projet'!A114)</f>
        <v>1.1608269964373037</v>
      </c>
      <c r="CQ205" s="82">
        <f>EXP(LN('Données projet'!B140)/'Données projet'!A140)</f>
        <v>1.2805631431945952</v>
      </c>
      <c r="DL205" s="82">
        <f>EXP(LN('Données projet'!B166)/'Données projet'!A166)</f>
        <v>1.1963772029987372</v>
      </c>
      <c r="EG205" s="82">
        <f>EXP(LN('Données projet'!B192)/'Données projet'!A192)</f>
        <v>1.3292852468636394</v>
      </c>
      <c r="FB205" s="82">
        <f>EXP(LN('Données projet'!B218)/'Données projet'!A218)</f>
        <v>1.1736311550444201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11.500999999999999</v>
      </c>
      <c r="C6" s="147">
        <f ca="1">IF(OR('Données projet'!B9="",'Données projet'!C9="",'Données projet'!C9=0%),0,Calculateur!S3)</f>
        <v>266.02599413192075</v>
      </c>
      <c r="D6" s="147">
        <f>IF(OR('Données projet'!B9="",'Données projet'!C9="",'Données projet'!C9=0%),0,Calculateur!T3)</f>
        <v>332.94146254783254</v>
      </c>
      <c r="E6" s="147">
        <f ca="1">MIN(C6,D6)</f>
        <v>266.02599413192075</v>
      </c>
      <c r="F6" s="147">
        <f ca="1">E6*B6</f>
        <v>3059.5649585112205</v>
      </c>
      <c r="G6" s="147">
        <f ca="1">F6*(100%-'Données projet'!$C$24)*(100%-'Données projet'!$C$25)*(100%-'Données projet'!$C$26)*(100%-'Données projet'!$C$27)</f>
        <v>2753.6084626600987</v>
      </c>
      <c r="H6" s="148">
        <f>IF(OR('Données projet'!B9="",'Données projet'!C9="",'Données projet'!C9=0%),0,AVERAGE(Calculateur!$AC$3:$AC$33)*B6)</f>
        <v>149.73086467069442</v>
      </c>
      <c r="I6" s="149">
        <f>H6*(100%-'Données projet'!$C$24)*(100%-'Données projet'!$C$25)*(100%-'Données projet'!$C$26)*(100%-'Données projet'!$C$27)</f>
        <v>134.75777820362498</v>
      </c>
      <c r="J6" s="150">
        <f>IF(OR('Données projet'!B9="",'Données projet'!C9="",'Données projet'!C9=0%),0,SUM(Calculateur!$V$3:$V$33)*VLOOKUP('Données projet'!$B$9,Paramètres!$A$1:$I$89,9,0)*B6)</f>
        <v>987.25114815384609</v>
      </c>
      <c r="K6" s="151">
        <f>J6*(100%-'Données projet'!$C$24)*(100%-'Données projet'!$C$25)*(100%-'Données projet'!$C$26)*(100%-'Données projet'!$C$27)</f>
        <v>888.5260333384615</v>
      </c>
      <c r="L6" s="152">
        <f ca="1">G6+I6+K6</f>
        <v>3776.892274202185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sessile</v>
      </c>
      <c r="B7" s="154">
        <f>'Données projet'!D10</f>
        <v>9.200800000000001</v>
      </c>
      <c r="C7" s="147">
        <f ca="1">IF(OR('Données projet'!B10="",'Données projet'!C10="",'Données projet'!C10=0%),0,Calculateur!AN3)</f>
        <v>282.13645166362238</v>
      </c>
      <c r="D7" s="147">
        <f>IF(OR('Données projet'!B10="",'Données projet'!C10="",'Données projet'!C10=0%),0,Calculateur!AO3)</f>
        <v>210.5345332979457</v>
      </c>
      <c r="E7" s="147">
        <f t="shared" ref="E7:E15" ca="1" si="0">MIN(C7,D7)</f>
        <v>210.5345332979457</v>
      </c>
      <c r="F7" s="147">
        <f t="shared" ref="F7:F15" ca="1" si="1">E7*B7</f>
        <v>1937.086133967739</v>
      </c>
      <c r="G7" s="147">
        <f ca="1">F7*(100%-'Données projet'!$C$24)*(100%-'Données projet'!$C$25)*(100%-'Données projet'!$C$26)*(100%-'Données projet'!$C$27)</f>
        <v>1743.3775205709651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1743.3775205709651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Douglas</v>
      </c>
      <c r="B8" s="154">
        <f>'Données projet'!D11</f>
        <v>2.9573999999999998</v>
      </c>
      <c r="C8" s="147">
        <f ca="1">IF(OR('Données projet'!B11="",'Données projet'!C11="",'Données projet'!C11=0%),0,Calculateur!BI3)</f>
        <v>254.6443970237226</v>
      </c>
      <c r="D8" s="147">
        <f>IF(OR('Données projet'!B11="",'Données projet'!C11="",'Données projet'!C11=0%),0,Calculateur!BJ3)</f>
        <v>231.81667808018062</v>
      </c>
      <c r="E8" s="147">
        <f t="shared" ca="1" si="0"/>
        <v>231.81667808018062</v>
      </c>
      <c r="F8" s="147">
        <f t="shared" ca="1" si="1"/>
        <v>685.57464375432608</v>
      </c>
      <c r="G8" s="147">
        <f ca="1">F8*(100%-'Données projet'!$C$24)*(100%-'Données projet'!$C$25)*(100%-'Données projet'!$C$26)*(100%-'Données projet'!$C$27)</f>
        <v>617.0171793788935</v>
      </c>
      <c r="H8" s="155">
        <f>IF(OR('Données projet'!B11="",'Données projet'!C11="",'Données projet'!C11=0%),0,AVERAGE(Calculateur!$BS$3:$BS$33)*B8)</f>
        <v>24.073493764278016</v>
      </c>
      <c r="I8" s="149">
        <f>H8*(100%-'Données projet'!$C$24)*(100%-'Données projet'!$C$25)*(100%-'Données projet'!$C$26)*(100%-'Données projet'!$C$27)</f>
        <v>21.666144387850213</v>
      </c>
      <c r="J8" s="150">
        <f>IF(OR('Données projet'!B11="",'Données projet'!C11="",'Données projet'!C11=0%),0,SUM(Calculateur!$BL$3:$BL$33)*VLOOKUP('Données projet'!$B$11,Paramètres!$A$1:$I$89,9,0)*B8)</f>
        <v>150.16607986153844</v>
      </c>
      <c r="K8" s="151">
        <f>J8*(100%-'Données projet'!$C$24)*(100%-'Données projet'!$C$25)*(100%-'Données projet'!$C$26)*(100%-'Données projet'!$C$27)</f>
        <v>135.14947187538459</v>
      </c>
      <c r="L8" s="152">
        <f t="shared" ca="1" si="2"/>
        <v>773.8327956421283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pubescent</v>
      </c>
      <c r="B9" s="154">
        <f>'Données projet'!D12</f>
        <v>2.9573999999999998</v>
      </c>
      <c r="C9" s="147">
        <f ca="1">IF(OR('Données projet'!B12="",'Données projet'!C12="",'Données projet'!C12=0%),0,Calculateur!CD3)</f>
        <v>264.08050363622294</v>
      </c>
      <c r="D9" s="147">
        <f>IF(OR('Données projet'!B12="",'Données projet'!C12="",'Données projet'!C12=0%),0,Calculateur!CE3)</f>
        <v>164.48884512322883</v>
      </c>
      <c r="E9" s="147">
        <f t="shared" ca="1" si="0"/>
        <v>164.48884512322883</v>
      </c>
      <c r="F9" s="147">
        <f t="shared" ca="1" si="1"/>
        <v>486.45931056743689</v>
      </c>
      <c r="G9" s="147">
        <f ca="1">F9*(100%-'Données projet'!$C$24)*(100%-'Données projet'!$C$25)*(100%-'Données projet'!$C$26)*(100%-'Données projet'!$C$27)</f>
        <v>437.81337951069321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437.81337951069321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Séquoia toujours vert</v>
      </c>
      <c r="B10" s="154">
        <f>'Données projet'!D13</f>
        <v>2.3002000000000002</v>
      </c>
      <c r="C10" s="147">
        <f ca="1">IF(OR('Données projet'!B13="",'Données projet'!C13="",'Données projet'!C13=0%),0,Calculateur!CY3)</f>
        <v>194.7221767407824</v>
      </c>
      <c r="D10" s="147">
        <f>IF(OR('Données projet'!B13="",'Données projet'!C13="",'Données projet'!C13=0%),0,Calculateur!CZ3)</f>
        <v>177.6550559568646</v>
      </c>
      <c r="E10" s="147">
        <f t="shared" ca="1" si="0"/>
        <v>177.6550559568646</v>
      </c>
      <c r="F10" s="147">
        <f t="shared" ca="1" si="1"/>
        <v>408.64215971198001</v>
      </c>
      <c r="G10" s="147">
        <f ca="1">F10*(100%-'Données projet'!$C$24)*(100%-'Données projet'!$C$25)*(100%-'Données projet'!$C$26)*(100%-'Données projet'!$C$27)</f>
        <v>367.77794374078201</v>
      </c>
      <c r="H10" s="155">
        <f>IF(OR('Données projet'!B13="",'Données projet'!C13="",'Données projet'!C13=0%),0,AVERAGE(Calculateur!$DI$3:$DI$33)*B10)</f>
        <v>14.804887637979762</v>
      </c>
      <c r="I10" s="149">
        <f>H10*(100%-'Données projet'!$C$24)*(100%-'Données projet'!$C$25)*(100%-'Données projet'!$C$26)*(100%-'Données projet'!$C$27)</f>
        <v>13.324398874181787</v>
      </c>
      <c r="J10" s="150">
        <f>IF(OR('Données projet'!B13="",'Données projet'!C13="",'Données projet'!C13=0%),0,SUM(Calculateur!$DB$3:$DB$33)*VLOOKUP('Données projet'!$B$13,Paramètres!$A$1:$I$89,9,0)*B10)</f>
        <v>116.79583989230768</v>
      </c>
      <c r="K10" s="151">
        <f>J10*(100%-'Données projet'!$C$24)*(100%-'Données projet'!$C$25)*(100%-'Données projet'!$C$26)*(100%-'Données projet'!$C$27)</f>
        <v>105.11625590307692</v>
      </c>
      <c r="L10" s="152">
        <f t="shared" ca="1" si="2"/>
        <v>486.21859851804072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Cèdre de l'Atlas</v>
      </c>
      <c r="B11" s="154">
        <f>'Données projet'!D14</f>
        <v>2.3002000000000002</v>
      </c>
      <c r="C11" s="147">
        <f ca="1">IF(OR('Données projet'!B14="",'Données projet'!C14="",'Données projet'!C14=0%),0,Calculateur!DT3)</f>
        <v>207.25176714718668</v>
      </c>
      <c r="D11" s="147">
        <f>IF(OR('Données projet'!B14="",'Données projet'!C14="",'Données projet'!C14=0%),0,Calculateur!DU3)</f>
        <v>191.53228014642559</v>
      </c>
      <c r="E11" s="147">
        <f t="shared" ca="1" si="0"/>
        <v>191.53228014642559</v>
      </c>
      <c r="F11" s="147">
        <f t="shared" ca="1" si="1"/>
        <v>440.56255079280817</v>
      </c>
      <c r="G11" s="147">
        <f ca="1">F11*(100%-'Données projet'!$C$24)*(100%-'Données projet'!$C$25)*(100%-'Données projet'!$C$26)*(100%-'Données projet'!$C$27)</f>
        <v>396.50629571352738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396.50629571352738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Pin taeda</v>
      </c>
      <c r="B12" s="154">
        <f>'Données projet'!D15</f>
        <v>1.3144</v>
      </c>
      <c r="C12" s="147">
        <f ca="1">IF(OR('Données projet'!B15="",'Données projet'!C15="",'Données projet'!C15=0%),0,Calculateur!EO3)</f>
        <v>200.15574321350221</v>
      </c>
      <c r="D12" s="147">
        <f>IF(OR('Données projet'!B15="",'Données projet'!C15="",'Données projet'!C15=0%),0,Calculateur!EP3)</f>
        <v>200.70728852570426</v>
      </c>
      <c r="E12" s="147">
        <f t="shared" ca="1" si="0"/>
        <v>200.15574321350221</v>
      </c>
      <c r="F12" s="147">
        <f t="shared" ca="1" si="1"/>
        <v>263.0847088798273</v>
      </c>
      <c r="G12" s="147">
        <f ca="1">F12*(100%-'Données projet'!$C$24)*(100%-'Données projet'!$C$25)*(100%-'Données projet'!$C$26)*(100%-'Données projet'!$C$27)</f>
        <v>236.77623799184457</v>
      </c>
      <c r="H12" s="155">
        <f>IF(OR('Données projet'!B15="",'Données projet'!C15="",'Données projet'!C15=0%),0,AVERAGE(Calculateur!$EY$3:$EY$33)*B12)</f>
        <v>13.037406530005317</v>
      </c>
      <c r="I12" s="149">
        <f>H12*(100%-'Données projet'!$C$24)*(100%-'Données projet'!$C$25)*(100%-'Données projet'!$C$26)*(100%-'Données projet'!$C$27)</f>
        <v>11.733665877004785</v>
      </c>
      <c r="J12" s="150">
        <f>IF(OR('Données projet'!B15="",'Données projet'!C15="",'Données projet'!C15=0%),0,SUM(Calculateur!$ER$3:$ER$33)*VLOOKUP('Données projet'!$B$15,Paramètres!$A$1:$I$89,9,0)*B12)</f>
        <v>81.300695384615381</v>
      </c>
      <c r="K12" s="151">
        <f>J12*(100%-'Données projet'!$C$24)*(100%-'Données projet'!$C$25)*(100%-'Données projet'!$C$26)*(100%-'Données projet'!$C$27)</f>
        <v>73.17062584615384</v>
      </c>
      <c r="L12" s="152">
        <f t="shared" ca="1" si="2"/>
        <v>321.68052971500322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Cormier</v>
      </c>
      <c r="B13" s="154">
        <f>'Données projet'!D16</f>
        <v>0.3286</v>
      </c>
      <c r="C13" s="147">
        <f ca="1">IF(OR('Données projet'!B16="",'Données projet'!C16="",'Données projet'!C16=0%),0,Calculateur!FJ3)</f>
        <v>347.17049316703486</v>
      </c>
      <c r="D13" s="147">
        <f>IF(OR('Données projet'!B16="",'Données projet'!C16="",'Données projet'!C16=0%),0,Calculateur!FK3)</f>
        <v>255.45365487683489</v>
      </c>
      <c r="E13" s="147">
        <f t="shared" ca="1" si="0"/>
        <v>255.45365487683489</v>
      </c>
      <c r="F13" s="147">
        <f t="shared" ca="1" si="1"/>
        <v>83.942070992527945</v>
      </c>
      <c r="G13" s="147">
        <f ca="1">F13*(100%-'Données projet'!$C$24)*(100%-'Données projet'!$C$25)*(100%-'Données projet'!$C$26)*(100%-'Données projet'!$C$27)</f>
        <v>75.547863893275149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75.547863893275149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7364.9165371778654</v>
      </c>
      <c r="G16" s="166">
        <f t="shared" ca="1" si="3"/>
        <v>6628.4248834600803</v>
      </c>
      <c r="H16" s="167">
        <f t="shared" si="3"/>
        <v>201.64665260295752</v>
      </c>
      <c r="I16" s="167">
        <f t="shared" si="3"/>
        <v>181.48198734266177</v>
      </c>
      <c r="J16" s="168">
        <f t="shared" si="3"/>
        <v>1335.5137632923077</v>
      </c>
      <c r="K16" s="168">
        <f t="shared" si="3"/>
        <v>1201.9623869630768</v>
      </c>
      <c r="L16" s="169">
        <f t="shared" ca="1" si="3"/>
        <v>8011.8692577658185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Séquoia toujours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Cèdre de l'Atlas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Pin taeda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Cormier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3" zoomScale="80" zoomScaleNormal="80" workbookViewId="0">
      <selection activeCell="E69" sqref="E69:E73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4" t="s">
        <v>315</v>
      </c>
      <c r="I4" s="264"/>
      <c r="K4" s="288" t="s">
        <v>253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3349.8568350307655</v>
      </c>
      <c r="U10" s="178">
        <f>'Données projet'!D9</f>
        <v>11.500999999999999</v>
      </c>
      <c r="V10" s="177">
        <f>U10*T10</f>
        <v>38526.703459688833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1547.5283043795848</v>
      </c>
      <c r="U11" s="178">
        <f>'Données projet'!D10</f>
        <v>9.200800000000001</v>
      </c>
      <c r="V11" s="177">
        <f t="shared" ref="V11" si="0">U11*T11</f>
        <v>14238.498422935685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2931.0990078930313</v>
      </c>
      <c r="U12" s="178">
        <f>'Données projet'!D11</f>
        <v>2.9573999999999998</v>
      </c>
      <c r="V12" s="177">
        <f t="shared" ref="V12:V19" si="1">U12*T12</f>
        <v>8668.4322059428505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pubescent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708.90487280046784</v>
      </c>
      <c r="U13" s="178">
        <f>'Données projet'!D12</f>
        <v>2.9573999999999998</v>
      </c>
      <c r="V13" s="177">
        <f t="shared" si="1"/>
        <v>2096.5152708201035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Séquoia toujours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2931.0990078930313</v>
      </c>
      <c r="U14" s="178">
        <f>'Données projet'!D13</f>
        <v>2.3002000000000002</v>
      </c>
      <c r="V14" s="177">
        <f t="shared" si="1"/>
        <v>6742.1139379555516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Cèdre de l'Atlas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1422.6580648391978</v>
      </c>
      <c r="U15" s="178">
        <f>'Données projet'!D14</f>
        <v>2.3002000000000002</v>
      </c>
      <c r="V15" s="177">
        <f t="shared" si="1"/>
        <v>3272.398080743123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1"/>
      <c r="H16" s="190"/>
      <c r="I16" s="191"/>
      <c r="J16" s="202"/>
      <c r="K16" s="208"/>
      <c r="L16" s="288" t="s">
        <v>254</v>
      </c>
      <c r="M16" s="289"/>
      <c r="N16" s="2"/>
      <c r="O16" s="23"/>
      <c r="P16" s="23"/>
      <c r="Q16" s="234"/>
      <c r="R16" s="23"/>
      <c r="S16" s="36" t="str">
        <f>B200</f>
        <v>Pin taeda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2397.3016066563191</v>
      </c>
      <c r="U16" s="178">
        <f>'Données projet'!D15</f>
        <v>1.3144</v>
      </c>
      <c r="V16" s="177">
        <f t="shared" si="1"/>
        <v>3151.0132317890657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1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Cormier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693.33858997708126</v>
      </c>
      <c r="U17" s="178">
        <f>'Données projet'!D16</f>
        <v>0.3286</v>
      </c>
      <c r="V17" s="177">
        <f t="shared" si="1"/>
        <v>227.83106066646891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1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1"/>
      <c r="H19" s="212" t="s">
        <v>178</v>
      </c>
      <c r="I19" s="212" t="s">
        <v>287</v>
      </c>
      <c r="J19" s="93"/>
      <c r="K19" s="173"/>
      <c r="L19" s="288" t="s">
        <v>288</v>
      </c>
      <c r="M19" s="28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1"/>
      <c r="H20" s="190">
        <v>1</v>
      </c>
      <c r="I20" s="191">
        <v>9106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thickBot="1" x14ac:dyDescent="0.4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 t="shared" ref="D23:D31" si="2">B23*C23</f>
        <v>497.84615384615387</v>
      </c>
      <c r="E23" s="193">
        <v>150</v>
      </c>
      <c r="F23" s="230"/>
      <c r="H23" s="190"/>
      <c r="I23" s="191"/>
      <c r="K23" s="208"/>
      <c r="L23" s="290" t="s">
        <v>260</v>
      </c>
      <c r="M23" s="290"/>
      <c r="N23" s="290"/>
      <c r="O23" s="23"/>
      <c r="P23" s="23"/>
      <c r="Q23" s="234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-209414.44648256837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thickBot="1" x14ac:dyDescent="0.4">
      <c r="A24" s="180">
        <f>'Données projet'!A37</f>
        <v>20</v>
      </c>
      <c r="B24" s="181">
        <f>'Données projet'!D37</f>
        <v>48.723076923076924</v>
      </c>
      <c r="C24" s="257">
        <v>18</v>
      </c>
      <c r="D24" s="182">
        <f t="shared" si="2"/>
        <v>877.01538461538462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thickBot="1" x14ac:dyDescent="0.4">
      <c r="A25" s="180">
        <f>'Données projet'!A38</f>
        <v>26</v>
      </c>
      <c r="B25" s="181">
        <f>'Données projet'!D38</f>
        <v>46.984615384615381</v>
      </c>
      <c r="C25" s="258">
        <v>25</v>
      </c>
      <c r="D25" s="182">
        <f t="shared" si="2"/>
        <v>1174.6153846153845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5">
        <f ca="1">T23-T24</f>
        <v>-209414.44648256837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thickBot="1" x14ac:dyDescent="0.4">
      <c r="A26" s="180">
        <f>'Données projet'!A39</f>
        <v>32</v>
      </c>
      <c r="B26" s="181">
        <f>'Données projet'!D39</f>
        <v>64.523076923076914</v>
      </c>
      <c r="C26" s="258">
        <v>25</v>
      </c>
      <c r="D26" s="182">
        <f t="shared" si="2"/>
        <v>1613.0769230769229</v>
      </c>
      <c r="E26" s="193">
        <v>150</v>
      </c>
      <c r="F26" s="233"/>
      <c r="G26" s="229"/>
      <c r="H26" s="190"/>
      <c r="I26" s="191"/>
      <c r="K26" s="208"/>
      <c r="L26" s="292" t="s">
        <v>258</v>
      </c>
      <c r="M26" s="293"/>
      <c r="N26" s="293"/>
      <c r="O26" s="293"/>
      <c r="P26" s="294"/>
      <c r="Q26" s="234"/>
      <c r="R26" s="23"/>
      <c r="S26" s="186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thickBot="1" x14ac:dyDescent="0.4">
      <c r="A27" s="180">
        <f>'Données projet'!A40</f>
        <v>40</v>
      </c>
      <c r="B27" s="181">
        <f>'Données projet'!D40</f>
        <v>92.661538461538456</v>
      </c>
      <c r="C27" s="258">
        <v>35</v>
      </c>
      <c r="D27" s="182">
        <f t="shared" si="2"/>
        <v>3243.1538461538457</v>
      </c>
      <c r="E27" s="193">
        <v>150</v>
      </c>
      <c r="F27" s="233"/>
      <c r="G27" s="229"/>
      <c r="H27" s="190"/>
      <c r="I27" s="191"/>
      <c r="K27" s="208"/>
      <c r="L27" s="295"/>
      <c r="M27" s="296"/>
      <c r="N27" s="296"/>
      <c r="O27" s="296"/>
      <c r="P27" s="297"/>
      <c r="Q27" s="234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thickBot="1" x14ac:dyDescent="0.4">
      <c r="A28" s="180">
        <f>'Données projet'!A41</f>
        <v>48</v>
      </c>
      <c r="B28" s="181">
        <f>'Données projet'!D41</f>
        <v>83.969230769230762</v>
      </c>
      <c r="C28" s="258">
        <v>35</v>
      </c>
      <c r="D28" s="182">
        <f t="shared" si="2"/>
        <v>2938.9230769230767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ht="15" thickBot="1" x14ac:dyDescent="0.4">
      <c r="A29" s="180">
        <f>'Données projet'!A42</f>
        <v>56</v>
      </c>
      <c r="B29" s="181">
        <f>'Données projet'!D42</f>
        <v>446.47692307692301</v>
      </c>
      <c r="C29" s="258">
        <v>35</v>
      </c>
      <c r="D29" s="182">
        <f t="shared" si="2"/>
        <v>15626.692307692305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ht="15" thickBot="1" x14ac:dyDescent="0.4">
      <c r="A30" s="180">
        <f>'Données projet'!A43</f>
        <v>0</v>
      </c>
      <c r="B30" s="181">
        <f>'Données projet'!D43</f>
        <v>0</v>
      </c>
      <c r="C30" s="258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ht="15" thickBot="1" x14ac:dyDescent="0.4">
      <c r="A31" s="180">
        <f>'Données projet'!A44</f>
        <v>0</v>
      </c>
      <c r="B31" s="181">
        <f>'Données projet'!D44</f>
        <v>0</v>
      </c>
      <c r="C31" s="258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ref="D32:D42" si="3">B32*C32</f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>B33*C33</f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>B36*C36</f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thickBot="1" x14ac:dyDescent="0.4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thickBot="1" x14ac:dyDescent="0.4">
      <c r="A55" s="180">
        <f>'Données projet'!A63</f>
        <v>35</v>
      </c>
      <c r="B55" s="181">
        <f>'Données projet'!D63</f>
        <v>60.602564102564102</v>
      </c>
      <c r="C55" s="257">
        <v>10</v>
      </c>
      <c r="D55" s="179">
        <f t="shared" ref="D55:D73" si="5">B55*C55</f>
        <v>606.02564102564099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thickBot="1" x14ac:dyDescent="0.4">
      <c r="A56" s="180">
        <f>'Données projet'!A64</f>
        <v>41</v>
      </c>
      <c r="B56" s="181">
        <f>'Données projet'!D64</f>
        <v>38.512820512820511</v>
      </c>
      <c r="C56" s="258">
        <v>10</v>
      </c>
      <c r="D56" s="179">
        <f t="shared" si="5"/>
        <v>385.12820512820508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thickBot="1" x14ac:dyDescent="0.4">
      <c r="A57" s="180">
        <f>'Données projet'!A65</f>
        <v>48</v>
      </c>
      <c r="B57" s="181">
        <f>'Données projet'!D65</f>
        <v>48.025641025641022</v>
      </c>
      <c r="C57" s="258">
        <v>50</v>
      </c>
      <c r="D57" s="179">
        <f t="shared" si="5"/>
        <v>2401.2820512820513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thickBot="1" x14ac:dyDescent="0.4">
      <c r="A58" s="180">
        <f>'Données projet'!A66</f>
        <v>55</v>
      </c>
      <c r="B58" s="181">
        <f>'Données projet'!D66</f>
        <v>45.147435897435898</v>
      </c>
      <c r="C58" s="258">
        <v>50</v>
      </c>
      <c r="D58" s="179">
        <f t="shared" si="5"/>
        <v>2257.3717948717949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thickBot="1" x14ac:dyDescent="0.4">
      <c r="A59" s="180">
        <f>'Données projet'!A67</f>
        <v>63</v>
      </c>
      <c r="B59" s="181">
        <f>'Données projet'!D67</f>
        <v>41.724358974358978</v>
      </c>
      <c r="C59" s="258">
        <v>50</v>
      </c>
      <c r="D59" s="179">
        <f t="shared" si="5"/>
        <v>2086.2179487179487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ht="15" thickBot="1" x14ac:dyDescent="0.4">
      <c r="A60" s="180">
        <f>'Données projet'!A68</f>
        <v>71</v>
      </c>
      <c r="B60" s="181">
        <f>'Données projet'!D68</f>
        <v>39.935897435897431</v>
      </c>
      <c r="C60" s="258">
        <v>100</v>
      </c>
      <c r="D60" s="179">
        <f t="shared" si="5"/>
        <v>3993.5897435897432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ht="15" thickBot="1" x14ac:dyDescent="0.4">
      <c r="A61" s="180">
        <f>'Données projet'!A69</f>
        <v>80</v>
      </c>
      <c r="B61" s="181">
        <f>'Données projet'!D69</f>
        <v>45.608974358974358</v>
      </c>
      <c r="C61" s="258">
        <v>100</v>
      </c>
      <c r="D61" s="179">
        <f t="shared" si="5"/>
        <v>4560.8974358974356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ht="15" thickBot="1" x14ac:dyDescent="0.4">
      <c r="A62" s="180">
        <f>'Données projet'!A70</f>
        <v>89</v>
      </c>
      <c r="B62" s="181">
        <f>'Données projet'!D70</f>
        <v>49.391025641025635</v>
      </c>
      <c r="C62" s="258">
        <v>150</v>
      </c>
      <c r="D62" s="179">
        <f t="shared" si="5"/>
        <v>7408.6538461538457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ht="15" thickBot="1" x14ac:dyDescent="0.4">
      <c r="A63" s="180">
        <f>'Données projet'!A71</f>
        <v>99</v>
      </c>
      <c r="B63" s="181">
        <f>'Données projet'!D71</f>
        <v>48.019230769230766</v>
      </c>
      <c r="C63" s="258">
        <v>150</v>
      </c>
      <c r="D63" s="179">
        <f t="shared" si="5"/>
        <v>7202.8846153846152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ht="15" thickBot="1" x14ac:dyDescent="0.4">
      <c r="A64" s="180">
        <f>'Données projet'!A72</f>
        <v>109</v>
      </c>
      <c r="B64" s="181">
        <f>'Données projet'!D72</f>
        <v>51.28846153846154</v>
      </c>
      <c r="C64" s="258">
        <v>150</v>
      </c>
      <c r="D64" s="179">
        <f t="shared" si="5"/>
        <v>7693.2692307692314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ht="15" thickBot="1" x14ac:dyDescent="0.4">
      <c r="A65" s="180">
        <f>'Données projet'!A73</f>
        <v>119</v>
      </c>
      <c r="B65" s="181">
        <f>'Données projet'!D73</f>
        <v>150.02564102564102</v>
      </c>
      <c r="C65" s="258">
        <v>200</v>
      </c>
      <c r="D65" s="179">
        <f t="shared" si="5"/>
        <v>30005.128205128203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ht="15" thickBot="1" x14ac:dyDescent="0.4">
      <c r="A66" s="180">
        <f>'Données projet'!A74</f>
        <v>123</v>
      </c>
      <c r="B66" s="181">
        <f>'Données projet'!D74</f>
        <v>77.17307692307692</v>
      </c>
      <c r="C66" s="258">
        <v>200</v>
      </c>
      <c r="D66" s="179">
        <f t="shared" si="5"/>
        <v>15434.615384615385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ht="15" thickBot="1" x14ac:dyDescent="0.4">
      <c r="A67" s="180">
        <f>'Données projet'!A75</f>
        <v>127</v>
      </c>
      <c r="B67" s="181">
        <f>'Données projet'!D75</f>
        <v>49.916666666666671</v>
      </c>
      <c r="C67" s="258">
        <v>200</v>
      </c>
      <c r="D67" s="179">
        <f t="shared" si="5"/>
        <v>9983.3333333333339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ht="15" thickBot="1" x14ac:dyDescent="0.4">
      <c r="A68" s="180">
        <f>'Données projet'!A76</f>
        <v>131</v>
      </c>
      <c r="B68" s="181">
        <f>'Données projet'!D76</f>
        <v>110.91025641025641</v>
      </c>
      <c r="C68" s="258">
        <v>200</v>
      </c>
      <c r="D68" s="179">
        <f t="shared" si="5"/>
        <v>22182.051282051281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ht="15" thickBot="1" x14ac:dyDescent="0.4">
      <c r="A69" s="180">
        <f>'Données projet'!A77</f>
        <v>0</v>
      </c>
      <c r="B69" s="181">
        <f>'Données projet'!D77</f>
        <v>0</v>
      </c>
      <c r="C69" s="258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thickBot="1" x14ac:dyDescent="0.4">
      <c r="A85" s="180">
        <f>'Données projet'!A88</f>
        <v>21</v>
      </c>
      <c r="B85" s="181">
        <f>'Données projet'!D88</f>
        <v>61.169230769230765</v>
      </c>
      <c r="C85" s="191">
        <v>10</v>
      </c>
      <c r="D85" s="179">
        <f>B85*C85</f>
        <v>611.69230769230762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thickBot="1" x14ac:dyDescent="0.4">
      <c r="A86" s="180">
        <f>'Données projet'!A89</f>
        <v>28</v>
      </c>
      <c r="B86" s="181">
        <f>'Données projet'!D89</f>
        <v>56.91538461538461</v>
      </c>
      <c r="C86" s="257">
        <v>10</v>
      </c>
      <c r="D86" s="179">
        <f t="shared" ref="D86:D104" si="7">B86*C86</f>
        <v>569.15384615384608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thickBot="1" x14ac:dyDescent="0.4">
      <c r="A87" s="180">
        <f>'Données projet'!A90</f>
        <v>30</v>
      </c>
      <c r="B87" s="181">
        <f>'Données projet'!D90</f>
        <v>0</v>
      </c>
      <c r="C87" s="258">
        <v>18</v>
      </c>
      <c r="D87" s="179">
        <f t="shared" si="7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thickBot="1" x14ac:dyDescent="0.4">
      <c r="A88" s="180">
        <f>'Données projet'!A91</f>
        <v>35</v>
      </c>
      <c r="B88" s="181">
        <f>'Données projet'!D91</f>
        <v>70.5</v>
      </c>
      <c r="C88" s="258">
        <v>25</v>
      </c>
      <c r="D88" s="179">
        <f t="shared" si="7"/>
        <v>1762.5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6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thickBot="1" x14ac:dyDescent="0.4">
      <c r="A89" s="180">
        <f>'Données projet'!A92</f>
        <v>42</v>
      </c>
      <c r="B89" s="181">
        <f>'Données projet'!D92</f>
        <v>80.669230769230765</v>
      </c>
      <c r="C89" s="258">
        <v>25</v>
      </c>
      <c r="D89" s="179">
        <f t="shared" si="7"/>
        <v>2016.7307692307691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6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thickBot="1" x14ac:dyDescent="0.4">
      <c r="A90" s="180">
        <f>'Données projet'!A93</f>
        <v>49</v>
      </c>
      <c r="B90" s="181">
        <f>'Données projet'!D93</f>
        <v>90.453846153846158</v>
      </c>
      <c r="C90" s="258">
        <v>35</v>
      </c>
      <c r="D90" s="179">
        <f t="shared" si="7"/>
        <v>3165.8846153846157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ht="15" thickBot="1" x14ac:dyDescent="0.4">
      <c r="A91" s="180">
        <f>'Données projet'!A94</f>
        <v>56</v>
      </c>
      <c r="B91" s="181">
        <f>'Données projet'!D94</f>
        <v>75.869230769230768</v>
      </c>
      <c r="C91" s="258">
        <v>40</v>
      </c>
      <c r="D91" s="179">
        <f t="shared" si="7"/>
        <v>3034.7692307692305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ht="15" thickBot="1" x14ac:dyDescent="0.4">
      <c r="A92" s="180">
        <f>'Données projet'!A95</f>
        <v>63</v>
      </c>
      <c r="B92" s="181">
        <f>'Données projet'!D95</f>
        <v>79.723076923076917</v>
      </c>
      <c r="C92" s="258">
        <v>45</v>
      </c>
      <c r="D92" s="179">
        <f t="shared" si="7"/>
        <v>3587.5384615384614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ht="15" thickBot="1" x14ac:dyDescent="0.4">
      <c r="A93" s="180">
        <f>'Données projet'!A96</f>
        <v>70</v>
      </c>
      <c r="B93" s="181">
        <f>'Données projet'!D96</f>
        <v>469.06923076923073</v>
      </c>
      <c r="C93" s="258">
        <v>55</v>
      </c>
      <c r="D93" s="179">
        <f t="shared" si="7"/>
        <v>25798.807692307691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ht="15" thickBot="1" x14ac:dyDescent="0.4">
      <c r="A94" s="180">
        <f>'Données projet'!A97</f>
        <v>0</v>
      </c>
      <c r="B94" s="181">
        <f>'Données projet'!D97</f>
        <v>0</v>
      </c>
      <c r="C94" s="258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ht="15" thickBot="1" x14ac:dyDescent="0.4">
      <c r="A95" s="180">
        <f>'Données projet'!A98</f>
        <v>0</v>
      </c>
      <c r="B95" s="181">
        <f>'Données projet'!D98</f>
        <v>0</v>
      </c>
      <c r="C95" s="258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ht="15" thickBot="1" x14ac:dyDescent="0.4">
      <c r="A96" s="180">
        <f>'Données projet'!A99</f>
        <v>0</v>
      </c>
      <c r="B96" s="181">
        <f>'Données projet'!D99</f>
        <v>0</v>
      </c>
      <c r="C96" s="258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ht="15" thickBot="1" x14ac:dyDescent="0.4">
      <c r="A97" s="180">
        <f>'Données projet'!A100</f>
        <v>0</v>
      </c>
      <c r="B97" s="181">
        <f>'Données projet'!D100</f>
        <v>0</v>
      </c>
      <c r="C97" s="258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ht="15" thickBot="1" x14ac:dyDescent="0.4">
      <c r="A98" s="180">
        <f>'Données projet'!A101</f>
        <v>0</v>
      </c>
      <c r="B98" s="181">
        <f>'Données projet'!D101</f>
        <v>0</v>
      </c>
      <c r="C98" s="258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ht="15" thickBot="1" x14ac:dyDescent="0.4">
      <c r="A99" s="180">
        <f>'Données projet'!A102</f>
        <v>0</v>
      </c>
      <c r="B99" s="181">
        <f>'Données projet'!D102</f>
        <v>0</v>
      </c>
      <c r="C99" s="258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ht="15" thickBot="1" x14ac:dyDescent="0.4">
      <c r="A100" s="180">
        <f>'Données projet'!A103</f>
        <v>0</v>
      </c>
      <c r="B100" s="181">
        <f>'Données projet'!D103</f>
        <v>0</v>
      </c>
      <c r="C100" s="258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thickBot="1" x14ac:dyDescent="0.4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thickBot="1" x14ac:dyDescent="0.4">
      <c r="A116" s="180">
        <f>'Données projet'!A114</f>
        <v>30</v>
      </c>
      <c r="B116" s="181">
        <f>'Données projet'!D114</f>
        <v>0</v>
      </c>
      <c r="C116" s="257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thickBot="1" x14ac:dyDescent="0.4">
      <c r="A117" s="180">
        <f>'Données projet'!A115</f>
        <v>44</v>
      </c>
      <c r="B117" s="181">
        <f>'Données projet'!D115</f>
        <v>64.416666666666657</v>
      </c>
      <c r="C117" s="258">
        <v>10</v>
      </c>
      <c r="D117" s="179">
        <f t="shared" ref="D117:D135" si="9">B117*C117</f>
        <v>644.16666666666652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thickBot="1" x14ac:dyDescent="0.4">
      <c r="A118" s="180">
        <f>'Données projet'!A116</f>
        <v>51</v>
      </c>
      <c r="B118" s="181">
        <f>'Données projet'!D116</f>
        <v>37.685897435897431</v>
      </c>
      <c r="C118" s="258">
        <v>10</v>
      </c>
      <c r="D118" s="179">
        <f t="shared" si="9"/>
        <v>376.85897435897431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thickBot="1" x14ac:dyDescent="0.4">
      <c r="A119" s="180">
        <f>'Données projet'!A117</f>
        <v>59</v>
      </c>
      <c r="B119" s="181">
        <f>'Données projet'!D117</f>
        <v>38.942307692307693</v>
      </c>
      <c r="C119" s="258">
        <v>50</v>
      </c>
      <c r="D119" s="179">
        <f t="shared" si="9"/>
        <v>1947.1153846153848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thickBot="1" x14ac:dyDescent="0.4">
      <c r="A120" s="180">
        <f>'Données projet'!A118</f>
        <v>67</v>
      </c>
      <c r="B120" s="181">
        <f>'Données projet'!D118</f>
        <v>31.993589743589741</v>
      </c>
      <c r="C120" s="258">
        <v>50</v>
      </c>
      <c r="D120" s="179">
        <f t="shared" si="9"/>
        <v>1599.6794871794871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thickBot="1" x14ac:dyDescent="0.4">
      <c r="A121" s="180">
        <f>'Données projet'!A119</f>
        <v>75</v>
      </c>
      <c r="B121" s="181">
        <f>'Données projet'!D119</f>
        <v>30.916666666666664</v>
      </c>
      <c r="C121" s="258">
        <v>50</v>
      </c>
      <c r="D121" s="179">
        <f t="shared" si="9"/>
        <v>1545.8333333333333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ht="15" thickBot="1" x14ac:dyDescent="0.4">
      <c r="A122" s="180">
        <f>'Données projet'!A120</f>
        <v>84</v>
      </c>
      <c r="B122" s="181">
        <f>'Données projet'!D120</f>
        <v>35.083333333333329</v>
      </c>
      <c r="C122" s="258">
        <v>100</v>
      </c>
      <c r="D122" s="179">
        <f t="shared" si="9"/>
        <v>3508.333333333333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ht="15" thickBot="1" x14ac:dyDescent="0.4">
      <c r="A123" s="180">
        <f>'Données projet'!A121</f>
        <v>93</v>
      </c>
      <c r="B123" s="181">
        <f>'Données projet'!D121</f>
        <v>30.083333333333332</v>
      </c>
      <c r="C123" s="258">
        <v>100</v>
      </c>
      <c r="D123" s="179">
        <f t="shared" si="9"/>
        <v>3008.333333333333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ht="15" thickBot="1" x14ac:dyDescent="0.4">
      <c r="A124" s="180">
        <f>'Données projet'!A122</f>
        <v>103</v>
      </c>
      <c r="B124" s="181">
        <f>'Données projet'!D122</f>
        <v>39.512820512820511</v>
      </c>
      <c r="C124" s="258">
        <v>150</v>
      </c>
      <c r="D124" s="179">
        <f t="shared" si="9"/>
        <v>5926.9230769230762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113</v>
      </c>
      <c r="B125" s="181">
        <f>'Données projet'!D123</f>
        <v>31.602564102564099</v>
      </c>
      <c r="C125" s="191">
        <v>150</v>
      </c>
      <c r="D125" s="179">
        <f t="shared" si="9"/>
        <v>4740.3846153846152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125</v>
      </c>
      <c r="B126" s="181">
        <f>'Données projet'!D124</f>
        <v>48.160256410256409</v>
      </c>
      <c r="C126" s="191">
        <v>150</v>
      </c>
      <c r="D126" s="179">
        <f t="shared" si="9"/>
        <v>7224.038461538461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137</v>
      </c>
      <c r="B127" s="181">
        <f>'Données projet'!D125</f>
        <v>51.160256410256409</v>
      </c>
      <c r="C127" s="191">
        <v>200</v>
      </c>
      <c r="D127" s="179">
        <f t="shared" si="9"/>
        <v>10232.051282051281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149</v>
      </c>
      <c r="B128" s="181">
        <f>'Données projet'!D126</f>
        <v>120.50641025641026</v>
      </c>
      <c r="C128" s="191">
        <v>200</v>
      </c>
      <c r="D128" s="179">
        <f t="shared" si="9"/>
        <v>24101.282051282051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153</v>
      </c>
      <c r="B129" s="181">
        <f>'Données projet'!D127</f>
        <v>70.115384615384613</v>
      </c>
      <c r="C129" s="191">
        <v>200</v>
      </c>
      <c r="D129" s="179">
        <f t="shared" si="9"/>
        <v>14023.076923076922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157</v>
      </c>
      <c r="B130" s="181">
        <f>'Données projet'!D128</f>
        <v>45.71153846153846</v>
      </c>
      <c r="C130" s="191">
        <v>200</v>
      </c>
      <c r="D130" s="179">
        <f t="shared" si="9"/>
        <v>9142.3076923076915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161</v>
      </c>
      <c r="B131" s="181">
        <f>'Données projet'!D129</f>
        <v>91.365384615384613</v>
      </c>
      <c r="C131" s="191">
        <v>200</v>
      </c>
      <c r="D131" s="179">
        <f t="shared" si="9"/>
        <v>18273.076923076922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Séquoia toujours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thickBot="1" x14ac:dyDescent="0.4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thickBot="1" x14ac:dyDescent="0.4">
      <c r="A147" s="42">
        <f>'Données projet'!A140</f>
        <v>21</v>
      </c>
      <c r="B147" s="175">
        <f>'Données projet'!D140</f>
        <v>61.169230769230765</v>
      </c>
      <c r="C147" s="257">
        <v>10</v>
      </c>
      <c r="D147" s="182">
        <f>B147*C147</f>
        <v>611.69230769230762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thickBot="1" x14ac:dyDescent="0.4">
      <c r="A148" s="42">
        <f>'Données projet'!A141</f>
        <v>28</v>
      </c>
      <c r="B148" s="175">
        <f>'Données projet'!D141</f>
        <v>56.91538461538461</v>
      </c>
      <c r="C148" s="258">
        <v>10</v>
      </c>
      <c r="D148" s="182">
        <f t="shared" ref="D148:D166" si="11">B148*C148</f>
        <v>569.15384615384608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thickBot="1" x14ac:dyDescent="0.4">
      <c r="A149" s="42">
        <f>'Données projet'!A142</f>
        <v>30</v>
      </c>
      <c r="B149" s="175">
        <f>'Données projet'!D142</f>
        <v>0</v>
      </c>
      <c r="C149" s="258">
        <v>18</v>
      </c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thickBot="1" x14ac:dyDescent="0.4">
      <c r="A150" s="42">
        <f>'Données projet'!A143</f>
        <v>35</v>
      </c>
      <c r="B150" s="175">
        <f>'Données projet'!D143</f>
        <v>70.5</v>
      </c>
      <c r="C150" s="258">
        <v>25</v>
      </c>
      <c r="D150" s="182">
        <f t="shared" si="11"/>
        <v>1762.5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thickBot="1" x14ac:dyDescent="0.4">
      <c r="A151" s="42">
        <f>'Données projet'!A144</f>
        <v>42</v>
      </c>
      <c r="B151" s="175">
        <f>'Données projet'!D144</f>
        <v>80.669230769230765</v>
      </c>
      <c r="C151" s="258">
        <v>25</v>
      </c>
      <c r="D151" s="182">
        <f t="shared" si="11"/>
        <v>2016.7307692307691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thickBot="1" x14ac:dyDescent="0.4">
      <c r="A152" s="42">
        <f>'Données projet'!A145</f>
        <v>49</v>
      </c>
      <c r="B152" s="175">
        <f>'Données projet'!D145</f>
        <v>90.453846153846158</v>
      </c>
      <c r="C152" s="258">
        <v>35</v>
      </c>
      <c r="D152" s="182">
        <f t="shared" si="11"/>
        <v>3165.8846153846157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ht="15" thickBot="1" x14ac:dyDescent="0.4">
      <c r="A153" s="42">
        <f>'Données projet'!A146</f>
        <v>56</v>
      </c>
      <c r="B153" s="175">
        <f>'Données projet'!D146</f>
        <v>75.869230769230768</v>
      </c>
      <c r="C153" s="258">
        <v>40</v>
      </c>
      <c r="D153" s="182">
        <f t="shared" si="11"/>
        <v>3034.7692307692305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ht="15" thickBot="1" x14ac:dyDescent="0.4">
      <c r="A154" s="42">
        <f>'Données projet'!A147</f>
        <v>63</v>
      </c>
      <c r="B154" s="175">
        <f>'Données projet'!D147</f>
        <v>79.723076923076917</v>
      </c>
      <c r="C154" s="258">
        <v>45</v>
      </c>
      <c r="D154" s="182">
        <f t="shared" si="11"/>
        <v>3587.5384615384614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ht="15" thickBot="1" x14ac:dyDescent="0.4">
      <c r="A155" s="42">
        <f>'Données projet'!A148</f>
        <v>70</v>
      </c>
      <c r="B155" s="175">
        <f>'Données projet'!D148</f>
        <v>469.06923076923073</v>
      </c>
      <c r="C155" s="258">
        <v>55</v>
      </c>
      <c r="D155" s="182">
        <f t="shared" si="11"/>
        <v>25798.807692307691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Cèdre de l'Atlas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thickBot="1" x14ac:dyDescent="0.4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ht="15" thickBot="1" x14ac:dyDescent="0.4">
      <c r="A178" s="180">
        <f>'Données projet'!A166</f>
        <v>30</v>
      </c>
      <c r="B178" s="181">
        <f>'Données projet'!D166</f>
        <v>0</v>
      </c>
      <c r="C178" s="257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ht="15" thickBot="1" x14ac:dyDescent="0.4">
      <c r="A179" s="180">
        <f>'Données projet'!A167</f>
        <v>42</v>
      </c>
      <c r="B179" s="181">
        <f>'Données projet'!D167</f>
        <v>179.84615384615384</v>
      </c>
      <c r="C179" s="258">
        <v>10</v>
      </c>
      <c r="D179" s="179">
        <f t="shared" ref="D179:D197" si="12">B179*C179</f>
        <v>1798.4615384615383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ht="15" thickBot="1" x14ac:dyDescent="0.4">
      <c r="A180" s="180">
        <f>'Données projet'!A168</f>
        <v>49</v>
      </c>
      <c r="B180" s="181">
        <f>'Données projet'!D168</f>
        <v>94.476923076923072</v>
      </c>
      <c r="C180" s="258">
        <v>18</v>
      </c>
      <c r="D180" s="179">
        <f t="shared" si="12"/>
        <v>1700.5846153846153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ht="15" thickBot="1" x14ac:dyDescent="0.4">
      <c r="A181" s="180">
        <f>'Données projet'!A169</f>
        <v>56</v>
      </c>
      <c r="B181" s="181">
        <f>'Données projet'!D169</f>
        <v>72.769230769230759</v>
      </c>
      <c r="C181" s="258">
        <v>25</v>
      </c>
      <c r="D181" s="179">
        <f t="shared" si="12"/>
        <v>1819.2307692307691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ht="15" thickBot="1" x14ac:dyDescent="0.4">
      <c r="A182" s="180">
        <f>'Données projet'!A170</f>
        <v>63</v>
      </c>
      <c r="B182" s="181">
        <f>'Données projet'!D170</f>
        <v>71.123076923076923</v>
      </c>
      <c r="C182" s="258">
        <v>35</v>
      </c>
      <c r="D182" s="179">
        <f t="shared" si="12"/>
        <v>2489.3076923076924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ht="15" thickBot="1" x14ac:dyDescent="0.4">
      <c r="A183" s="180">
        <f>'Données projet'!A171</f>
        <v>71</v>
      </c>
      <c r="B183" s="181">
        <f>'Données projet'!D171</f>
        <v>80.399999999999991</v>
      </c>
      <c r="C183" s="258">
        <v>40</v>
      </c>
      <c r="D183" s="179">
        <f t="shared" si="12"/>
        <v>3215.9999999999995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ht="15" thickBot="1" x14ac:dyDescent="0.4">
      <c r="A184" s="180">
        <f>'Données projet'!A172</f>
        <v>79</v>
      </c>
      <c r="B184" s="181">
        <f>'Données projet'!D172</f>
        <v>77.338461538461544</v>
      </c>
      <c r="C184" s="258">
        <v>45</v>
      </c>
      <c r="D184" s="179">
        <f t="shared" si="12"/>
        <v>3480.2307692307695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ht="15" thickBot="1" x14ac:dyDescent="0.4">
      <c r="A185" s="180">
        <f>'Données projet'!A173</f>
        <v>87</v>
      </c>
      <c r="B185" s="181">
        <f>'Données projet'!D173</f>
        <v>77.330769230769235</v>
      </c>
      <c r="C185" s="258">
        <v>56</v>
      </c>
      <c r="D185" s="179">
        <f t="shared" si="12"/>
        <v>4330.5230769230775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95</v>
      </c>
      <c r="B186" s="181">
        <f>'Données projet'!D174</f>
        <v>234.42307692307691</v>
      </c>
      <c r="C186" s="193">
        <v>56</v>
      </c>
      <c r="D186" s="179">
        <f t="shared" si="12"/>
        <v>13127.692307692307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105</v>
      </c>
      <c r="B187" s="181">
        <f>'Données projet'!D175</f>
        <v>309.71538461538461</v>
      </c>
      <c r="C187" s="193">
        <v>56</v>
      </c>
      <c r="D187" s="179">
        <f t="shared" si="12"/>
        <v>17344.061538461538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Pin taeda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5" thickBot="1" x14ac:dyDescent="0.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ht="15" thickBot="1" x14ac:dyDescent="0.4">
      <c r="A209" s="180">
        <f>'Données projet'!A192</f>
        <v>17</v>
      </c>
      <c r="B209" s="181">
        <f>'Données projet'!D192</f>
        <v>42.084615384615383</v>
      </c>
      <c r="C209" s="257">
        <v>10</v>
      </c>
      <c r="D209" s="179">
        <f>B209*C209</f>
        <v>420.84615384615381</v>
      </c>
      <c r="E209" s="193">
        <v>150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ht="15" thickBot="1" x14ac:dyDescent="0.4">
      <c r="A210" s="180">
        <f>'Données projet'!A193</f>
        <v>23</v>
      </c>
      <c r="B210" s="181">
        <f>'Données projet'!D193</f>
        <v>54.099999999999994</v>
      </c>
      <c r="C210" s="258">
        <v>18</v>
      </c>
      <c r="D210" s="179">
        <f t="shared" ref="D210:D228" si="13">B210*C210</f>
        <v>973.8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ht="15" thickBot="1" x14ac:dyDescent="0.4">
      <c r="A211" s="180">
        <f>'Données projet'!A194</f>
        <v>29</v>
      </c>
      <c r="B211" s="181">
        <f>'Données projet'!D194</f>
        <v>47.661538461538463</v>
      </c>
      <c r="C211" s="258">
        <v>25</v>
      </c>
      <c r="D211" s="179">
        <f t="shared" si="13"/>
        <v>1191.5384615384617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ht="15" thickBot="1" x14ac:dyDescent="0.4">
      <c r="A212" s="180">
        <f>'Données projet'!A195</f>
        <v>36</v>
      </c>
      <c r="B212" s="181">
        <f>'Données projet'!D195</f>
        <v>64.553846153846152</v>
      </c>
      <c r="C212" s="258">
        <v>25</v>
      </c>
      <c r="D212" s="179">
        <f t="shared" si="13"/>
        <v>1613.8461538461538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ht="15" thickBot="1" x14ac:dyDescent="0.4">
      <c r="A213" s="180">
        <f>'Données projet'!A196</f>
        <v>44</v>
      </c>
      <c r="B213" s="181">
        <f>'Données projet'!D196</f>
        <v>64.476923076923072</v>
      </c>
      <c r="C213" s="258">
        <v>35</v>
      </c>
      <c r="D213" s="179">
        <f t="shared" si="13"/>
        <v>2256.6923076923076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ht="15" thickBot="1" x14ac:dyDescent="0.4">
      <c r="A214" s="180">
        <f>'Données projet'!A197</f>
        <v>52</v>
      </c>
      <c r="B214" s="181">
        <f>'Données projet'!D197</f>
        <v>61.784615384615378</v>
      </c>
      <c r="C214" s="258">
        <v>35</v>
      </c>
      <c r="D214" s="179">
        <f t="shared" si="13"/>
        <v>2162.4615384615381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ht="15" thickBot="1" x14ac:dyDescent="0.4">
      <c r="A215" s="180">
        <f>'Données projet'!A198</f>
        <v>60</v>
      </c>
      <c r="B215" s="181">
        <f>'Données projet'!D198</f>
        <v>353.5</v>
      </c>
      <c r="C215" s="258">
        <v>35</v>
      </c>
      <c r="D215" s="179">
        <f t="shared" si="13"/>
        <v>12372.5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ht="15" thickBot="1" x14ac:dyDescent="0.4">
      <c r="A216" s="180">
        <f>'Données projet'!A199</f>
        <v>0</v>
      </c>
      <c r="B216" s="181">
        <f>'Données projet'!D199</f>
        <v>0</v>
      </c>
      <c r="C216" s="258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>Cormier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5" thickBot="1" x14ac:dyDescent="0.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ht="15" thickBot="1" x14ac:dyDescent="0.4">
      <c r="A240" s="180">
        <f>'Données projet'!A218</f>
        <v>30</v>
      </c>
      <c r="B240" s="181">
        <f>'Données projet'!D218</f>
        <v>0</v>
      </c>
      <c r="C240" s="257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ht="15" thickBot="1" x14ac:dyDescent="0.4">
      <c r="A241" s="180">
        <f>'Données projet'!A219</f>
        <v>35</v>
      </c>
      <c r="B241" s="181">
        <f>'Données projet'!D219</f>
        <v>60.602564102564102</v>
      </c>
      <c r="C241" s="258">
        <v>10</v>
      </c>
      <c r="D241" s="179">
        <f t="shared" ref="D241:D259" si="14">B241*C241</f>
        <v>606.02564102564099</v>
      </c>
      <c r="E241" s="193">
        <v>150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ht="15" thickBot="1" x14ac:dyDescent="0.4">
      <c r="A242" s="180">
        <f>'Données projet'!A220</f>
        <v>41</v>
      </c>
      <c r="B242" s="181">
        <f>'Données projet'!D220</f>
        <v>38.512820512820511</v>
      </c>
      <c r="C242" s="258">
        <v>10</v>
      </c>
      <c r="D242" s="179">
        <f t="shared" si="14"/>
        <v>385.12820512820508</v>
      </c>
      <c r="E242" s="193">
        <v>150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ht="15" thickBot="1" x14ac:dyDescent="0.4">
      <c r="A243" s="180">
        <f>'Données projet'!A221</f>
        <v>48</v>
      </c>
      <c r="B243" s="181">
        <f>'Données projet'!D221</f>
        <v>48.025641025641022</v>
      </c>
      <c r="C243" s="258">
        <v>15</v>
      </c>
      <c r="D243" s="179">
        <f t="shared" si="14"/>
        <v>720.38461538461536</v>
      </c>
      <c r="E243" s="193">
        <v>150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ht="15" thickBot="1" x14ac:dyDescent="0.4">
      <c r="A244" s="180">
        <f>'Données projet'!A222</f>
        <v>55</v>
      </c>
      <c r="B244" s="181">
        <f>'Données projet'!D222</f>
        <v>45.147435897435898</v>
      </c>
      <c r="C244" s="258">
        <v>15</v>
      </c>
      <c r="D244" s="179">
        <f t="shared" si="14"/>
        <v>677.21153846153845</v>
      </c>
      <c r="E244" s="193">
        <v>150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ht="15" thickBot="1" x14ac:dyDescent="0.4">
      <c r="A245" s="180">
        <f>'Données projet'!A223</f>
        <v>63</v>
      </c>
      <c r="B245" s="181">
        <f>'Données projet'!D223</f>
        <v>41.724358974358978</v>
      </c>
      <c r="C245" s="258">
        <v>50</v>
      </c>
      <c r="D245" s="179">
        <f t="shared" si="14"/>
        <v>2086.2179487179487</v>
      </c>
      <c r="E245" s="193">
        <v>150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ht="15" thickBot="1" x14ac:dyDescent="0.4">
      <c r="A246" s="180">
        <f>'Données projet'!A224</f>
        <v>71</v>
      </c>
      <c r="B246" s="181">
        <f>'Données projet'!D224</f>
        <v>39.935897435897431</v>
      </c>
      <c r="C246" s="258">
        <v>50</v>
      </c>
      <c r="D246" s="179">
        <f t="shared" si="14"/>
        <v>1996.7948717948716</v>
      </c>
      <c r="E246" s="193">
        <v>150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ht="15" thickBot="1" x14ac:dyDescent="0.4">
      <c r="A247" s="180">
        <f>'Données projet'!A225</f>
        <v>80</v>
      </c>
      <c r="B247" s="181">
        <f>'Données projet'!D225</f>
        <v>45.608974358974358</v>
      </c>
      <c r="C247" s="258">
        <v>50</v>
      </c>
      <c r="D247" s="179">
        <f t="shared" si="14"/>
        <v>2280.4487179487178</v>
      </c>
      <c r="E247" s="193">
        <v>150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89</v>
      </c>
      <c r="B248" s="181">
        <f>'Données projet'!D226</f>
        <v>49.391025641025635</v>
      </c>
      <c r="C248" s="193">
        <v>50</v>
      </c>
      <c r="D248" s="179">
        <f t="shared" si="14"/>
        <v>2469.5512820512818</v>
      </c>
      <c r="E248" s="193">
        <v>150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99</v>
      </c>
      <c r="B249" s="181">
        <f>'Données projet'!D227</f>
        <v>48.019230769230766</v>
      </c>
      <c r="C249" s="193">
        <v>50</v>
      </c>
      <c r="D249" s="179">
        <f t="shared" si="14"/>
        <v>2400.9615384615381</v>
      </c>
      <c r="E249" s="193">
        <v>150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109</v>
      </c>
      <c r="B250" s="181">
        <f>'Données projet'!D228</f>
        <v>51.28846153846154</v>
      </c>
      <c r="C250" s="193">
        <v>50</v>
      </c>
      <c r="D250" s="179">
        <f t="shared" si="14"/>
        <v>2564.4230769230771</v>
      </c>
      <c r="E250" s="193">
        <v>150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119</v>
      </c>
      <c r="B251" s="181">
        <f>'Données projet'!D229</f>
        <v>150.02564102564102</v>
      </c>
      <c r="C251" s="193">
        <v>50</v>
      </c>
      <c r="D251" s="179">
        <f t="shared" si="14"/>
        <v>7501.2820512820508</v>
      </c>
      <c r="E251" s="193">
        <v>150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123</v>
      </c>
      <c r="B252" s="181">
        <f>'Données projet'!D230</f>
        <v>77.17307692307692</v>
      </c>
      <c r="C252" s="193">
        <v>50</v>
      </c>
      <c r="D252" s="179">
        <f t="shared" si="14"/>
        <v>3858.6538461538462</v>
      </c>
      <c r="E252" s="193">
        <v>150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127</v>
      </c>
      <c r="B253" s="181">
        <f>'Données projet'!D231</f>
        <v>49.916666666666671</v>
      </c>
      <c r="C253" s="193">
        <v>50</v>
      </c>
      <c r="D253" s="179">
        <f t="shared" si="14"/>
        <v>2495.8333333333335</v>
      </c>
      <c r="E253" s="193">
        <v>150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131</v>
      </c>
      <c r="B254" s="181">
        <f>'Données projet'!D232</f>
        <v>110.91025641025641</v>
      </c>
      <c r="C254" s="193">
        <v>50</v>
      </c>
      <c r="D254" s="179">
        <f t="shared" si="14"/>
        <v>5545.5128205128203</v>
      </c>
      <c r="E254" s="193">
        <v>150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B6DB96-7B03-492A-B81E-85A0BCE61F69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F2F92A42-D68F-4765-87F3-5FB82ED33D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B0DD13-3AF2-4653-9FD4-BB4D63D07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2024-02-26T11:10:13Z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