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8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abel Bas Carbone\2. Dossiers agences LBC\Bazas\dossier LBC\16-LOUCHATS - GF LES PINS DE GASCOGNE\PDF documents remplis par bazas\"/>
    </mc:Choice>
  </mc:AlternateContent>
  <xr:revisionPtr revIDLastSave="0" documentId="13_ncr:1_{6C6347BD-486F-4B8C-A063-3D883F641159}" xr6:coauthVersionLast="36" xr6:coauthVersionMax="36" xr10:uidLastSave="{00000000-0000-0000-0000-000000000000}"/>
  <bookViews>
    <workbookView xWindow="0" yWindow="0" windowWidth="21570" windowHeight="9330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90" i="2" a="1"/>
  <c r="AH90" i="2" s="1"/>
  <c r="AH62" i="2" a="1"/>
  <c r="AH62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19" i="2" l="1" a="1"/>
  <c r="AH19" i="2" s="1"/>
  <c r="AH151" i="2" a="1"/>
  <c r="AH151" i="2" s="1"/>
  <c r="AH199" i="2" a="1"/>
  <c r="AH199" i="2" s="1"/>
  <c r="AH166" i="2" a="1"/>
  <c r="AH166" i="2" s="1"/>
  <c r="AH92" i="2" a="1"/>
  <c r="AH92" i="2" s="1"/>
  <c r="AH163" i="2" a="1"/>
  <c r="AH163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<sst xmlns="http://schemas.openxmlformats.org/spreadsheetml/2006/main" count="1170" uniqueCount="324">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</sst>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2.1351543089605536</c:v>
                </c:pt>
                <c:pt idx="2">
                  <c:v>2.9400965887437809</c:v>
                </c:pt>
                <c:pt idx="3">
                  <c:v>4.0497962162231431</c:v>
                </c:pt>
                <c:pt idx="4">
                  <c:v>5.5800993020168193</c:v>
                </c:pt>
                <c:pt idx="5">
                  <c:v>7.6910522052796955</c:v>
                </c:pt>
                <c:pt idx="6">
                  <c:v>10.603823838311754</c:v>
                </c:pt>
                <c:pt idx="7">
                  <c:v>14.624127196100055</c:v>
                </c:pt>
                <c:pt idx="8">
                  <c:v>20.174643388865338</c:v>
                </c:pt>
                <c:pt idx="9">
                  <c:v>27.839918139949148</c:v>
                </c:pt>
                <c:pt idx="10">
                  <c:v>38.428541572191371</c:v>
                </c:pt>
                <c:pt idx="11">
                  <c:v>53.059282280913983</c:v>
                </c:pt>
                <c:pt idx="12">
                  <c:v>73.28042772070998</c:v>
                </c:pt>
                <c:pt idx="13">
                  <c:v>101.2351647140362</c:v>
                </c:pt>
                <c:pt idx="14">
                  <c:v>104.08100470949104</c:v>
                </c:pt>
                <c:pt idx="15">
                  <c:v>126.56525127580693</c:v>
                </c:pt>
                <c:pt idx="16">
                  <c:v>148.95241602484973</c:v>
                </c:pt>
                <c:pt idx="17">
                  <c:v>171.25918074522826</c:v>
                </c:pt>
                <c:pt idx="18">
                  <c:v>193.49750480852299</c:v>
                </c:pt>
                <c:pt idx="19">
                  <c:v>215.67636522938469</c:v>
                </c:pt>
                <c:pt idx="20">
                  <c:v>185.30042247535178</c:v>
                </c:pt>
                <c:pt idx="21">
                  <c:v>206.63925413557971</c:v>
                </c:pt>
                <c:pt idx="22">
                  <c:v>227.92715942733059</c:v>
                </c:pt>
                <c:pt idx="23">
                  <c:v>249.16956379358496</c:v>
                </c:pt>
                <c:pt idx="24">
                  <c:v>270.37089120353011</c:v>
                </c:pt>
                <c:pt idx="25">
                  <c:v>291.53481477536712</c:v>
                </c:pt>
                <c:pt idx="26">
                  <c:v>238.97462736861362</c:v>
                </c:pt>
                <c:pt idx="27">
                  <c:v>255.79611567667988</c:v>
                </c:pt>
                <c:pt idx="28">
                  <c:v>272.59258138651876</c:v>
                </c:pt>
                <c:pt idx="29">
                  <c:v>289.36578324917713</c:v>
                </c:pt>
                <c:pt idx="30">
                  <c:v>306.1172594300387</c:v>
                </c:pt>
                <c:pt idx="31">
                  <c:v>322.84836598709234</c:v>
                </c:pt>
                <c:pt idx="32">
                  <c:v>339.56030694964716</c:v>
                </c:pt>
                <c:pt idx="33">
                  <c:v>356.25415816258305</c:v>
                </c:pt>
                <c:pt idx="34">
                  <c:v>372.93088642583757</c:v>
                </c:pt>
                <c:pt idx="35">
                  <c:v>389.59136503053628</c:v>
                </c:pt>
                <c:pt idx="36">
                  <c:v>406.23638649833066</c:v>
                </c:pt>
                <c:pt idx="37">
                  <c:v>422.8666731236728</c:v>
                </c:pt>
                <c:pt idx="38">
                  <c:v>439.48288577116256</c:v>
                </c:pt>
                <c:pt idx="39">
                  <c:v>1.0676332069095257E-12</c:v>
                </c:pt>
                <c:pt idx="40">
                  <c:v>1.0676332069095257E-12</c:v>
                </c:pt>
                <c:pt idx="41">
                  <c:v>1.0676332069095257E-12</c:v>
                </c:pt>
                <c:pt idx="42">
                  <c:v>1.0676332069095257E-12</c:v>
                </c:pt>
                <c:pt idx="43">
                  <c:v>1.0676332069095257E-12</c:v>
                </c:pt>
                <c:pt idx="44">
                  <c:v>1.0676332069095257E-12</c:v>
                </c:pt>
                <c:pt idx="45">
                  <c:v>1.0676332069095257E-12</c:v>
                </c:pt>
                <c:pt idx="46">
                  <c:v>1.0676332069095257E-12</c:v>
                </c:pt>
                <c:pt idx="47">
                  <c:v>1.0676332069095257E-12</c:v>
                </c:pt>
                <c:pt idx="48">
                  <c:v>1.0676332069095257E-12</c:v>
                </c:pt>
                <c:pt idx="49">
                  <c:v>1.0676332069095257E-12</c:v>
                </c:pt>
                <c:pt idx="50">
                  <c:v>1.0676332069095257E-12</c:v>
                </c:pt>
                <c:pt idx="51">
                  <c:v>1.0676332069095257E-12</c:v>
                </c:pt>
                <c:pt idx="52">
                  <c:v>1.0676332069095257E-12</c:v>
                </c:pt>
                <c:pt idx="53">
                  <c:v>1.0676332069095257E-12</c:v>
                </c:pt>
                <c:pt idx="54">
                  <c:v>1.0676332069095257E-12</c:v>
                </c:pt>
                <c:pt idx="55">
                  <c:v>1.0676332069095257E-12</c:v>
                </c:pt>
                <c:pt idx="56">
                  <c:v>1.0676332069095257E-12</c:v>
                </c:pt>
                <c:pt idx="57">
                  <c:v>1.0676332069095257E-12</c:v>
                </c:pt>
                <c:pt idx="58">
                  <c:v>1.0676332069095257E-12</c:v>
                </c:pt>
                <c:pt idx="59">
                  <c:v>1.0676332069095257E-12</c:v>
                </c:pt>
                <c:pt idx="60">
                  <c:v>1.0676332069095257E-12</c:v>
                </c:pt>
                <c:pt idx="61">
                  <c:v>1.0676332069095257E-12</c:v>
                </c:pt>
                <c:pt idx="62">
                  <c:v>1.0676332069095257E-12</c:v>
                </c:pt>
                <c:pt idx="63">
                  <c:v>1.0676332069095257E-12</c:v>
                </c:pt>
                <c:pt idx="64">
                  <c:v>1.0676332069095257E-12</c:v>
                </c:pt>
                <c:pt idx="65">
                  <c:v>1.0676332069095257E-12</c:v>
                </c:pt>
                <c:pt idx="66">
                  <c:v>1.0676332069095257E-12</c:v>
                </c:pt>
                <c:pt idx="67">
                  <c:v>1.0676332069095257E-12</c:v>
                </c:pt>
                <c:pt idx="68">
                  <c:v>1.0676332069095257E-12</c:v>
                </c:pt>
                <c:pt idx="69">
                  <c:v>1.0676332069095257E-12</c:v>
                </c:pt>
                <c:pt idx="70">
                  <c:v>1.0676332069095257E-12</c:v>
                </c:pt>
                <c:pt idx="71">
                  <c:v>1.0676332069095257E-12</c:v>
                </c:pt>
                <c:pt idx="72">
                  <c:v>1.0676332069095257E-12</c:v>
                </c:pt>
                <c:pt idx="73">
                  <c:v>1.0676332069095257E-12</c:v>
                </c:pt>
                <c:pt idx="74">
                  <c:v>1.0676332069095257E-12</c:v>
                </c:pt>
                <c:pt idx="75">
                  <c:v>1.0676332069095257E-12</c:v>
                </c:pt>
                <c:pt idx="76">
                  <c:v>1.0676332069095257E-12</c:v>
                </c:pt>
                <c:pt idx="77">
                  <c:v>1.0676332069095257E-12</c:v>
                </c:pt>
                <c:pt idx="78">
                  <c:v>1.0676332069095257E-12</c:v>
                </c:pt>
                <c:pt idx="79">
                  <c:v>1.0676332069095257E-12</c:v>
                </c:pt>
                <c:pt idx="80">
                  <c:v>1.0676332069095257E-12</c:v>
                </c:pt>
                <c:pt idx="81">
                  <c:v>1.0676332069095257E-12</c:v>
                </c:pt>
                <c:pt idx="82">
                  <c:v>1.0676332069095257E-12</c:v>
                </c:pt>
                <c:pt idx="83">
                  <c:v>1.0676332069095257E-12</c:v>
                </c:pt>
                <c:pt idx="84">
                  <c:v>1.0676332069095257E-12</c:v>
                </c:pt>
                <c:pt idx="85">
                  <c:v>1.0676332069095257E-12</c:v>
                </c:pt>
                <c:pt idx="86">
                  <c:v>1.0676332069095257E-12</c:v>
                </c:pt>
                <c:pt idx="87">
                  <c:v>1.0676332069095257E-12</c:v>
                </c:pt>
                <c:pt idx="88">
                  <c:v>1.0676332069095257E-12</c:v>
                </c:pt>
                <c:pt idx="89">
                  <c:v>1.0676332069095257E-12</c:v>
                </c:pt>
                <c:pt idx="90">
                  <c:v>1.0676332069095257E-12</c:v>
                </c:pt>
                <c:pt idx="91">
                  <c:v>1.0676332069095257E-12</c:v>
                </c:pt>
                <c:pt idx="92">
                  <c:v>1.0676332069095257E-12</c:v>
                </c:pt>
                <c:pt idx="93">
                  <c:v>1.0676332069095257E-12</c:v>
                </c:pt>
                <c:pt idx="94">
                  <c:v>1.0676332069095257E-12</c:v>
                </c:pt>
                <c:pt idx="95">
                  <c:v>1.0676332069095257E-12</c:v>
                </c:pt>
                <c:pt idx="96">
                  <c:v>1.0676332069095257E-12</c:v>
                </c:pt>
                <c:pt idx="97">
                  <c:v>1.0676332069095257E-12</c:v>
                </c:pt>
                <c:pt idx="98">
                  <c:v>1.0676332069095257E-12</c:v>
                </c:pt>
                <c:pt idx="99">
                  <c:v>1.0676332069095257E-12</c:v>
                </c:pt>
                <c:pt idx="100">
                  <c:v>1.0676332069095257E-12</c:v>
                </c:pt>
                <c:pt idx="101">
                  <c:v>1.0676332069095257E-12</c:v>
                </c:pt>
                <c:pt idx="102">
                  <c:v>1.0676332069095257E-12</c:v>
                </c:pt>
                <c:pt idx="103">
                  <c:v>1.0676332069095257E-12</c:v>
                </c:pt>
                <c:pt idx="104">
                  <c:v>1.0676332069095257E-12</c:v>
                </c:pt>
                <c:pt idx="105">
                  <c:v>1.0676332069095257E-12</c:v>
                </c:pt>
                <c:pt idx="106">
                  <c:v>1.0676332069095257E-12</c:v>
                </c:pt>
                <c:pt idx="107">
                  <c:v>1.0676332069095257E-12</c:v>
                </c:pt>
                <c:pt idx="108">
                  <c:v>1.0676332069095257E-12</c:v>
                </c:pt>
                <c:pt idx="109">
                  <c:v>1.0676332069095257E-12</c:v>
                </c:pt>
                <c:pt idx="110">
                  <c:v>1.0676332069095257E-12</c:v>
                </c:pt>
                <c:pt idx="111">
                  <c:v>1.0676332069095257E-12</c:v>
                </c:pt>
                <c:pt idx="112">
                  <c:v>1.0676332069095257E-12</c:v>
                </c:pt>
                <c:pt idx="113">
                  <c:v>1.0676332069095257E-12</c:v>
                </c:pt>
                <c:pt idx="114">
                  <c:v>1.0676332069095257E-12</c:v>
                </c:pt>
                <c:pt idx="115">
                  <c:v>1.0676332069095257E-12</c:v>
                </c:pt>
                <c:pt idx="116">
                  <c:v>1.0676332069095257E-12</c:v>
                </c:pt>
                <c:pt idx="117">
                  <c:v>1.0676332069095257E-12</c:v>
                </c:pt>
                <c:pt idx="118">
                  <c:v>1.0676332069095257E-12</c:v>
                </c:pt>
                <c:pt idx="119">
                  <c:v>1.0676332069095257E-12</c:v>
                </c:pt>
                <c:pt idx="120">
                  <c:v>1.0676332069095257E-12</c:v>
                </c:pt>
                <c:pt idx="121">
                  <c:v>1.0676332069095257E-12</c:v>
                </c:pt>
                <c:pt idx="122">
                  <c:v>1.0676332069095257E-12</c:v>
                </c:pt>
                <c:pt idx="123">
                  <c:v>1.0676332069095257E-12</c:v>
                </c:pt>
                <c:pt idx="124">
                  <c:v>1.0676332069095257E-12</c:v>
                </c:pt>
                <c:pt idx="125">
                  <c:v>1.0676332069095257E-12</c:v>
                </c:pt>
                <c:pt idx="126">
                  <c:v>1.0676332069095257E-12</c:v>
                </c:pt>
                <c:pt idx="127">
                  <c:v>1.0676332069095257E-12</c:v>
                </c:pt>
                <c:pt idx="128">
                  <c:v>1.0676332069095257E-12</c:v>
                </c:pt>
                <c:pt idx="129">
                  <c:v>1.0676332069095257E-12</c:v>
                </c:pt>
                <c:pt idx="130">
                  <c:v>1.0676332069095257E-12</c:v>
                </c:pt>
                <c:pt idx="131">
                  <c:v>1.0676332069095257E-12</c:v>
                </c:pt>
                <c:pt idx="132">
                  <c:v>1.0676332069095257E-12</c:v>
                </c:pt>
                <c:pt idx="133">
                  <c:v>1.0676332069095257E-12</c:v>
                </c:pt>
                <c:pt idx="134">
                  <c:v>1.0676332069095257E-12</c:v>
                </c:pt>
                <c:pt idx="135">
                  <c:v>1.0676332069095257E-12</c:v>
                </c:pt>
                <c:pt idx="136">
                  <c:v>1.0676332069095257E-12</c:v>
                </c:pt>
                <c:pt idx="137">
                  <c:v>1.0676332069095257E-12</c:v>
                </c:pt>
                <c:pt idx="138">
                  <c:v>1.0676332069095257E-12</c:v>
                </c:pt>
                <c:pt idx="139">
                  <c:v>1.0676332069095257E-12</c:v>
                </c:pt>
                <c:pt idx="140">
                  <c:v>1.0676332069095257E-12</c:v>
                </c:pt>
                <c:pt idx="141">
                  <c:v>1.0676332069095257E-12</c:v>
                </c:pt>
                <c:pt idx="142">
                  <c:v>1.0676332069095257E-12</c:v>
                </c:pt>
                <c:pt idx="143">
                  <c:v>1.0676332069095257E-12</c:v>
                </c:pt>
                <c:pt idx="144">
                  <c:v>1.0676332069095257E-12</c:v>
                </c:pt>
                <c:pt idx="145">
                  <c:v>1.0676332069095257E-12</c:v>
                </c:pt>
                <c:pt idx="146">
                  <c:v>1.0676332069095257E-12</c:v>
                </c:pt>
                <c:pt idx="147">
                  <c:v>1.0676332069095257E-12</c:v>
                </c:pt>
                <c:pt idx="148">
                  <c:v>1.0676332069095257E-12</c:v>
                </c:pt>
                <c:pt idx="149">
                  <c:v>1.0676332069095257E-12</c:v>
                </c:pt>
                <c:pt idx="150">
                  <c:v>1.0676332069095257E-12</c:v>
                </c:pt>
                <c:pt idx="151">
                  <c:v>1.0676332069095257E-12</c:v>
                </c:pt>
                <c:pt idx="152">
                  <c:v>1.0676332069095257E-12</c:v>
                </c:pt>
                <c:pt idx="153">
                  <c:v>1.0676332069095257E-12</c:v>
                </c:pt>
                <c:pt idx="154">
                  <c:v>1.0676332069095257E-12</c:v>
                </c:pt>
                <c:pt idx="155">
                  <c:v>1.0676332069095257E-12</c:v>
                </c:pt>
                <c:pt idx="156">
                  <c:v>1.0676332069095257E-12</c:v>
                </c:pt>
                <c:pt idx="157">
                  <c:v>1.0676332069095257E-12</c:v>
                </c:pt>
                <c:pt idx="158">
                  <c:v>1.0676332069095257E-12</c:v>
                </c:pt>
                <c:pt idx="159">
                  <c:v>1.0676332069095257E-12</c:v>
                </c:pt>
                <c:pt idx="160">
                  <c:v>1.0676332069095257E-12</c:v>
                </c:pt>
                <c:pt idx="161">
                  <c:v>1.0676332069095257E-12</c:v>
                </c:pt>
                <c:pt idx="162">
                  <c:v>1.0676332069095257E-12</c:v>
                </c:pt>
                <c:pt idx="163">
                  <c:v>1.0676332069095257E-12</c:v>
                </c:pt>
                <c:pt idx="164">
                  <c:v>1.0676332069095257E-12</c:v>
                </c:pt>
                <c:pt idx="165">
                  <c:v>1.0676332069095257E-12</c:v>
                </c:pt>
                <c:pt idx="166">
                  <c:v>1.0676332069095257E-12</c:v>
                </c:pt>
                <c:pt idx="167">
                  <c:v>1.0676332069095257E-12</c:v>
                </c:pt>
                <c:pt idx="168">
                  <c:v>1.0676332069095257E-12</c:v>
                </c:pt>
                <c:pt idx="169">
                  <c:v>1.0676332069095257E-12</c:v>
                </c:pt>
                <c:pt idx="170">
                  <c:v>1.0676332069095257E-12</c:v>
                </c:pt>
                <c:pt idx="171">
                  <c:v>1.0676332069095257E-12</c:v>
                </c:pt>
                <c:pt idx="172">
                  <c:v>1.0676332069095257E-12</c:v>
                </c:pt>
                <c:pt idx="173">
                  <c:v>1.0676332069095257E-12</c:v>
                </c:pt>
                <c:pt idx="174">
                  <c:v>1.0676332069095257E-12</c:v>
                </c:pt>
                <c:pt idx="175">
                  <c:v>1.0676332069095257E-12</c:v>
                </c:pt>
                <c:pt idx="176">
                  <c:v>1.0676332069095257E-12</c:v>
                </c:pt>
                <c:pt idx="177">
                  <c:v>1.0676332069095257E-12</c:v>
                </c:pt>
                <c:pt idx="178">
                  <c:v>1.0676332069095257E-12</c:v>
                </c:pt>
                <c:pt idx="179">
                  <c:v>1.0676332069095257E-12</c:v>
                </c:pt>
                <c:pt idx="180">
                  <c:v>1.0676332069095257E-12</c:v>
                </c:pt>
                <c:pt idx="181">
                  <c:v>1.0676332069095257E-12</c:v>
                </c:pt>
                <c:pt idx="182">
                  <c:v>1.0676332069095257E-12</c:v>
                </c:pt>
                <c:pt idx="183">
                  <c:v>1.0676332069095257E-12</c:v>
                </c:pt>
                <c:pt idx="184">
                  <c:v>1.0676332069095257E-12</c:v>
                </c:pt>
                <c:pt idx="185">
                  <c:v>1.0676332069095257E-12</c:v>
                </c:pt>
                <c:pt idx="186">
                  <c:v>1.0676332069095257E-12</c:v>
                </c:pt>
                <c:pt idx="187">
                  <c:v>1.0676332069095257E-12</c:v>
                </c:pt>
                <c:pt idx="188">
                  <c:v>1.0676332069095257E-12</c:v>
                </c:pt>
                <c:pt idx="189">
                  <c:v>1.0676332069095257E-12</c:v>
                </c:pt>
                <c:pt idx="190">
                  <c:v>1.0676332069095257E-12</c:v>
                </c:pt>
                <c:pt idx="191">
                  <c:v>1.0676332069095257E-12</c:v>
                </c:pt>
                <c:pt idx="192">
                  <c:v>1.0676332069095257E-12</c:v>
                </c:pt>
                <c:pt idx="193">
                  <c:v>1.0676332069095257E-12</c:v>
                </c:pt>
                <c:pt idx="194">
                  <c:v>1.0676332069095257E-12</c:v>
                </c:pt>
                <c:pt idx="195">
                  <c:v>1.0676332069095257E-12</c:v>
                </c:pt>
                <c:pt idx="196">
                  <c:v>1.0676332069095257E-12</c:v>
                </c:pt>
                <c:pt idx="197">
                  <c:v>1.0676332069095257E-12</c:v>
                </c:pt>
                <c:pt idx="198">
                  <c:v>1.0676332069095257E-12</c:v>
                </c:pt>
                <c:pt idx="199">
                  <c:v>1.0676332069095257E-12</c:v>
                </c:pt>
                <c:pt idx="200">
                  <c:v>1.0676332069095257E-12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90" zoomScaleNormal="90" workbookViewId="0">
      <selection activeCell="I30" sqref="I30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3" t="s">
        <v>190</v>
      </c>
      <c r="D1" s="293"/>
      <c r="E1" s="29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7.33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36</v>
      </c>
      <c r="C9" s="35">
        <v>1</v>
      </c>
      <c r="D9" s="36">
        <f t="shared" ref="D9:D18" si="0">C9*$C$5</f>
        <v>7.33</v>
      </c>
      <c r="E9" s="37">
        <v>38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7.33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0.2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Pin maritime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13</v>
      </c>
      <c r="B36" s="63">
        <v>75</v>
      </c>
      <c r="C36" s="63">
        <v>1</v>
      </c>
      <c r="D36" s="63">
        <v>15</v>
      </c>
      <c r="E36" s="54"/>
      <c r="F36" s="54"/>
      <c r="G36" s="54">
        <v>1</v>
      </c>
      <c r="H36" s="54"/>
      <c r="I36" s="52">
        <f>IFERROR(B36/A36,"")</f>
        <v>5.7692307692307692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19</v>
      </c>
      <c r="B37" s="63">
        <v>163</v>
      </c>
      <c r="C37" s="63">
        <v>2</v>
      </c>
      <c r="D37" s="63">
        <v>40</v>
      </c>
      <c r="E37" s="54">
        <v>0.3</v>
      </c>
      <c r="F37" s="54"/>
      <c r="G37" s="54">
        <v>0.7</v>
      </c>
      <c r="H37" s="54"/>
      <c r="I37" s="56">
        <f t="shared" ref="I37:I55" si="1">IF(A37&lt;&gt;0,(B37-(B36-D36))/(A37-A36),"")</f>
        <v>17.166666666666668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25</v>
      </c>
      <c r="B38" s="63">
        <v>222</v>
      </c>
      <c r="C38" s="63">
        <v>3</v>
      </c>
      <c r="D38" s="63">
        <v>54</v>
      </c>
      <c r="E38" s="54">
        <v>0.4</v>
      </c>
      <c r="F38" s="54">
        <v>0.2</v>
      </c>
      <c r="G38" s="54">
        <v>0.4</v>
      </c>
      <c r="H38" s="54"/>
      <c r="I38" s="56">
        <f t="shared" si="1"/>
        <v>16.5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38</v>
      </c>
      <c r="B39" s="63">
        <v>338</v>
      </c>
      <c r="C39" s="63">
        <v>4</v>
      </c>
      <c r="D39" s="63">
        <v>338</v>
      </c>
      <c r="E39" s="54">
        <v>0.7</v>
      </c>
      <c r="F39" s="54"/>
      <c r="G39" s="54">
        <v>0.3</v>
      </c>
      <c r="H39" s="54"/>
      <c r="I39" s="52">
        <f t="shared" si="1"/>
        <v>13.076923076923077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/>
      <c r="B40" s="63"/>
      <c r="C40" s="63"/>
      <c r="D40" s="63"/>
      <c r="E40" s="54"/>
      <c r="F40" s="54"/>
      <c r="G40" s="54"/>
      <c r="H40" s="54"/>
      <c r="I40" s="52" t="str">
        <f t="shared" si="1"/>
        <v/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/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/>
      <c r="B62" s="63"/>
      <c r="C62" s="63"/>
      <c r="D62" s="63"/>
      <c r="E62" s="54"/>
      <c r="F62" s="54"/>
      <c r="G62" s="54"/>
      <c r="H62" s="54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G22" sqref="G22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36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Pin maritime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/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157.21429387424644</v>
      </c>
      <c r="T3" s="62">
        <f>IF('Données projet'!E9&gt;30,$R$33-$H$33,LOOKUP('Données projet'!$E$9,$A$3:$A$203,R3:R203)-LOOKUP('Données projet'!$E$9,$A$3:$A$203,$H$3:$H$203))</f>
        <v>264.58225136820056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projet'!$B$10,Paramètres!$A$1:$I$89,3,0)*VLOOKUP('Données projet'!$B$10,Paramètres!$A$1:$I$89,5,0)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0.59800000000000009</v>
      </c>
      <c r="D4" s="12">
        <f>IFERROR(EXP(-1.0587+0.8836*LN(C4)+0.284),0)</f>
        <v>0.29258040116091422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6.8746557282596896</v>
      </c>
      <c r="H4" s="70">
        <f t="shared" ref="H4:H67" si="1">(B4+E4+F4)*44/12+(C4+D4)*0.475*44/12</f>
        <v>294.8844275320219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5.7692307692307692</v>
      </c>
      <c r="N4" s="14">
        <f>IF('Données projet'!$A$36&gt;35,N3+M4-V3,IF(A4&lt;'Données projet'!$A$36,$K$205^A4,IF(A4='Données projet'!$A$36,'Données projet'!$B$36,N3+M4-V3)))</f>
        <v>1.3939124009120489</v>
      </c>
      <c r="O4" s="14">
        <f>N4*VLOOKUP('Données projet'!$B$9,Paramètres!$A$1:$I$89,3,0)*VLOOKUP('Données projet'!$B$9,Paramètres!$A$1:$I$89,5,0)</f>
        <v>0.83355961574540538</v>
      </c>
      <c r="P4" s="14">
        <f>EXP(-1.0587+0.8836*LN(O4)+0.284)</f>
        <v>0.39236630327500827</v>
      </c>
      <c r="Q4" s="22">
        <f t="shared" ref="Q4:Q34" si="2">(O4+P4)*0.475*44/12</f>
        <v>2.1351543089605536</v>
      </c>
      <c r="R4" s="62">
        <f t="shared" si="0"/>
        <v>295.46848764229389</v>
      </c>
      <c r="S4" s="62">
        <f ca="1">AVERAGE(OFFSET($R$3,0,0,'Données projet'!$E$9+1,1))-AVERAGE(OFFSET($H$3,0,0,'Données projet'!$E$9+1,1))</f>
        <v>157.21429387424644</v>
      </c>
      <c r="T4" s="62">
        <f>$T$3</f>
        <v>264.58225136820056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projet'!$B$10,Paramètres!$A$1:$I$89,3,0)*VLOOKUP('Données projet'!$B$10,Paramètres!$A$1:$I$89,5,0)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projet'!$B$10,Paramètres!$A$1:$I$89,3,0)*0.475*44/12</f>
        <v>#N/A</v>
      </c>
      <c r="AV4" s="23" t="e">
        <f>EXP(-LN(2)/25)*AV3+(1-EXP(-LN(2)/25))/(LN(2)/25)*Calculateur!AQ4*Calculateur!AS4*VLOOKUP('Données projet'!$B$10,Paramètres!$A$1:$I$89,3,0)*0.475*44/12</f>
        <v>#N/A</v>
      </c>
      <c r="AW4" s="23" t="e">
        <f>EXP(-LN(2)/2)*AW3+(1-EXP(-LN(2)/2))/(LN(2)/2)*AQ4*AT4*VLOOKUP('Données projet'!$B$10,Paramètres!$A$1:$I$89,3,0)*0.475*44/12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1.1960000000000002</v>
      </c>
      <c r="D5" s="12">
        <f t="shared" ref="D5:D68" si="32">IFERROR(EXP(-1.0587+0.8836*LN(C5)+0.284),0)</f>
        <v>0.53980305140256757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13.399181449423331</v>
      </c>
      <c r="H5" s="70">
        <f t="shared" si="1"/>
        <v>296.35652364785943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5.7692307692307692</v>
      </c>
      <c r="N5" s="14">
        <f>IF('Données projet'!$A$36&gt;35,N4+M5-V4,IF(A5&lt;'Données projet'!$A$36,$K$205^A5,IF(A5='Données projet'!$A$36,'Données projet'!$B$36,N4+M5-V4)))</f>
        <v>1.9429917814163926</v>
      </c>
      <c r="O5" s="14">
        <f>N5*VLOOKUP('Données projet'!$B$9,Paramètres!$A$1:$I$89,3,0)*VLOOKUP('Données projet'!$B$9,Paramètres!$A$1:$I$89,5,0)</f>
        <v>1.1619090852870029</v>
      </c>
      <c r="P5" s="14">
        <f t="shared" ref="P5:P68" si="33">EXP(-1.0587+0.8836*LN(O5)+0.284)</f>
        <v>0.52618464987689018</v>
      </c>
      <c r="Q5" s="22">
        <f t="shared" si="2"/>
        <v>2.9400965887437809</v>
      </c>
      <c r="R5" s="62">
        <f t="shared" si="0"/>
        <v>296.27342992207707</v>
      </c>
      <c r="S5" s="62">
        <f ca="1">AVERAGE(OFFSET($R$3,0,0,'Données projet'!$E$9+1,1))-AVERAGE(OFFSET($H$3,0,0,'Données projet'!$E$9+1,1))</f>
        <v>157.21429387424644</v>
      </c>
      <c r="T5" s="62">
        <f t="shared" ref="T5:T68" si="34">$T$3</f>
        <v>264.58225136820056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projet'!$B$10,Paramètres!$A$1:$I$89,3,0)*VLOOKUP('Données projet'!$B$10,Paramètres!$A$1:$I$89,5,0)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projet'!$B$10,Paramètres!$A$1:$I$89,3,0)*0.475*44/12</f>
        <v>#N/A</v>
      </c>
      <c r="AV5" s="23" t="e">
        <f>EXP(-LN(2)/25)*AV4+(1-EXP(-LN(2)/25))/(LN(2)/25)*Calculateur!AQ5*Calculateur!AS5*VLOOKUP('Données projet'!$B$10,Paramètres!$A$1:$I$89,3,0)*0.475*44/12</f>
        <v>#N/A</v>
      </c>
      <c r="AW5" s="23" t="e">
        <f>EXP(-LN(2)/2)*AW4+(1-EXP(-LN(2)/2))/(LN(2)/2)*AQ5*AT5*VLOOKUP('Données projet'!$B$10,Paramètres!$A$1:$I$89,3,0)*0.475*44/12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1.7940000000000003</v>
      </c>
      <c r="D6" s="12">
        <f t="shared" si="32"/>
        <v>0.77237742491396744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19.810632753721858</v>
      </c>
      <c r="H6" s="70">
        <f t="shared" si="1"/>
        <v>297.80310734839179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5.7692307692307692</v>
      </c>
      <c r="N6" s="14">
        <f>IF('Données projet'!$A$36&gt;35,N5+M6-V5,IF(A6&lt;'Données projet'!$A$36,$K$205^A6,IF(A6='Données projet'!$A$36,'Données projet'!$B$36,N5+M6-V5)))</f>
        <v>2.7083603389865027</v>
      </c>
      <c r="O6" s="14">
        <f>N6*VLOOKUP('Données projet'!$B$9,Paramètres!$A$1:$I$89,3,0)*VLOOKUP('Données projet'!$B$9,Paramètres!$A$1:$I$89,5,0)</f>
        <v>1.6195994827139286</v>
      </c>
      <c r="P6" s="14">
        <f t="shared" si="33"/>
        <v>0.70564236392136903</v>
      </c>
      <c r="Q6" s="22">
        <f t="shared" si="2"/>
        <v>4.0497962162231431</v>
      </c>
      <c r="R6" s="62">
        <f t="shared" si="0"/>
        <v>297.38312954955643</v>
      </c>
      <c r="S6" s="62">
        <f ca="1">AVERAGE(OFFSET($R$3,0,0,'Données projet'!$E$9+1,1))-AVERAGE(OFFSET($H$3,0,0,'Données projet'!$E$9+1,1))</f>
        <v>157.21429387424644</v>
      </c>
      <c r="T6" s="62">
        <f t="shared" si="34"/>
        <v>264.58225136820056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projet'!$B$10,Paramètres!$A$1:$I$89,3,0)*VLOOKUP('Données projet'!$B$10,Paramètres!$A$1:$I$89,5,0)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projet'!$B$10,Paramètres!$A$1:$I$89,3,0)*0.475*44/12</f>
        <v>#N/A</v>
      </c>
      <c r="AV6" s="23" t="e">
        <f>EXP(-LN(2)/25)*AV5+(1-EXP(-LN(2)/25))/(LN(2)/25)*Calculateur!AQ6*Calculateur!AS6*VLOOKUP('Données projet'!$B$10,Paramètres!$A$1:$I$89,3,0)*0.475*44/12</f>
        <v>#N/A</v>
      </c>
      <c r="AW6" s="23" t="e">
        <f>EXP(-LN(2)/2)*AW5+(1-EXP(-LN(2)/2))/(LN(2)/2)*AQ6*AT6*VLOOKUP('Données projet'!$B$10,Paramètres!$A$1:$I$89,3,0)*0.475*44/12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2.3920000000000003</v>
      </c>
      <c r="D7" s="12">
        <f t="shared" si="32"/>
        <v>0.99592225982103644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26.152382356513268</v>
      </c>
      <c r="H7" s="70">
        <f t="shared" si="1"/>
        <v>299.23396460252161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5.7692307692307692</v>
      </c>
      <c r="N7" s="14">
        <f>IF('Données projet'!$A$36&gt;35,N6+M7-V6,IF(A7&lt;'Données projet'!$A$36,$K$205^A7,IF(A7='Données projet'!$A$36,'Données projet'!$B$36,N6+M7-V6)))</f>
        <v>3.775217062651647</v>
      </c>
      <c r="O7" s="14">
        <f>N7*VLOOKUP('Données projet'!$B$9,Paramètres!$A$1:$I$89,3,0)*VLOOKUP('Données projet'!$B$9,Paramètres!$A$1:$I$89,5,0)</f>
        <v>2.2575798034656849</v>
      </c>
      <c r="P7" s="14">
        <f t="shared" si="33"/>
        <v>0.94630496324253699</v>
      </c>
      <c r="Q7" s="22">
        <f t="shared" si="2"/>
        <v>5.5800993020168193</v>
      </c>
      <c r="R7" s="62">
        <f t="shared" si="0"/>
        <v>298.91343263535015</v>
      </c>
      <c r="S7" s="62">
        <f ca="1">AVERAGE(OFFSET($R$3,0,0,'Données projet'!$E$9+1,1))-AVERAGE(OFFSET($H$3,0,0,'Données projet'!$E$9+1,1))</f>
        <v>157.21429387424644</v>
      </c>
      <c r="T7" s="62">
        <f t="shared" si="34"/>
        <v>264.58225136820056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projet'!$B$10,Paramètres!$A$1:$I$89,3,0)*VLOOKUP('Données projet'!$B$10,Paramètres!$A$1:$I$89,5,0)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projet'!$B$10,Paramètres!$A$1:$I$89,3,0)*0.475*44/12</f>
        <v>#N/A</v>
      </c>
      <c r="AV7" s="23" t="e">
        <f>EXP(-LN(2)/25)*AV6+(1-EXP(-LN(2)/25))/(LN(2)/25)*Calculateur!AQ7*Calculateur!AS7*VLOOKUP('Données projet'!$B$10,Paramètres!$A$1:$I$89,3,0)*0.475*44/12</f>
        <v>#N/A</v>
      </c>
      <c r="AW7" s="23" t="e">
        <f>EXP(-LN(2)/2)*AW6+(1-EXP(-LN(2)/2))/(LN(2)/2)*AQ7*AT7*VLOOKUP('Données projet'!$B$10,Paramètres!$A$1:$I$89,3,0)*0.475*44/12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2.99</v>
      </c>
      <c r="D8" s="12">
        <f t="shared" si="32"/>
        <v>1.2129841524368585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32.444088194249439</v>
      </c>
      <c r="H8" s="70">
        <f t="shared" si="1"/>
        <v>300.65353073216085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5.7692307692307692</v>
      </c>
      <c r="N8" s="14">
        <f>IF('Données projet'!$A$36&gt;35,N7+M8-V7,IF(A8&lt;'Données projet'!$A$36,$K$205^A8,IF(A8='Données projet'!$A$36,'Données projet'!$B$36,N7+M8-V7)))</f>
        <v>5.2623218797648903</v>
      </c>
      <c r="O8" s="14">
        <f>N8*VLOOKUP('Données projet'!$B$9,Paramètres!$A$1:$I$89,3,0)*VLOOKUP('Données projet'!$B$9,Paramètres!$A$1:$I$89,5,0)</f>
        <v>3.1468684840994046</v>
      </c>
      <c r="P8" s="14">
        <f t="shared" si="33"/>
        <v>1.2690466576879811</v>
      </c>
      <c r="Q8" s="22">
        <f t="shared" si="2"/>
        <v>7.6910522052796955</v>
      </c>
      <c r="R8" s="62">
        <f t="shared" si="0"/>
        <v>301.02438553861299</v>
      </c>
      <c r="S8" s="62">
        <f ca="1">AVERAGE(OFFSET($R$3,0,0,'Données projet'!$E$9+1,1))-AVERAGE(OFFSET($H$3,0,0,'Données projet'!$E$9+1,1))</f>
        <v>157.21429387424644</v>
      </c>
      <c r="T8" s="62">
        <f t="shared" si="34"/>
        <v>264.58225136820056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projet'!$B$10,Paramètres!$A$1:$I$89,3,0)*VLOOKUP('Données projet'!$B$10,Paramètres!$A$1:$I$89,5,0)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projet'!$B$10,Paramètres!$A$1:$I$89,3,0)*0.475*44/12</f>
        <v>#N/A</v>
      </c>
      <c r="AV8" s="23" t="e">
        <f>EXP(-LN(2)/25)*AV7+(1-EXP(-LN(2)/25))/(LN(2)/25)*Calculateur!AQ8*Calculateur!AS8*VLOOKUP('Données projet'!$B$10,Paramètres!$A$1:$I$89,3,0)*0.475*44/12</f>
        <v>#N/A</v>
      </c>
      <c r="AW8" s="23" t="e">
        <f>EXP(-LN(2)/2)*AW7+(1-EXP(-LN(2)/2))/(LN(2)/2)*AQ8*AT8*VLOOKUP('Données projet'!$B$10,Paramètres!$A$1:$I$89,3,0)*0.475*44/12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3.5880000000000001</v>
      </c>
      <c r="D9" s="12">
        <f t="shared" si="32"/>
        <v>1.4250157876217819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38.696963974624289</v>
      </c>
      <c r="H9" s="70">
        <f t="shared" si="1"/>
        <v>302.06433583010789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5.7692307692307692</v>
      </c>
      <c r="N9" s="14">
        <f>IF('Données projet'!$A$36&gt;35,N8+M9-V8,IF(A9&lt;'Données projet'!$A$36,$K$205^A9,IF(A9='Données projet'!$A$36,'Données projet'!$B$36,N8+M9-V8)))</f>
        <v>7.3352157257950852</v>
      </c>
      <c r="O9" s="14">
        <f>N9*VLOOKUP('Données projet'!$B$9,Paramètres!$A$1:$I$89,3,0)*VLOOKUP('Données projet'!$B$9,Paramètres!$A$1:$I$89,5,0)</f>
        <v>4.3864590040254612</v>
      </c>
      <c r="P9" s="14">
        <f t="shared" si="33"/>
        <v>1.7018609031391834</v>
      </c>
      <c r="Q9" s="22">
        <f t="shared" si="2"/>
        <v>10.603823838311754</v>
      </c>
      <c r="R9" s="62">
        <f t="shared" si="0"/>
        <v>303.93715717164508</v>
      </c>
      <c r="S9" s="62">
        <f ca="1">AVERAGE(OFFSET($R$3,0,0,'Données projet'!$E$9+1,1))-AVERAGE(OFFSET($H$3,0,0,'Données projet'!$E$9+1,1))</f>
        <v>157.21429387424644</v>
      </c>
      <c r="T9" s="62">
        <f t="shared" si="34"/>
        <v>264.58225136820056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projet'!$B$10,Paramètres!$A$1:$I$89,3,0)*VLOOKUP('Données projet'!$B$10,Paramètres!$A$1:$I$89,5,0)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projet'!$B$10,Paramètres!$A$1:$I$89,3,0)*0.475*44/12</f>
        <v>#N/A</v>
      </c>
      <c r="AV9" s="23" t="e">
        <f>EXP(-LN(2)/25)*AV8+(1-EXP(-LN(2)/25))/(LN(2)/25)*Calculateur!AQ9*Calculateur!AS9*VLOOKUP('Données projet'!$B$10,Paramètres!$A$1:$I$89,3,0)*0.475*44/12</f>
        <v>#N/A</v>
      </c>
      <c r="AW9" s="23" t="e">
        <f>EXP(-LN(2)/2)*AW8+(1-EXP(-LN(2)/2))/(LN(2)/2)*AQ9*AT9*VLOOKUP('Données projet'!$B$10,Paramètres!$A$1:$I$89,3,0)*0.475*44/12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4.1859999999999999</v>
      </c>
      <c r="D10" s="12">
        <f t="shared" si="32"/>
        <v>1.6329536551363955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44.918238741403762</v>
      </c>
      <c r="H10" s="70">
        <f t="shared" si="1"/>
        <v>303.46801094936251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5.7692307692307692</v>
      </c>
      <c r="N10" s="14">
        <f>IF('Données projet'!$A$36&gt;35,N9+M10-V9,IF(A10&lt;'Données projet'!$A$36,$K$205^A10,IF(A10='Données projet'!$A$36,'Données projet'!$B$36,N9+M10-V9)))</f>
        <v>10.224648163550844</v>
      </c>
      <c r="O10" s="14">
        <f>N10*VLOOKUP('Données projet'!$B$9,Paramètres!$A$1:$I$89,3,0)*VLOOKUP('Données projet'!$B$9,Paramètres!$A$1:$I$89,5,0)</f>
        <v>6.1143396018034055</v>
      </c>
      <c r="P10" s="14">
        <f t="shared" si="33"/>
        <v>2.2822884533736612</v>
      </c>
      <c r="Q10" s="22">
        <f t="shared" si="2"/>
        <v>14.624127196100055</v>
      </c>
      <c r="R10" s="62">
        <f t="shared" si="0"/>
        <v>307.95746052943338</v>
      </c>
      <c r="S10" s="62">
        <f ca="1">AVERAGE(OFFSET($R$3,0,0,'Données projet'!$E$9+1,1))-AVERAGE(OFFSET($H$3,0,0,'Données projet'!$E$9+1,1))</f>
        <v>157.21429387424644</v>
      </c>
      <c r="T10" s="62">
        <f t="shared" si="34"/>
        <v>264.58225136820056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projet'!$B$10,Paramètres!$A$1:$I$89,3,0)*VLOOKUP('Données projet'!$B$10,Paramètres!$A$1:$I$89,5,0)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projet'!$B$10,Paramètres!$A$1:$I$89,3,0)*0.475*44/12</f>
        <v>#N/A</v>
      </c>
      <c r="AV10" s="23" t="e">
        <f>EXP(-LN(2)/25)*AV9+(1-EXP(-LN(2)/25))/(LN(2)/25)*Calculateur!AQ10*Calculateur!AS10*VLOOKUP('Données projet'!$B$10,Paramètres!$A$1:$I$89,3,0)*0.475*44/12</f>
        <v>#N/A</v>
      </c>
      <c r="AW10" s="23" t="e">
        <f>EXP(-LN(2)/2)*AW9+(1-EXP(-LN(2)/2))/(LN(2)/2)*AQ10*AT10*VLOOKUP('Données projet'!$B$10,Paramètres!$A$1:$I$89,3,0)*0.475*44/12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4.7839999999999998</v>
      </c>
      <c r="D11" s="12">
        <f t="shared" si="32"/>
        <v>1.8374500570715413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51.112947808973303</v>
      </c>
      <c r="H11" s="70">
        <f t="shared" si="1"/>
        <v>304.86569218273291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5.7692307692307692</v>
      </c>
      <c r="N11" s="14">
        <f>IF('Données projet'!$A$36&gt;35,N10+M11-V10,IF(A11&lt;'Données projet'!$A$36,$K$205^A11,IF(A11='Données projet'!$A$36,'Données projet'!$B$36,N10+M11-V10)))</f>
        <v>14.252263870136129</v>
      </c>
      <c r="O11" s="14">
        <f>N11*VLOOKUP('Données projet'!$B$9,Paramètres!$A$1:$I$89,3,0)*VLOOKUP('Données projet'!$B$9,Paramètres!$A$1:$I$89,5,0)</f>
        <v>8.5228537943414064</v>
      </c>
      <c r="P11" s="14">
        <f t="shared" si="33"/>
        <v>3.0606735102702713</v>
      </c>
      <c r="Q11" s="22">
        <f t="shared" si="2"/>
        <v>20.174643388865338</v>
      </c>
      <c r="R11" s="62">
        <f t="shared" si="0"/>
        <v>313.50797672219863</v>
      </c>
      <c r="S11" s="62">
        <f ca="1">AVERAGE(OFFSET($R$3,0,0,'Données projet'!$E$9+1,1))-AVERAGE(OFFSET($H$3,0,0,'Données projet'!$E$9+1,1))</f>
        <v>157.21429387424644</v>
      </c>
      <c r="T11" s="62">
        <f t="shared" si="34"/>
        <v>264.58225136820056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projet'!$B$10,Paramètres!$A$1:$I$89,3,0)*VLOOKUP('Données projet'!$B$10,Paramètres!$A$1:$I$89,5,0)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projet'!$B$10,Paramètres!$A$1:$I$89,3,0)*0.475*44/12</f>
        <v>#N/A</v>
      </c>
      <c r="AV11" s="23" t="e">
        <f>EXP(-LN(2)/25)*AV10+(1-EXP(-LN(2)/25))/(LN(2)/25)*Calculateur!AQ11*Calculateur!AS11*VLOOKUP('Données projet'!$B$10,Paramètres!$A$1:$I$89,3,0)*0.475*44/12</f>
        <v>#N/A</v>
      </c>
      <c r="AW11" s="23" t="e">
        <f>EXP(-LN(2)/2)*AW10+(1-EXP(-LN(2)/2))/(LN(2)/2)*AQ11*AT11*VLOOKUP('Données projet'!$B$10,Paramètres!$A$1:$I$89,3,0)*0.475*44/12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5.3819999999999997</v>
      </c>
      <c r="D12" s="12">
        <f t="shared" si="32"/>
        <v>2.038984443761938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57.284792197460582</v>
      </c>
      <c r="H12" s="70">
        <f t="shared" si="1"/>
        <v>306.25821457288538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5.7692307692307692</v>
      </c>
      <c r="N12" s="14">
        <f>IF('Données projet'!$A$36&gt;35,N11+M12-V11,IF(A12&lt;'Données projet'!$A$36,$K$205^A12,IF(A12='Données projet'!$A$36,'Données projet'!$B$36,N11+M12-V11)))</f>
        <v>19.866407349653503</v>
      </c>
      <c r="O12" s="14">
        <f>N12*VLOOKUP('Données projet'!$B$9,Paramètres!$A$1:$I$89,3,0)*VLOOKUP('Données projet'!$B$9,Paramètres!$A$1:$I$89,5,0)</f>
        <v>11.880111595092796</v>
      </c>
      <c r="P12" s="14">
        <f t="shared" si="33"/>
        <v>4.1045303991363813</v>
      </c>
      <c r="Q12" s="22">
        <f t="shared" si="2"/>
        <v>27.839918139949148</v>
      </c>
      <c r="R12" s="62">
        <f t="shared" si="0"/>
        <v>321.17325147328245</v>
      </c>
      <c r="S12" s="62">
        <f ca="1">AVERAGE(OFFSET($R$3,0,0,'Données projet'!$E$9+1,1))-AVERAGE(OFFSET($H$3,0,0,'Données projet'!$E$9+1,1))</f>
        <v>157.21429387424644</v>
      </c>
      <c r="T12" s="62">
        <f t="shared" si="34"/>
        <v>264.58225136820056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projet'!$B$10,Paramètres!$A$1:$I$89,3,0)*VLOOKUP('Données projet'!$B$10,Paramètres!$A$1:$I$89,5,0)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projet'!$B$10,Paramètres!$A$1:$I$89,3,0)*0.475*44/12</f>
        <v>#N/A</v>
      </c>
      <c r="AV12" s="23" t="e">
        <f>EXP(-LN(2)/25)*AV11+(1-EXP(-LN(2)/25))/(LN(2)/25)*Calculateur!AQ12*Calculateur!AS12*VLOOKUP('Données projet'!$B$10,Paramètres!$A$1:$I$89,3,0)*0.475*44/12</f>
        <v>#N/A</v>
      </c>
      <c r="AW12" s="23" t="e">
        <f>EXP(-LN(2)/2)*AW11+(1-EXP(-LN(2)/2))/(LN(2)/2)*AQ12*AT12*VLOOKUP('Données projet'!$B$10,Paramètres!$A$1:$I$89,3,0)*0.475*44/12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5.9799999999999995</v>
      </c>
      <c r="D13" s="12">
        <f t="shared" si="32"/>
        <v>2.2379234705753914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63.436602229003022</v>
      </c>
      <c r="H13" s="70">
        <f t="shared" si="1"/>
        <v>307.64621671125212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5.7692307692307692</v>
      </c>
      <c r="N13" s="14">
        <f>IF('Données projet'!$A$36&gt;35,N12+M13-V12,IF(A13&lt;'Données projet'!$A$36,$K$205^A13,IF(A13='Données projet'!$A$36,'Données projet'!$B$36,N12+M13-V12)))</f>
        <v>27.69203156625229</v>
      </c>
      <c r="O13" s="14">
        <f>N13*VLOOKUP('Données projet'!$B$9,Paramètres!$A$1:$I$89,3,0)*VLOOKUP('Données projet'!$B$9,Paramètres!$A$1:$I$89,5,0)</f>
        <v>16.559834876618869</v>
      </c>
      <c r="P13" s="14">
        <f t="shared" si="33"/>
        <v>5.5043995188977117</v>
      </c>
      <c r="Q13" s="22">
        <f t="shared" si="2"/>
        <v>38.428541572191371</v>
      </c>
      <c r="R13" s="62">
        <f t="shared" si="0"/>
        <v>331.76187490552468</v>
      </c>
      <c r="S13" s="62">
        <f ca="1">AVERAGE(OFFSET($R$3,0,0,'Données projet'!$E$9+1,1))-AVERAGE(OFFSET($H$3,0,0,'Données projet'!$E$9+1,1))</f>
        <v>157.21429387424644</v>
      </c>
      <c r="T13" s="62">
        <f t="shared" si="34"/>
        <v>264.58225136820056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projet'!$B$10,Paramètres!$A$1:$I$89,3,0)*VLOOKUP('Données projet'!$B$10,Paramètres!$A$1:$I$89,5,0)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projet'!$B$10,Paramètres!$A$1:$I$89,3,0)*0.475*44/12</f>
        <v>#N/A</v>
      </c>
      <c r="AV13" s="23" t="e">
        <f>EXP(-LN(2)/25)*AV12+(1-EXP(-LN(2)/25))/(LN(2)/25)*Calculateur!AQ13*Calculateur!AS13*VLOOKUP('Données projet'!$B$10,Paramètres!$A$1:$I$89,3,0)*0.475*44/12</f>
        <v>#N/A</v>
      </c>
      <c r="AW13" s="23" t="e">
        <f>EXP(-LN(2)/2)*AW12+(1-EXP(-LN(2)/2))/(LN(2)/2)*AQ13*AT13*VLOOKUP('Données projet'!$B$10,Paramètres!$A$1:$I$89,3,0)*0.475*44/12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6.5779999999999994</v>
      </c>
      <c r="D14" s="12">
        <f t="shared" si="32"/>
        <v>2.4345562183329115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69.570609404675096</v>
      </c>
      <c r="H14" s="70">
        <f t="shared" si="1"/>
        <v>309.03020208026311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5.7692307692307692</v>
      </c>
      <c r="N14" s="14">
        <f>IF('Données projet'!$A$36&gt;35,N13+M14-V13,IF(A14&lt;'Données projet'!$A$36,$K$205^A14,IF(A14='Données projet'!$A$36,'Données projet'!$B$36,N13+M14-V13)))</f>
        <v>38.600266206646971</v>
      </c>
      <c r="O14" s="14">
        <f>N14*VLOOKUP('Données projet'!$B$9,Paramètres!$A$1:$I$89,3,0)*VLOOKUP('Données projet'!$B$9,Paramètres!$A$1:$I$89,5,0)</f>
        <v>23.08295919157489</v>
      </c>
      <c r="P14" s="14">
        <f t="shared" si="33"/>
        <v>7.3817004912465372</v>
      </c>
      <c r="Q14" s="22">
        <f t="shared" si="2"/>
        <v>53.059282280913983</v>
      </c>
      <c r="R14" s="62">
        <f t="shared" si="0"/>
        <v>346.39261561424729</v>
      </c>
      <c r="S14" s="62">
        <f ca="1">AVERAGE(OFFSET($R$3,0,0,'Données projet'!$E$9+1,1))-AVERAGE(OFFSET($H$3,0,0,'Données projet'!$E$9+1,1))</f>
        <v>157.21429387424644</v>
      </c>
      <c r="T14" s="62">
        <f t="shared" si="34"/>
        <v>264.58225136820056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projet'!$B$10,Paramètres!$A$1:$I$89,3,0)*VLOOKUP('Données projet'!$B$10,Paramètres!$A$1:$I$89,5,0)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projet'!$B$10,Paramètres!$A$1:$I$89,3,0)*0.475*44/12</f>
        <v>#N/A</v>
      </c>
      <c r="AV14" s="23" t="e">
        <f>EXP(-LN(2)/25)*AV13+(1-EXP(-LN(2)/25))/(LN(2)/25)*Calculateur!AQ14*Calculateur!AS14*VLOOKUP('Données projet'!$B$10,Paramètres!$A$1:$I$89,3,0)*0.475*44/12</f>
        <v>#N/A</v>
      </c>
      <c r="AW14" s="23" t="e">
        <f>EXP(-LN(2)/2)*AW13+(1-EXP(-LN(2)/2))/(LN(2)/2)*AQ14*AT14*VLOOKUP('Données projet'!$B$10,Paramètres!$A$1:$I$89,3,0)*0.475*44/12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7.1759999999999993</v>
      </c>
      <c r="D15" s="12">
        <f t="shared" si="32"/>
        <v>2.629116193028969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75.688616226890289</v>
      </c>
      <c r="H15" s="70">
        <f t="shared" si="1"/>
        <v>310.41057736952541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5.7692307692307692</v>
      </c>
      <c r="N15" s="14">
        <f>IF('Données projet'!$A$36&gt;35,N14+M15-V14,IF(A15&lt;'Données projet'!$A$36,$K$205^A15,IF(A15='Données projet'!$A$36,'Données projet'!$B$36,N14+M15-V14)))</f>
        <v>53.805389743951515</v>
      </c>
      <c r="O15" s="14">
        <f>N15*VLOOKUP('Données projet'!$B$9,Paramètres!$A$1:$I$89,3,0)*VLOOKUP('Données projet'!$B$9,Paramètres!$A$1:$I$89,5,0)</f>
        <v>32.175623066883006</v>
      </c>
      <c r="P15" s="14">
        <f t="shared" si="33"/>
        <v>9.8992636627112418</v>
      </c>
      <c r="Q15" s="22">
        <f t="shared" si="2"/>
        <v>73.28042772070998</v>
      </c>
      <c r="R15" s="62">
        <f t="shared" si="0"/>
        <v>366.61376105404327</v>
      </c>
      <c r="S15" s="62">
        <f ca="1">AVERAGE(OFFSET($R$3,0,0,'Données projet'!$E$9+1,1))-AVERAGE(OFFSET($H$3,0,0,'Données projet'!$E$9+1,1))</f>
        <v>157.21429387424644</v>
      </c>
      <c r="T15" s="62">
        <f t="shared" si="34"/>
        <v>264.58225136820056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projet'!$B$10,Paramètres!$A$1:$I$89,3,0)*VLOOKUP('Données projet'!$B$10,Paramètres!$A$1:$I$89,5,0)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projet'!$B$10,Paramètres!$A$1:$I$89,3,0)*0.475*44/12</f>
        <v>#N/A</v>
      </c>
      <c r="AV15" s="23" t="e">
        <f>EXP(-LN(2)/25)*AV14+(1-EXP(-LN(2)/25))/(LN(2)/25)*Calculateur!AQ15*Calculateur!AS15*VLOOKUP('Données projet'!$B$10,Paramètres!$A$1:$I$89,3,0)*0.475*44/12</f>
        <v>#N/A</v>
      </c>
      <c r="AW15" s="23" t="e">
        <f>EXP(-LN(2)/2)*AW14+(1-EXP(-LN(2)/2))/(LN(2)/2)*AQ15*AT15*VLOOKUP('Données projet'!$B$10,Paramètres!$A$1:$I$89,3,0)*0.475*44/12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7.7739999999999991</v>
      </c>
      <c r="D16" s="12">
        <f t="shared" si="32"/>
        <v>2.8217957637427893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81.792107649944342</v>
      </c>
      <c r="H16" s="70">
        <f t="shared" si="1"/>
        <v>311.78767762185203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>
        <f>VLOOKUP(A16,'Données projet'!$A$35:$I$55,2,0)</f>
        <v>75</v>
      </c>
      <c r="L16" s="13">
        <f>VLOOKUP(A16,'Données projet'!$A$35:$I$55,9,0)</f>
        <v>5.7692307692307692</v>
      </c>
      <c r="M16" s="13">
        <f t="array" ref="M16">INDEX(L:L,MIN(IF(ISNUMBER(L16:L212),ROW(L16:L212),"")))</f>
        <v>5.7692307692307692</v>
      </c>
      <c r="N16" s="14">
        <f>IF('Données projet'!$A$36&gt;35,N15+M16-V15,IF(A16&lt;'Données projet'!$A$36,$K$205^A16,IF(A16='Données projet'!$A$36,'Données projet'!$B$36,N15+M16-V15)))</f>
        <v>75</v>
      </c>
      <c r="O16" s="14">
        <f>N16*VLOOKUP('Données projet'!$B$9,Paramètres!$A$1:$I$89,3,0)*VLOOKUP('Données projet'!$B$9,Paramètres!$A$1:$I$89,5,0)</f>
        <v>44.85</v>
      </c>
      <c r="P16" s="14">
        <f t="shared" si="33"/>
        <v>13.275453424327006</v>
      </c>
      <c r="Q16" s="22">
        <f t="shared" si="2"/>
        <v>101.2351647140362</v>
      </c>
      <c r="R16" s="62">
        <f t="shared" si="0"/>
        <v>394.56849804736953</v>
      </c>
      <c r="S16" s="62">
        <f ca="1">AVERAGE(OFFSET($R$3,0,0,'Données projet'!$E$9+1,1))-AVERAGE(OFFSET($H$3,0,0,'Données projet'!$E$9+1,1))</f>
        <v>157.21429387424644</v>
      </c>
      <c r="T16" s="62">
        <f t="shared" si="34"/>
        <v>264.58225136820056</v>
      </c>
      <c r="U16" s="16">
        <f>IF(ISNA(VLOOKUP(A16,'Données projet'!$A$35:$I$55,3,0)),0,VLOOKUP(A16,'Données projet'!$A$35:$I$55,3,0))</f>
        <v>1</v>
      </c>
      <c r="V16" s="16">
        <f>IF(ISNA(VLOOKUP(A16,'Données projet'!$A$35:$I$55,4,0)),0,VLOOKUP(A16,'Données projet'!$A$35:$I$55,4,0))</f>
        <v>15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1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10.1561237088124</v>
      </c>
      <c r="AC16" s="24">
        <f t="shared" si="3"/>
        <v>10.1561237088124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projet'!$B$10,Paramètres!$A$1:$I$89,3,0)*VLOOKUP('Données projet'!$B$10,Paramètres!$A$1:$I$89,5,0)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projet'!$B$10,Paramètres!$A$1:$I$89,3,0)*0.475*44/12</f>
        <v>#N/A</v>
      </c>
      <c r="AV16" s="23" t="e">
        <f>EXP(-LN(2)/25)*AV15+(1-EXP(-LN(2)/25))/(LN(2)/25)*Calculateur!AQ16*Calculateur!AS16*VLOOKUP('Données projet'!$B$10,Paramètres!$A$1:$I$89,3,0)*0.475*44/12</f>
        <v>#N/A</v>
      </c>
      <c r="AW16" s="23" t="e">
        <f>EXP(-LN(2)/2)*AW15+(1-EXP(-LN(2)/2))/(LN(2)/2)*AQ16*AT16*VLOOKUP('Données projet'!$B$10,Paramètres!$A$1:$I$89,3,0)*0.475*44/12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8.3719999999999999</v>
      </c>
      <c r="D17" s="12">
        <f t="shared" si="32"/>
        <v>3.0127560231104038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87.882327195939965</v>
      </c>
      <c r="H17" s="70">
        <f t="shared" si="1"/>
        <v>313.16178340691727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17.166666666666668</v>
      </c>
      <c r="N17" s="14">
        <f>IF('Données projet'!$A$36&gt;35,N16+M17-V16,IF(A17&lt;'Données projet'!$A$36,$K$205^A17,IF(A17='Données projet'!$A$36,'Données projet'!$B$36,N16+M17-V16)))</f>
        <v>77.166666666666671</v>
      </c>
      <c r="O17" s="14">
        <f>N17*VLOOKUP('Données projet'!$B$9,Paramètres!$A$1:$I$89,3,0)*VLOOKUP('Données projet'!$B$9,Paramètres!$A$1:$I$89,5,0)</f>
        <v>46.145666666666671</v>
      </c>
      <c r="P17" s="14">
        <f t="shared" si="33"/>
        <v>13.613761874667908</v>
      </c>
      <c r="Q17" s="22">
        <f t="shared" si="2"/>
        <v>104.08100470949104</v>
      </c>
      <c r="R17" s="62">
        <f t="shared" si="0"/>
        <v>397.41433804282434</v>
      </c>
      <c r="S17" s="62">
        <f ca="1">AVERAGE(OFFSET($R$3,0,0,'Données projet'!$E$9+1,1))-AVERAGE(OFFSET($H$3,0,0,'Données projet'!$E$9+1,1))</f>
        <v>157.21429387424644</v>
      </c>
      <c r="T17" s="62">
        <f t="shared" si="34"/>
        <v>264.58225136820056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7.1814639450707176</v>
      </c>
      <c r="AC17" s="24">
        <f t="shared" si="3"/>
        <v>7.1814639450707176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projet'!$B$10,Paramètres!$A$1:$I$89,3,0)*VLOOKUP('Données projet'!$B$10,Paramètres!$A$1:$I$89,5,0)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projet'!$B$10,Paramètres!$A$1:$I$89,3,0)*0.475*44/12</f>
        <v>#N/A</v>
      </c>
      <c r="AV17" s="23" t="e">
        <f>EXP(-LN(2)/25)*AV16+(1-EXP(-LN(2)/25))/(LN(2)/25)*Calculateur!AQ17*Calculateur!AS17*VLOOKUP('Données projet'!$B$10,Paramètres!$A$1:$I$89,3,0)*0.475*44/12</f>
        <v>#N/A</v>
      </c>
      <c r="AW17" s="23" t="e">
        <f>EXP(-LN(2)/2)*AW16+(1-EXP(-LN(2)/2))/(LN(2)/2)*AQ17*AT17*VLOOKUP('Données projet'!$B$10,Paramètres!$A$1:$I$89,3,0)*0.475*44/12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8.9700000000000006</v>
      </c>
      <c r="D18" s="12">
        <f t="shared" si="32"/>
        <v>3.2021337464957651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93.960330674704153</v>
      </c>
      <c r="H18" s="70">
        <f t="shared" si="1"/>
        <v>314.53313294181345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17.166666666666668</v>
      </c>
      <c r="N18" s="14">
        <f>IF('Données projet'!$A$36&gt;35,N17+M18-V17,IF(A18&lt;'Données projet'!$A$36,$K$205^A18,IF(A18='Données projet'!$A$36,'Données projet'!$B$36,N17+M18-V17)))</f>
        <v>94.333333333333343</v>
      </c>
      <c r="O18" s="14">
        <f>N18*VLOOKUP('Données projet'!$B$9,Paramètres!$A$1:$I$89,3,0)*VLOOKUP('Données projet'!$B$9,Paramètres!$A$1:$I$89,5,0)</f>
        <v>56.411333333333339</v>
      </c>
      <c r="P18" s="14">
        <f t="shared" si="33"/>
        <v>16.257710461388346</v>
      </c>
      <c r="Q18" s="22">
        <f t="shared" si="2"/>
        <v>126.56525127580693</v>
      </c>
      <c r="R18" s="62">
        <f t="shared" si="0"/>
        <v>419.89858460914024</v>
      </c>
      <c r="S18" s="62">
        <f ca="1">AVERAGE(OFFSET($R$3,0,0,'Données projet'!$E$9+1,1))-AVERAGE(OFFSET($H$3,0,0,'Données projet'!$E$9+1,1))</f>
        <v>157.21429387424644</v>
      </c>
      <c r="T18" s="62">
        <f t="shared" si="34"/>
        <v>264.58225136820056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5.0780618544062008</v>
      </c>
      <c r="AC18" s="24">
        <f t="shared" si="3"/>
        <v>5.0780618544062008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projet'!$B$10,Paramètres!$A$1:$I$89,3,0)*VLOOKUP('Données projet'!$B$10,Paramètres!$A$1:$I$89,5,0)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projet'!$B$10,Paramètres!$A$1:$I$89,3,0)*0.475*44/12</f>
        <v>#N/A</v>
      </c>
      <c r="AV18" s="23" t="e">
        <f>EXP(-LN(2)/25)*AV17+(1-EXP(-LN(2)/25))/(LN(2)/25)*Calculateur!AQ18*Calculateur!AS18*VLOOKUP('Données projet'!$B$10,Paramètres!$A$1:$I$89,3,0)*0.475*44/12</f>
        <v>#N/A</v>
      </c>
      <c r="AW18" s="23" t="e">
        <f>EXP(-LN(2)/2)*AW17+(1-EXP(-LN(2)/2))/(LN(2)/2)*AQ18*AT18*VLOOKUP('Données projet'!$B$10,Paramètres!$A$1:$I$89,3,0)*0.475*44/12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9.5680000000000014</v>
      </c>
      <c r="D19" s="12">
        <f t="shared" si="32"/>
        <v>3.3900464408124646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100.02702515714888</v>
      </c>
      <c r="H19" s="70">
        <f t="shared" si="1"/>
        <v>315.90193088441504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17.166666666666668</v>
      </c>
      <c r="N19" s="14">
        <f>IF('Données projet'!$A$36&gt;35,N18+M19-V18,IF(A19&lt;'Données projet'!$A$36,$K$205^A19,IF(A19='Données projet'!$A$36,'Données projet'!$B$36,N18+M19-V18)))</f>
        <v>111.50000000000001</v>
      </c>
      <c r="O19" s="14">
        <f>N19*VLOOKUP('Données projet'!$B$9,Paramètres!$A$1:$I$89,3,0)*VLOOKUP('Données projet'!$B$9,Paramètres!$A$1:$I$89,5,0)</f>
        <v>66.677000000000007</v>
      </c>
      <c r="P19" s="14">
        <f t="shared" si="33"/>
        <v>18.845918291779732</v>
      </c>
      <c r="Q19" s="22">
        <f t="shared" si="2"/>
        <v>148.95241602484973</v>
      </c>
      <c r="R19" s="62">
        <f t="shared" si="0"/>
        <v>442.28574935818301</v>
      </c>
      <c r="S19" s="62">
        <f ca="1">AVERAGE(OFFSET($R$3,0,0,'Données projet'!$E$9+1,1))-AVERAGE(OFFSET($H$3,0,0,'Données projet'!$E$9+1,1))</f>
        <v>157.21429387424644</v>
      </c>
      <c r="T19" s="62">
        <f t="shared" si="34"/>
        <v>264.58225136820056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3.5907319725353593</v>
      </c>
      <c r="AC19" s="24">
        <f t="shared" si="3"/>
        <v>3.5907319725353593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projet'!$B$10,Paramètres!$A$1:$I$89,3,0)*VLOOKUP('Données projet'!$B$10,Paramètres!$A$1:$I$89,5,0)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projet'!$B$10,Paramètres!$A$1:$I$89,3,0)*0.475*44/12</f>
        <v>#N/A</v>
      </c>
      <c r="AV19" s="23" t="e">
        <f>EXP(-LN(2)/25)*AV18+(1-EXP(-LN(2)/25))/(LN(2)/25)*Calculateur!AQ19*Calculateur!AS19*VLOOKUP('Données projet'!$B$10,Paramètres!$A$1:$I$89,3,0)*0.475*44/12</f>
        <v>#N/A</v>
      </c>
      <c r="AW19" s="23" t="e">
        <f>EXP(-LN(2)/2)*AW18+(1-EXP(-LN(2)/2))/(LN(2)/2)*AQ19*AT19*VLOOKUP('Données projet'!$B$10,Paramètres!$A$1:$I$89,3,0)*0.475*44/12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10.166000000000002</v>
      </c>
      <c r="D20" s="12">
        <f t="shared" si="32"/>
        <v>3.576596094420871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106.08319792184534</v>
      </c>
      <c r="H20" s="70">
        <f t="shared" si="1"/>
        <v>317.26835486444969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17.166666666666668</v>
      </c>
      <c r="N20" s="14">
        <f>IF('Données projet'!$A$36&gt;35,N19+M20-V19,IF(A20&lt;'Données projet'!$A$36,$K$205^A20,IF(A20='Données projet'!$A$36,'Données projet'!$B$36,N19+M20-V19)))</f>
        <v>128.66666666666669</v>
      </c>
      <c r="O20" s="14">
        <f>N20*VLOOKUP('Données projet'!$B$9,Paramètres!$A$1:$I$89,3,0)*VLOOKUP('Données projet'!$B$9,Paramètres!$A$1:$I$89,5,0)</f>
        <v>76.942666666666682</v>
      </c>
      <c r="P20" s="14">
        <f t="shared" si="33"/>
        <v>21.387963426287346</v>
      </c>
      <c r="Q20" s="22">
        <f t="shared" si="2"/>
        <v>171.25918074522826</v>
      </c>
      <c r="R20" s="62">
        <f t="shared" si="0"/>
        <v>464.59251407856158</v>
      </c>
      <c r="S20" s="62">
        <f ca="1">AVERAGE(OFFSET($R$3,0,0,'Données projet'!$E$9+1,1))-AVERAGE(OFFSET($H$3,0,0,'Données projet'!$E$9+1,1))</f>
        <v>157.21429387424644</v>
      </c>
      <c r="T20" s="62">
        <f t="shared" si="34"/>
        <v>264.58225136820056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2.5390309272031004</v>
      </c>
      <c r="AC20" s="24">
        <f t="shared" si="3"/>
        <v>2.5390309272031004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projet'!$B$10,Paramètres!$A$1:$I$89,3,0)*VLOOKUP('Données projet'!$B$10,Paramètres!$A$1:$I$89,5,0)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projet'!$B$10,Paramètres!$A$1:$I$89,3,0)*0.475*44/12</f>
        <v>#N/A</v>
      </c>
      <c r="AV20" s="23" t="e">
        <f>EXP(-LN(2)/25)*AV19+(1-EXP(-LN(2)/25))/(LN(2)/25)*Calculateur!AQ20*Calculateur!AS20*VLOOKUP('Données projet'!$B$10,Paramètres!$A$1:$I$89,3,0)*0.475*44/12</f>
        <v>#N/A</v>
      </c>
      <c r="AW20" s="23" t="e">
        <f>EXP(-LN(2)/2)*AW19+(1-EXP(-LN(2)/2))/(LN(2)/2)*AQ20*AT20*VLOOKUP('Données projet'!$B$10,Paramètres!$A$1:$I$89,3,0)*0.475*44/12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10.764000000000003</v>
      </c>
      <c r="D21" s="12">
        <f t="shared" si="32"/>
        <v>3.76187201923933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112.12953839412819</v>
      </c>
      <c r="H21" s="70">
        <f t="shared" si="1"/>
        <v>318.6325604335085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17.166666666666668</v>
      </c>
      <c r="N21" s="14">
        <f>IF('Données projet'!$A$36&gt;35,N20+M21-V20,IF(A21&lt;'Données projet'!$A$36,$K$205^A21,IF(A21='Données projet'!$A$36,'Données projet'!$B$36,N20+M21-V20)))</f>
        <v>145.83333333333334</v>
      </c>
      <c r="O21" s="14">
        <f>N21*VLOOKUP('Données projet'!$B$9,Paramètres!$A$1:$I$89,3,0)*VLOOKUP('Données projet'!$B$9,Paramètres!$A$1:$I$89,5,0)</f>
        <v>87.208333333333343</v>
      </c>
      <c r="P21" s="14">
        <f t="shared" si="33"/>
        <v>23.890712489742075</v>
      </c>
      <c r="Q21" s="22">
        <f t="shared" si="2"/>
        <v>193.49750480852299</v>
      </c>
      <c r="R21" s="62">
        <f t="shared" si="0"/>
        <v>486.8308381418563</v>
      </c>
      <c r="S21" s="62">
        <f ca="1">AVERAGE(OFFSET($R$3,0,0,'Données projet'!$E$9+1,1))-AVERAGE(OFFSET($H$3,0,0,'Données projet'!$E$9+1,1))</f>
        <v>157.21429387424644</v>
      </c>
      <c r="T21" s="62">
        <f t="shared" si="34"/>
        <v>264.58225136820056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1.7953659862676796</v>
      </c>
      <c r="AC21" s="24">
        <f t="shared" si="3"/>
        <v>1.7953659862676796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projet'!$B$10,Paramètres!$A$1:$I$89,3,0)*VLOOKUP('Données projet'!$B$10,Paramètres!$A$1:$I$89,5,0)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projet'!$B$10,Paramètres!$A$1:$I$89,3,0)*0.475*44/12</f>
        <v>#N/A</v>
      </c>
      <c r="AV21" s="23" t="e">
        <f>EXP(-LN(2)/25)*AV20+(1-EXP(-LN(2)/25))/(LN(2)/25)*Calculateur!AQ21*Calculateur!AS21*VLOOKUP('Données projet'!$B$10,Paramètres!$A$1:$I$89,3,0)*0.475*44/12</f>
        <v>#N/A</v>
      </c>
      <c r="AW21" s="23" t="e">
        <f>EXP(-LN(2)/2)*AW20+(1-EXP(-LN(2)/2))/(LN(2)/2)*AQ21*AT21*VLOOKUP('Données projet'!$B$10,Paramètres!$A$1:$I$89,3,0)*0.475*44/12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11.362000000000004</v>
      </c>
      <c r="D22" s="12">
        <f t="shared" si="32"/>
        <v>3.9459530431682608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118.16665507007083</v>
      </c>
      <c r="H22" s="70">
        <f t="shared" si="1"/>
        <v>319.99468488351806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>
        <f>VLOOKUP(A22,'Données projet'!$A$35:$I$55,2,0)</f>
        <v>163</v>
      </c>
      <c r="L22" s="13">
        <f>VLOOKUP(A22,'Données projet'!$A$35:$I$55,9,0)</f>
        <v>17.166666666666668</v>
      </c>
      <c r="M22" s="13">
        <f t="array" ref="M22">INDEX(L:L,MIN(IF(ISNUMBER(L22:L218),ROW(L22:L218),"")))</f>
        <v>17.166666666666668</v>
      </c>
      <c r="N22" s="14">
        <f>IF('Données projet'!$A$36&gt;35,N21+M22-V21,IF(A22&lt;'Données projet'!$A$36,$K$205^A22,IF(A22='Données projet'!$A$36,'Données projet'!$B$36,N21+M22-V21)))</f>
        <v>163</v>
      </c>
      <c r="O22" s="14">
        <f>N22*VLOOKUP('Données projet'!$B$9,Paramètres!$A$1:$I$89,3,0)*VLOOKUP('Données projet'!$B$9,Paramètres!$A$1:$I$89,5,0)</f>
        <v>97.474000000000004</v>
      </c>
      <c r="P22" s="14">
        <f t="shared" si="33"/>
        <v>26.359319748929014</v>
      </c>
      <c r="Q22" s="22">
        <f t="shared" si="2"/>
        <v>215.67636522938469</v>
      </c>
      <c r="R22" s="62">
        <f t="shared" si="0"/>
        <v>509.00969856271797</v>
      </c>
      <c r="S22" s="62">
        <f ca="1">AVERAGE(OFFSET($R$3,0,0,'Données projet'!$E$9+1,1))-AVERAGE(OFFSET($H$3,0,0,'Données projet'!$E$9+1,1))</f>
        <v>157.21429387424644</v>
      </c>
      <c r="T22" s="62">
        <f t="shared" si="34"/>
        <v>264.58225136820056</v>
      </c>
      <c r="U22" s="16">
        <f>IF(ISNA(VLOOKUP(A22,'Données projet'!$A$35:$I$55,3,0)),0,VLOOKUP(A22,'Données projet'!$A$35:$I$55,3,0))</f>
        <v>2</v>
      </c>
      <c r="V22" s="16">
        <f>IF(ISNA(VLOOKUP(A22,'Données projet'!$A$35:$I$55,4,0)),0,VLOOKUP(A22,'Données projet'!$A$35:$I$55,4,0))</f>
        <v>40</v>
      </c>
      <c r="W22" s="17">
        <f>IF(ISNA(VLOOKUP(A22,'Données projet'!$A$35:$I$55,5,0)),0%,VLOOKUP(A22,'Données projet'!$A$35:$I$55,5,0)*VLOOKUP('Données projet'!$B$9,Paramètres!$A$1:$I$89,7,0))</f>
        <v>0.13500000000000001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0.7</v>
      </c>
      <c r="Z22" s="23">
        <f>EXP(-LN(2)/35)*Z21+(1-EXP(-LN(2)/35))/(LN(2)/35)*V22*W22*VLOOKUP('Données projet'!$B$9,Paramètres!$A$1:$I$89,3,0)*0.475*44/12</f>
        <v>4.2837419395053642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20.227613053384697</v>
      </c>
      <c r="AC22" s="24">
        <f t="shared" si="3"/>
        <v>24.511354992890062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projet'!$B$10,Paramètres!$A$1:$I$89,3,0)*VLOOKUP('Données projet'!$B$10,Paramètres!$A$1:$I$89,5,0)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projet'!$B$10,Paramètres!$A$1:$I$89,3,0)*0.475*44/12</f>
        <v>#N/A</v>
      </c>
      <c r="AV22" s="23" t="e">
        <f>EXP(-LN(2)/25)*AV21+(1-EXP(-LN(2)/25))/(LN(2)/25)*Calculateur!AQ22*Calculateur!AS22*VLOOKUP('Données projet'!$B$10,Paramètres!$A$1:$I$89,3,0)*0.475*44/12</f>
        <v>#N/A</v>
      </c>
      <c r="AW22" s="23" t="e">
        <f>EXP(-LN(2)/2)*AW21+(1-EXP(-LN(2)/2))/(LN(2)/2)*AQ22*AT22*VLOOKUP('Données projet'!$B$10,Paramètres!$A$1:$I$89,3,0)*0.475*44/12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11.960000000000004</v>
      </c>
      <c r="D23" s="12">
        <f t="shared" si="32"/>
        <v>4.1289092277839252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124.19508877587594</v>
      </c>
      <c r="H23" s="70">
        <f t="shared" si="1"/>
        <v>321.35485023839033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16.5</v>
      </c>
      <c r="N23" s="14">
        <f>IF('Données projet'!$A$36&gt;35,N22+M23-V22,IF(A23&lt;'Données projet'!$A$36,$K$205^A23,IF(A23='Données projet'!$A$36,'Données projet'!$B$36,N22+M23-V22)))</f>
        <v>139.5</v>
      </c>
      <c r="O23" s="14">
        <f>N23*VLOOKUP('Données projet'!$B$9,Paramètres!$A$1:$I$89,3,0)*VLOOKUP('Données projet'!$B$9,Paramètres!$A$1:$I$89,5,0)</f>
        <v>83.421000000000006</v>
      </c>
      <c r="P23" s="14">
        <f t="shared" si="33"/>
        <v>22.97158706718762</v>
      </c>
      <c r="Q23" s="22">
        <f t="shared" si="2"/>
        <v>185.30042247535178</v>
      </c>
      <c r="R23" s="62">
        <f t="shared" si="0"/>
        <v>478.63375580868512</v>
      </c>
      <c r="S23" s="62">
        <f ca="1">AVERAGE(OFFSET($R$3,0,0,'Données projet'!$E$9+1,1))-AVERAGE(OFFSET($H$3,0,0,'Données projet'!$E$9+1,1))</f>
        <v>157.21429387424644</v>
      </c>
      <c r="T23" s="62">
        <f t="shared" si="34"/>
        <v>264.58225136820056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4.1997403728962519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14.303082357265847</v>
      </c>
      <c r="AC23" s="24">
        <f t="shared" si="3"/>
        <v>18.502822730162098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projet'!$B$10,Paramètres!$A$1:$I$89,3,0)*VLOOKUP('Données projet'!$B$10,Paramètres!$A$1:$I$89,5,0)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projet'!$B$10,Paramètres!$A$1:$I$89,3,0)*0.475*44/12</f>
        <v>#N/A</v>
      </c>
      <c r="AV23" s="23" t="e">
        <f>EXP(-LN(2)/25)*AV22+(1-EXP(-LN(2)/25))/(LN(2)/25)*Calculateur!AQ23*Calculateur!AS23*VLOOKUP('Données projet'!$B$10,Paramètres!$A$1:$I$89,3,0)*0.475*44/12</f>
        <v>#N/A</v>
      </c>
      <c r="AW23" s="23" t="e">
        <f>EXP(-LN(2)/2)*AW22+(1-EXP(-LN(2)/2))/(LN(2)/2)*AQ23*AT23*VLOOKUP('Données projet'!$B$10,Paramètres!$A$1:$I$89,3,0)*0.475*44/12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12.558000000000005</v>
      </c>
      <c r="D24" s="12">
        <f t="shared" si="32"/>
        <v>4.3108032327306534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130.21532320002615</v>
      </c>
      <c r="H24" s="70">
        <f t="shared" si="1"/>
        <v>322.71316563033923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16.5</v>
      </c>
      <c r="N24" s="14">
        <f>IF('Données projet'!$A$36&gt;35,N23+M24-V23,IF(A24&lt;'Données projet'!$A$36,$K$205^A24,IF(A24='Données projet'!$A$36,'Données projet'!$B$36,N23+M24-V23)))</f>
        <v>156</v>
      </c>
      <c r="O24" s="14">
        <f>N24*VLOOKUP('Données projet'!$B$9,Paramètres!$A$1:$I$89,3,0)*VLOOKUP('Données projet'!$B$9,Paramètres!$A$1:$I$89,5,0)</f>
        <v>93.288000000000011</v>
      </c>
      <c r="P24" s="14">
        <f t="shared" si="33"/>
        <v>25.356547829040977</v>
      </c>
      <c r="Q24" s="22">
        <f t="shared" si="2"/>
        <v>206.63925413557971</v>
      </c>
      <c r="R24" s="62">
        <f t="shared" si="0"/>
        <v>499.97258746891305</v>
      </c>
      <c r="S24" s="62">
        <f ca="1">AVERAGE(OFFSET($R$3,0,0,'Données projet'!$E$9+1,1))-AVERAGE(OFFSET($H$3,0,0,'Données projet'!$E$9+1,1))</f>
        <v>157.21429387424644</v>
      </c>
      <c r="T24" s="62">
        <f t="shared" si="34"/>
        <v>264.58225136820056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4.1173860257724479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10.11380652669235</v>
      </c>
      <c r="AC24" s="24">
        <f t="shared" si="3"/>
        <v>14.231192552464798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projet'!$B$10,Paramètres!$A$1:$I$89,3,0)*VLOOKUP('Données projet'!$B$10,Paramètres!$A$1:$I$89,5,0)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projet'!$B$10,Paramètres!$A$1:$I$89,3,0)*0.475*44/12</f>
        <v>#N/A</v>
      </c>
      <c r="AV24" s="23" t="e">
        <f>EXP(-LN(2)/25)*AV23+(1-EXP(-LN(2)/25))/(LN(2)/25)*Calculateur!AQ24*Calculateur!AS24*VLOOKUP('Données projet'!$B$10,Paramètres!$A$1:$I$89,3,0)*0.475*44/12</f>
        <v>#N/A</v>
      </c>
      <c r="AW24" s="23" t="e">
        <f>EXP(-LN(2)/2)*AW23+(1-EXP(-LN(2)/2))/(LN(2)/2)*AQ24*AT24*VLOOKUP('Données projet'!$B$10,Paramètres!$A$1:$I$89,3,0)*0.475*44/12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13.156000000000006</v>
      </c>
      <c r="D25" s="12">
        <f t="shared" si="32"/>
        <v>4.4916914128654328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136.22779336247004</v>
      </c>
      <c r="H25" s="70">
        <f t="shared" si="1"/>
        <v>324.0697292107406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16.5</v>
      </c>
      <c r="N25" s="14">
        <f>IF('Données projet'!$A$36&gt;35,N24+M25-V24,IF(A25&lt;'Données projet'!$A$36,$K$205^A25,IF(A25='Données projet'!$A$36,'Données projet'!$B$36,N24+M25-V24)))</f>
        <v>172.5</v>
      </c>
      <c r="O25" s="14">
        <f>N25*VLOOKUP('Données projet'!$B$9,Paramètres!$A$1:$I$89,3,0)*VLOOKUP('Données projet'!$B$9,Paramètres!$A$1:$I$89,5,0)</f>
        <v>103.15500000000002</v>
      </c>
      <c r="P25" s="14">
        <f t="shared" si="33"/>
        <v>27.71226857071613</v>
      </c>
      <c r="Q25" s="22">
        <f t="shared" si="2"/>
        <v>227.92715942733059</v>
      </c>
      <c r="R25" s="62">
        <f t="shared" si="0"/>
        <v>521.26049276066396</v>
      </c>
      <c r="S25" s="62">
        <f ca="1">AVERAGE(OFFSET($R$3,0,0,'Données projet'!$E$9+1,1))-AVERAGE(OFFSET($H$3,0,0,'Données projet'!$E$9+1,1))</f>
        <v>157.21429387424644</v>
      </c>
      <c r="T25" s="62">
        <f t="shared" si="34"/>
        <v>264.58225136820056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4.03664659716455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7.1515411786329244</v>
      </c>
      <c r="AC25" s="24">
        <f t="shared" si="3"/>
        <v>11.188187775797473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projet'!$B$10,Paramètres!$A$1:$I$89,3,0)*VLOOKUP('Données projet'!$B$10,Paramètres!$A$1:$I$89,5,0)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projet'!$B$10,Paramètres!$A$1:$I$89,3,0)*0.475*44/12</f>
        <v>#N/A</v>
      </c>
      <c r="AV25" s="23" t="e">
        <f>EXP(-LN(2)/25)*AV24+(1-EXP(-LN(2)/25))/(LN(2)/25)*Calculateur!AQ25*Calculateur!AS25*VLOOKUP('Données projet'!$B$10,Paramètres!$A$1:$I$89,3,0)*0.475*44/12</f>
        <v>#N/A</v>
      </c>
      <c r="AW25" s="23" t="e">
        <f>EXP(-LN(2)/2)*AW24+(1-EXP(-LN(2)/2))/(LN(2)/2)*AQ25*AT25*VLOOKUP('Données projet'!$B$10,Paramètres!$A$1:$I$89,3,0)*0.475*44/12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13.754000000000007</v>
      </c>
      <c r="D26" s="12">
        <f t="shared" si="32"/>
        <v>4.6716247102827966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142.23289250042868</v>
      </c>
      <c r="H26" s="70">
        <f t="shared" si="1"/>
        <v>325.42462970374254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16.5</v>
      </c>
      <c r="N26" s="14">
        <f>IF('Données projet'!$A$36&gt;35,N25+M26-V25,IF(A26&lt;'Données projet'!$A$36,$K$205^A26,IF(A26='Données projet'!$A$36,'Données projet'!$B$36,N25+M26-V25)))</f>
        <v>189</v>
      </c>
      <c r="O26" s="14">
        <f>N26*VLOOKUP('Données projet'!$B$9,Paramètres!$A$1:$I$89,3,0)*VLOOKUP('Données projet'!$B$9,Paramètres!$A$1:$I$89,5,0)</f>
        <v>113.02200000000001</v>
      </c>
      <c r="P26" s="14">
        <f t="shared" si="33"/>
        <v>30.041864379091852</v>
      </c>
      <c r="Q26" s="22">
        <f t="shared" si="2"/>
        <v>249.16956379358496</v>
      </c>
      <c r="R26" s="62">
        <f t="shared" si="0"/>
        <v>542.50289712691824</v>
      </c>
      <c r="S26" s="62">
        <f ca="1">AVERAGE(OFFSET($R$3,0,0,'Données projet'!$E$9+1,1))-AVERAGE(OFFSET($H$3,0,0,'Données projet'!$E$9+1,1))</f>
        <v>157.21429387424644</v>
      </c>
      <c r="T26" s="62">
        <f t="shared" si="34"/>
        <v>264.58225136820056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3.9574904195054641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5.0569032633461761</v>
      </c>
      <c r="AC26" s="24">
        <f t="shared" si="3"/>
        <v>9.0143936828516402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projet'!$B$10,Paramètres!$A$1:$I$89,3,0)*VLOOKUP('Données projet'!$B$10,Paramètres!$A$1:$I$89,5,0)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projet'!$B$10,Paramètres!$A$1:$I$89,3,0)*0.475*44/12</f>
        <v>#N/A</v>
      </c>
      <c r="AV26" s="23" t="e">
        <f>EXP(-LN(2)/25)*AV25+(1-EXP(-LN(2)/25))/(LN(2)/25)*Calculateur!AQ26*Calculateur!AS26*VLOOKUP('Données projet'!$B$10,Paramètres!$A$1:$I$89,3,0)*0.475*44/12</f>
        <v>#N/A</v>
      </c>
      <c r="AW26" s="23" t="e">
        <f>EXP(-LN(2)/2)*AW25+(1-EXP(-LN(2)/2))/(LN(2)/2)*AQ26*AT26*VLOOKUP('Données projet'!$B$10,Paramètres!$A$1:$I$89,3,0)*0.475*44/12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14.352000000000007</v>
      </c>
      <c r="D27" s="12">
        <f t="shared" si="32"/>
        <v>4.8506493868275271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148.23097772287923</v>
      </c>
      <c r="H27" s="70">
        <f t="shared" si="1"/>
        <v>326.77794768205791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16.5</v>
      </c>
      <c r="N27" s="14">
        <f>IF('Données projet'!$A$36&gt;35,N26+M27-V26,IF(A27&lt;'Données projet'!$A$36,$K$205^A27,IF(A27='Données projet'!$A$36,'Données projet'!$B$36,N26+M27-V26)))</f>
        <v>205.5</v>
      </c>
      <c r="O27" s="14">
        <f>N27*VLOOKUP('Données projet'!$B$9,Paramètres!$A$1:$I$89,3,0)*VLOOKUP('Données projet'!$B$9,Paramètres!$A$1:$I$89,5,0)</f>
        <v>122.88900000000001</v>
      </c>
      <c r="P27" s="14">
        <f t="shared" si="33"/>
        <v>32.347875332170432</v>
      </c>
      <c r="Q27" s="22">
        <f t="shared" si="2"/>
        <v>270.37089120353011</v>
      </c>
      <c r="R27" s="62">
        <f t="shared" si="0"/>
        <v>563.70422453686342</v>
      </c>
      <c r="S27" s="62">
        <f ca="1">AVERAGE(OFFSET($R$3,0,0,'Données projet'!$E$9+1,1))-AVERAGE(OFFSET($H$3,0,0,'Données projet'!$E$9+1,1))</f>
        <v>157.21429387424644</v>
      </c>
      <c r="T27" s="62">
        <f t="shared" si="34"/>
        <v>264.58225136820056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3.8798864462097717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3.5757705893164631</v>
      </c>
      <c r="AC27" s="24">
        <f t="shared" si="3"/>
        <v>7.4556570355262348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projet'!$B$10,Paramètres!$A$1:$I$89,3,0)*VLOOKUP('Données projet'!$B$10,Paramètres!$A$1:$I$89,5,0)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projet'!$B$10,Paramètres!$A$1:$I$89,3,0)*0.475*44/12</f>
        <v>#N/A</v>
      </c>
      <c r="AV27" s="23" t="e">
        <f>EXP(-LN(2)/25)*AV26+(1-EXP(-LN(2)/25))/(LN(2)/25)*Calculateur!AQ27*Calculateur!AS27*VLOOKUP('Données projet'!$B$10,Paramètres!$A$1:$I$89,3,0)*0.475*44/12</f>
        <v>#N/A</v>
      </c>
      <c r="AW27" s="23" t="e">
        <f>EXP(-LN(2)/2)*AW26+(1-EXP(-LN(2)/2))/(LN(2)/2)*AQ27*AT27*VLOOKUP('Données projet'!$B$10,Paramètres!$A$1:$I$89,3,0)*0.475*44/12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14.950000000000008</v>
      </c>
      <c r="D28" s="12">
        <f t="shared" si="32"/>
        <v>5.02880763108175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154.22237469606969</v>
      </c>
      <c r="H28" s="70">
        <f t="shared" si="1"/>
        <v>328.12975662413402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>
        <f>VLOOKUP(A28,'Données projet'!$A$35:$I$55,2,0)</f>
        <v>222</v>
      </c>
      <c r="L28" s="13">
        <f>VLOOKUP(A28,'Données projet'!$A$35:$I$55,9,0)</f>
        <v>16.5</v>
      </c>
      <c r="M28" s="13">
        <f t="array" ref="M28">INDEX(L:L,MIN(IF(ISNUMBER(L28:L224),ROW(L28:L224),"")))</f>
        <v>16.5</v>
      </c>
      <c r="N28" s="14">
        <f>IF('Données projet'!$A$36&gt;35,N27+M28-V27,IF(A28&lt;'Données projet'!$A$36,$K$205^A28,IF(A28='Données projet'!$A$36,'Données projet'!$B$36,N27+M28-V27)))</f>
        <v>222</v>
      </c>
      <c r="O28" s="14">
        <f>N28*VLOOKUP('Données projet'!$B$9,Paramètres!$A$1:$I$89,3,0)*VLOOKUP('Données projet'!$B$9,Paramètres!$A$1:$I$89,5,0)</f>
        <v>132.756</v>
      </c>
      <c r="P28" s="14">
        <f t="shared" si="33"/>
        <v>34.632410397339967</v>
      </c>
      <c r="Q28" s="22">
        <f t="shared" si="2"/>
        <v>291.53481477536712</v>
      </c>
      <c r="R28" s="62">
        <f t="shared" si="0"/>
        <v>584.86814810870044</v>
      </c>
      <c r="S28" s="62">
        <f ca="1">AVERAGE(OFFSET($R$3,0,0,'Données projet'!$E$9+1,1))-AVERAGE(OFFSET($H$3,0,0,'Données projet'!$E$9+1,1))</f>
        <v>157.21429387424644</v>
      </c>
      <c r="T28" s="62">
        <f t="shared" si="34"/>
        <v>264.58225136820056</v>
      </c>
      <c r="U28" s="16">
        <f>IF(ISNA(VLOOKUP(A28,'Données projet'!$A$35:$I$55,3,0)),0,VLOOKUP(A28,'Données projet'!$A$35:$I$55,3,0))</f>
        <v>3</v>
      </c>
      <c r="V28" s="16">
        <f>IF(ISNA(VLOOKUP(A28,'Données projet'!$A$35:$I$55,4,0)),0,VLOOKUP(A28,'Données projet'!$A$35:$I$55,4,0))</f>
        <v>54</v>
      </c>
      <c r="W28" s="17">
        <f>IF(ISNA(VLOOKUP(A28,'Données projet'!$A$35:$I$55,5,0)),0%,VLOOKUP(A28,'Données projet'!$A$35:$I$55,5,0)*VLOOKUP('Données projet'!$B$9,Paramètres!$A$1:$I$89,7,0))</f>
        <v>0.18000000000000002</v>
      </c>
      <c r="X28" s="17">
        <f>IF(ISNA(VLOOKUP(A28,'Données projet'!$A$35:$I$55,6,0)),0%,VLOOKUP(A28,'Données projet'!$A$35:$I$55,6,0)*VLOOKUP('Données projet'!$B$9,Paramètres!$A$1:$I$89,7,0))</f>
        <v>9.0000000000000011E-2</v>
      </c>
      <c r="Y28" s="17">
        <f>IF(ISNA(VLOOKUP(A28,'Données projet'!$A$35:$I$55,7,0)),0%,VLOOKUP(A28,'Données projet'!$A$35:$I$55,7,0))</f>
        <v>0.4</v>
      </c>
      <c r="Z28" s="23">
        <f>EXP(-LN(2)/35)*Z27+(1-EXP(-LN(2)/35))/(LN(2)/35)*V28*W28*VLOOKUP('Données projet'!$B$9,Paramètres!$A$1:$I$89,3,0)*0.475*44/12</f>
        <v>11.514539730606312</v>
      </c>
      <c r="AA28" s="23">
        <f>EXP(-LN(2)/25)*AA27+(1-EXP(-LN(2)/25))/(LN(2)/25)*Calculateur!V28*Calculateur!X28*VLOOKUP('Données projet'!$B$9,Paramètres!$A$1:$I$89,3,0)*0.475*44/12</f>
        <v>3.8401876937302988</v>
      </c>
      <c r="AB28" s="23">
        <f>EXP(-LN(2)/2)*AB27+(1-EXP(-LN(2)/2))/(LN(2)/2)*V28*Y28*VLOOKUP('Données projet'!$B$9,Paramètres!$A$1:$I$89,3,0)*0.475*44/12</f>
        <v>17.153269772362943</v>
      </c>
      <c r="AC28" s="24">
        <f t="shared" si="3"/>
        <v>32.507997196699556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projet'!$B$10,Paramètres!$A$1:$I$89,3,0)*VLOOKUP('Données projet'!$B$10,Paramètres!$A$1:$I$89,5,0)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projet'!$B$10,Paramètres!$A$1:$I$89,3,0)*0.475*44/12</f>
        <v>#N/A</v>
      </c>
      <c r="AV28" s="23" t="e">
        <f>EXP(-LN(2)/25)*AV27+(1-EXP(-LN(2)/25))/(LN(2)/25)*Calculateur!AQ28*Calculateur!AS28*VLOOKUP('Données projet'!$B$10,Paramètres!$A$1:$I$89,3,0)*0.475*44/12</f>
        <v>#N/A</v>
      </c>
      <c r="AW28" s="23" t="e">
        <f>EXP(-LN(2)/2)*AW27+(1-EXP(-LN(2)/2))/(LN(2)/2)*AQ28*AT28*VLOOKUP('Données projet'!$B$10,Paramètres!$A$1:$I$89,3,0)*0.475*44/12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15.548000000000009</v>
      </c>
      <c r="D29" s="12">
        <f t="shared" si="32"/>
        <v>5.2061380655003466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160.20738155824839</v>
      </c>
      <c r="H29" s="70">
        <f t="shared" si="1"/>
        <v>329.48012379741311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13.076923076923077</v>
      </c>
      <c r="N29" s="14">
        <f>IF('Données projet'!$A$36&gt;35,N28+M29-V28,IF(A29&lt;'Données projet'!$A$36,$K$205^A29,IF(A29='Données projet'!$A$36,'Données projet'!$B$36,N28+M29-V28)))</f>
        <v>181.07692307692307</v>
      </c>
      <c r="O29" s="14">
        <f>N29*VLOOKUP('Données projet'!$B$9,Paramètres!$A$1:$I$89,3,0)*VLOOKUP('Données projet'!$B$9,Paramètres!$A$1:$I$89,5,0)</f>
        <v>108.28400000000001</v>
      </c>
      <c r="P29" s="14">
        <f t="shared" si="33"/>
        <v>28.926312364754224</v>
      </c>
      <c r="Q29" s="22">
        <f t="shared" si="2"/>
        <v>238.97462736861362</v>
      </c>
      <c r="R29" s="62">
        <f t="shared" si="0"/>
        <v>532.30796070194697</v>
      </c>
      <c r="S29" s="62">
        <f ca="1">AVERAGE(OFFSET($R$3,0,0,'Données projet'!$E$9+1,1))-AVERAGE(OFFSET($H$3,0,0,'Données projet'!$E$9+1,1))</f>
        <v>157.21429387424644</v>
      </c>
      <c r="T29" s="62">
        <f t="shared" si="34"/>
        <v>264.58225136820056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11.288746629664876</v>
      </c>
      <c r="AA29" s="23">
        <f>EXP(-LN(2)/25)*AA28+(1-EXP(-LN(2)/25))/(LN(2)/25)*Calculateur!V29*Calculateur!X29*VLOOKUP('Données projet'!$B$9,Paramètres!$A$1:$I$89,3,0)*0.475*44/12</f>
        <v>3.7351775592985499</v>
      </c>
      <c r="AB29" s="23">
        <f>EXP(-LN(2)/2)*AB28+(1-EXP(-LN(2)/2))/(LN(2)/2)*V29*Y29*VLOOKUP('Données projet'!$B$9,Paramètres!$A$1:$I$89,3,0)*0.475*44/12</f>
        <v>12.129193375560064</v>
      </c>
      <c r="AC29" s="24">
        <f t="shared" si="3"/>
        <v>27.153117564523491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projet'!$B$10,Paramètres!$A$1:$I$89,3,0)*VLOOKUP('Données projet'!$B$10,Paramètres!$A$1:$I$89,5,0)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projet'!$B$10,Paramètres!$A$1:$I$89,3,0)*0.475*44/12</f>
        <v>#N/A</v>
      </c>
      <c r="AV29" s="23" t="e">
        <f>EXP(-LN(2)/25)*AV28+(1-EXP(-LN(2)/25))/(LN(2)/25)*Calculateur!AQ29*Calculateur!AS29*VLOOKUP('Données projet'!$B$10,Paramètres!$A$1:$I$89,3,0)*0.475*44/12</f>
        <v>#N/A</v>
      </c>
      <c r="AW29" s="23" t="e">
        <f>EXP(-LN(2)/2)*AW28+(1-EXP(-LN(2)/2))/(LN(2)/2)*AQ29*AT29*VLOOKUP('Données projet'!$B$10,Paramètres!$A$1:$I$89,3,0)*0.475*44/12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16.146000000000008</v>
      </c>
      <c r="D30" s="12">
        <f t="shared" si="32"/>
        <v>5.3826761733310189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166.1862722151869</v>
      </c>
      <c r="H30" s="70">
        <f t="shared" si="1"/>
        <v>330.82911100188483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13.076923076923077</v>
      </c>
      <c r="N30" s="14">
        <f>IF('Données projet'!$A$36&gt;35,N29+M30-V29,IF(A30&lt;'Données projet'!$A$36,$K$205^A30,IF(A30='Données projet'!$A$36,'Données projet'!$B$36,N29+M30-V29)))</f>
        <v>194.15384615384613</v>
      </c>
      <c r="O30" s="14">
        <f>N30*VLOOKUP('Données projet'!$B$9,Paramètres!$A$1:$I$89,3,0)*VLOOKUP('Données projet'!$B$9,Paramètres!$A$1:$I$89,5,0)</f>
        <v>116.104</v>
      </c>
      <c r="P30" s="14">
        <f t="shared" si="33"/>
        <v>30.764583163643966</v>
      </c>
      <c r="Q30" s="22">
        <f t="shared" si="2"/>
        <v>255.79611567667988</v>
      </c>
      <c r="R30" s="62">
        <f t="shared" si="0"/>
        <v>549.12944901001322</v>
      </c>
      <c r="S30" s="62">
        <f ca="1">AVERAGE(OFFSET($R$3,0,0,'Données projet'!$E$9+1,1))-AVERAGE(OFFSET($H$3,0,0,'Données projet'!$E$9+1,1))</f>
        <v>157.21429387424644</v>
      </c>
      <c r="T30" s="62">
        <f t="shared" si="34"/>
        <v>264.58225136820056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11.067381193712711</v>
      </c>
      <c r="AA30" s="23">
        <f>EXP(-LN(2)/25)*AA29+(1-EXP(-LN(2)/25))/(LN(2)/25)*Calculateur!V30*Calculateur!X30*VLOOKUP('Données projet'!$B$9,Paramètres!$A$1:$I$89,3,0)*0.475*44/12</f>
        <v>3.6330389325150803</v>
      </c>
      <c r="AB30" s="23">
        <f>EXP(-LN(2)/2)*AB29+(1-EXP(-LN(2)/2))/(LN(2)/2)*V30*Y30*VLOOKUP('Données projet'!$B$9,Paramètres!$A$1:$I$89,3,0)*0.475*44/12</f>
        <v>8.5766348861814716</v>
      </c>
      <c r="AC30" s="24">
        <f t="shared" si="3"/>
        <v>23.277055012409264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projet'!$B$10,Paramètres!$A$1:$I$89,3,0)*VLOOKUP('Données projet'!$B$10,Paramètres!$A$1:$I$89,5,0)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projet'!$B$10,Paramètres!$A$1:$I$89,3,0)*0.475*44/12</f>
        <v>#N/A</v>
      </c>
      <c r="AV30" s="23" t="e">
        <f>EXP(-LN(2)/25)*AV29+(1-EXP(-LN(2)/25))/(LN(2)/25)*Calculateur!AQ30*Calculateur!AS30*VLOOKUP('Données projet'!$B$10,Paramètres!$A$1:$I$89,3,0)*0.475*44/12</f>
        <v>#N/A</v>
      </c>
      <c r="AW30" s="23" t="e">
        <f>EXP(-LN(2)/2)*AW29+(1-EXP(-LN(2)/2))/(LN(2)/2)*AQ30*AT30*VLOOKUP('Données projet'!$B$10,Paramètres!$A$1:$I$89,3,0)*0.475*44/12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16.744000000000007</v>
      </c>
      <c r="D31" s="12">
        <f t="shared" si="32"/>
        <v>5.5584546605089464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172.15929913375331</v>
      </c>
      <c r="H31" s="70">
        <f t="shared" si="1"/>
        <v>332.17677520038643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13.076923076923077</v>
      </c>
      <c r="N31" s="14">
        <f>IF('Données projet'!$A$36&gt;35,N30+M31-V30,IF(A31&lt;'Données projet'!$A$36,$K$205^A31,IF(A31='Données projet'!$A$36,'Données projet'!$B$36,N30+M31-V30)))</f>
        <v>207.2307692307692</v>
      </c>
      <c r="O31" s="14">
        <f>N31*VLOOKUP('Données projet'!$B$9,Paramètres!$A$1:$I$89,3,0)*VLOOKUP('Données projet'!$B$9,Paramètres!$A$1:$I$89,5,0)</f>
        <v>123.92399999999998</v>
      </c>
      <c r="P31" s="14">
        <f t="shared" si="33"/>
        <v>32.588486920489281</v>
      </c>
      <c r="Q31" s="22">
        <f t="shared" si="2"/>
        <v>272.59258138651876</v>
      </c>
      <c r="R31" s="62">
        <f t="shared" si="0"/>
        <v>565.92591471985202</v>
      </c>
      <c r="S31" s="62">
        <f ca="1">AVERAGE(OFFSET($R$3,0,0,'Données projet'!$E$9+1,1))-AVERAGE(OFFSET($H$3,0,0,'Données projet'!$E$9+1,1))</f>
        <v>157.21429387424644</v>
      </c>
      <c r="T31" s="62">
        <f t="shared" si="34"/>
        <v>264.58225136820056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10.850356598939982</v>
      </c>
      <c r="AA31" s="23">
        <f>EXP(-LN(2)/25)*AA30+(1-EXP(-LN(2)/25))/(LN(2)/25)*Calculateur!V31*Calculateur!X31*VLOOKUP('Données projet'!$B$9,Paramètres!$A$1:$I$89,3,0)*0.475*44/12</f>
        <v>3.5336932918522415</v>
      </c>
      <c r="AB31" s="23">
        <f>EXP(-LN(2)/2)*AB30+(1-EXP(-LN(2)/2))/(LN(2)/2)*V31*Y31*VLOOKUP('Données projet'!$B$9,Paramètres!$A$1:$I$89,3,0)*0.475*44/12</f>
        <v>6.0645966877800319</v>
      </c>
      <c r="AC31" s="24">
        <f t="shared" si="3"/>
        <v>20.448646578572255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projet'!$B$10,Paramètres!$A$1:$I$89,3,0)*VLOOKUP('Données projet'!$B$10,Paramètres!$A$1:$I$89,5,0)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projet'!$B$10,Paramètres!$A$1:$I$89,3,0)*0.475*44/12</f>
        <v>#N/A</v>
      </c>
      <c r="AV31" s="23" t="e">
        <f>EXP(-LN(2)/25)*AV30+(1-EXP(-LN(2)/25))/(LN(2)/25)*Calculateur!AQ31*Calculateur!AS31*VLOOKUP('Données projet'!$B$10,Paramètres!$A$1:$I$89,3,0)*0.475*44/12</f>
        <v>#N/A</v>
      </c>
      <c r="AW31" s="23" t="e">
        <f>EXP(-LN(2)/2)*AW30+(1-EXP(-LN(2)/2))/(LN(2)/2)*AQ31*AT31*VLOOKUP('Données projet'!$B$10,Paramètres!$A$1:$I$89,3,0)*0.475*44/12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17.342000000000006</v>
      </c>
      <c r="D32" s="12">
        <f t="shared" si="32"/>
        <v>5.7335037643993987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178.12669572518837</v>
      </c>
      <c r="H32" s="70">
        <f t="shared" si="1"/>
        <v>333.52316905632892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13.076923076923077</v>
      </c>
      <c r="N32" s="14">
        <f>IF('Données projet'!$A$36&gt;35,N31+M32-V31,IF(A32&lt;'Données projet'!$A$36,$K$205^A32,IF(A32='Données projet'!$A$36,'Données projet'!$B$36,N31+M32-V31)))</f>
        <v>220.30769230769226</v>
      </c>
      <c r="O32" s="14">
        <f>N32*VLOOKUP('Données projet'!$B$9,Paramètres!$A$1:$I$89,3,0)*VLOOKUP('Données projet'!$B$9,Paramètres!$A$1:$I$89,5,0)</f>
        <v>131.744</v>
      </c>
      <c r="P32" s="14">
        <f t="shared" si="33"/>
        <v>34.399033444503608</v>
      </c>
      <c r="Q32" s="22">
        <f t="shared" si="2"/>
        <v>289.36578324917713</v>
      </c>
      <c r="R32" s="62">
        <f t="shared" si="0"/>
        <v>582.69911658251044</v>
      </c>
      <c r="S32" s="62">
        <f ca="1">AVERAGE(OFFSET($R$3,0,0,'Données projet'!$E$9+1,1))-AVERAGE(OFFSET($H$3,0,0,'Données projet'!$E$9+1,1))</f>
        <v>157.21429387424644</v>
      </c>
      <c r="T32" s="62">
        <f t="shared" si="34"/>
        <v>264.58225136820056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10.637587724098815</v>
      </c>
      <c r="AA32" s="23">
        <f>EXP(-LN(2)/25)*AA31+(1-EXP(-LN(2)/25))/(LN(2)/25)*Calculateur!V32*Calculateur!X32*VLOOKUP('Données projet'!$B$9,Paramètres!$A$1:$I$89,3,0)*0.475*44/12</f>
        <v>3.437064262957688</v>
      </c>
      <c r="AB32" s="23">
        <f>EXP(-LN(2)/2)*AB31+(1-EXP(-LN(2)/2))/(LN(2)/2)*V32*Y32*VLOOKUP('Données projet'!$B$9,Paramètres!$A$1:$I$89,3,0)*0.475*44/12</f>
        <v>4.2883174430907358</v>
      </c>
      <c r="AC32" s="24">
        <f t="shared" si="3"/>
        <v>18.362969430147238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projet'!$B$10,Paramètres!$A$1:$I$89,3,0)*VLOOKUP('Données projet'!$B$10,Paramètres!$A$1:$I$89,5,0)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projet'!$B$10,Paramètres!$A$1:$I$89,3,0)*0.475*44/12</f>
        <v>#N/A</v>
      </c>
      <c r="AV32" s="23" t="e">
        <f>EXP(-LN(2)/25)*AV31+(1-EXP(-LN(2)/25))/(LN(2)/25)*Calculateur!AQ32*Calculateur!AS32*VLOOKUP('Données projet'!$B$10,Paramètres!$A$1:$I$89,3,0)*0.475*44/12</f>
        <v>#N/A</v>
      </c>
      <c r="AW32" s="23" t="e">
        <f>EXP(-LN(2)/2)*AW31+(1-EXP(-LN(2)/2))/(LN(2)/2)*AQ32*AT32*VLOOKUP('Données projet'!$B$10,Paramètres!$A$1:$I$89,3,0)*0.475*44/12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17.940000000000005</v>
      </c>
      <c r="D33" s="12">
        <f t="shared" si="32"/>
        <v>5.907851518758747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184.08867839041844</v>
      </c>
      <c r="H33" s="70">
        <f t="shared" si="1"/>
        <v>334.86834139517146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 t="e">
        <f>VLOOKUP(A33,'Données projet'!$A$35:$I$55,2,0)</f>
        <v>#N/A</v>
      </c>
      <c r="L33" s="13" t="e">
        <f>VLOOKUP(A33,'Données projet'!$A$35:$I$55,9,0)</f>
        <v>#N/A</v>
      </c>
      <c r="M33" s="13">
        <f t="array" ref="M33">INDEX(L:L,MIN(IF(ISNUMBER(L33:L229),ROW(L33:L229),"")))</f>
        <v>13.076923076923077</v>
      </c>
      <c r="N33" s="14">
        <f>IF('Données projet'!$A$36&gt;35,N32+M33-V32,IF(A33&lt;'Données projet'!$A$36,$K$205^A33,IF(A33='Données projet'!$A$36,'Données projet'!$B$36,N32+M33-V32)))</f>
        <v>233.38461538461533</v>
      </c>
      <c r="O33" s="14">
        <f>N33*VLOOKUP('Données projet'!$B$9,Paramètres!$A$1:$I$89,3,0)*VLOOKUP('Données projet'!$B$9,Paramètres!$A$1:$I$89,5,0)</f>
        <v>139.56399999999996</v>
      </c>
      <c r="P33" s="14">
        <f t="shared" si="33"/>
        <v>36.197105892845229</v>
      </c>
      <c r="Q33" s="22">
        <f t="shared" si="2"/>
        <v>306.1172594300387</v>
      </c>
      <c r="R33" s="62">
        <f t="shared" si="0"/>
        <v>599.45059276337201</v>
      </c>
      <c r="S33" s="62">
        <f ca="1">AVERAGE(OFFSET($R$3,0,0,'Données projet'!$E$9+1,1))-AVERAGE(OFFSET($H$3,0,0,'Données projet'!$E$9+1,1))</f>
        <v>157.21429387424644</v>
      </c>
      <c r="T33" s="62">
        <f t="shared" si="34"/>
        <v>264.58225136820056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10.428991117117084</v>
      </c>
      <c r="AA33" s="23">
        <f>EXP(-LN(2)/25)*AA32+(1-EXP(-LN(2)/25))/(LN(2)/25)*Calculateur!V33*Calculateur!X33*VLOOKUP('Données projet'!$B$9,Paramètres!$A$1:$I$89,3,0)*0.475*44/12</f>
        <v>3.343077559939756</v>
      </c>
      <c r="AB33" s="23">
        <f>EXP(-LN(2)/2)*AB32+(1-EXP(-LN(2)/2))/(LN(2)/2)*V33*Y33*VLOOKUP('Données projet'!$B$9,Paramètres!$A$1:$I$89,3,0)*0.475*44/12</f>
        <v>3.032298343890016</v>
      </c>
      <c r="AC33" s="24">
        <f t="shared" si="3"/>
        <v>16.804367020946856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projet'!$B$10,Paramètres!$A$1:$I$89,3,0)*VLOOKUP('Données projet'!$B$10,Paramètres!$A$1:$I$89,5,0)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projet'!$B$10,Paramètres!$A$1:$I$89,3,0)*0.475*44/12</f>
        <v>#N/A</v>
      </c>
      <c r="AV33" s="23" t="e">
        <f>EXP(-LN(2)/25)*AV32+(1-EXP(-LN(2)/25))/(LN(2)/25)*Calculateur!AQ33*Calculateur!AS33*VLOOKUP('Données projet'!$B$10,Paramètres!$A$1:$I$89,3,0)*0.475*44/12</f>
        <v>#N/A</v>
      </c>
      <c r="AW33" s="23" t="e">
        <f>EXP(-LN(2)/2)*AW32+(1-EXP(-LN(2)/2))/(LN(2)/2)*AQ33*AT33*VLOOKUP('Données projet'!$B$10,Paramètres!$A$1:$I$89,3,0)*0.475*44/12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18.538000000000004</v>
      </c>
      <c r="D34" s="12">
        <f t="shared" si="32"/>
        <v>6.0815239823749314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190.04544828499948</v>
      </c>
      <c r="H34" s="70">
        <f t="shared" si="1"/>
        <v>336.21233760263635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13.076923076923077</v>
      </c>
      <c r="N34" s="14">
        <f>IF('Données projet'!$A$36&gt;35,N33+M34-V33,IF(A34&lt;'Données projet'!$A$36,$K$205^A34,IF(A34='Données projet'!$A$36,'Données projet'!$B$36,N33+M34-V33)))</f>
        <v>246.4615384615384</v>
      </c>
      <c r="O34" s="14">
        <f>N34*VLOOKUP('Données projet'!$B$9,Paramètres!$A$1:$I$89,3,0)*VLOOKUP('Données projet'!$B$9,Paramètres!$A$1:$I$89,5,0)</f>
        <v>147.38399999999999</v>
      </c>
      <c r="P34" s="14">
        <f t="shared" si="33"/>
        <v>37.983482863402315</v>
      </c>
      <c r="Q34" s="22">
        <f t="shared" si="2"/>
        <v>322.84836598709234</v>
      </c>
      <c r="R34" s="62">
        <f t="shared" si="0"/>
        <v>616.18169932042565</v>
      </c>
      <c r="S34" s="62">
        <f ca="1">AVERAGE(OFFSET($R$3,0,0,'Données projet'!$E$9+1,1))-AVERAGE(OFFSET($H$3,0,0,'Données projet'!$E$9+1,1))</f>
        <v>157.21429387424644</v>
      </c>
      <c r="T34" s="62">
        <f t="shared" si="34"/>
        <v>264.58225136820056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10.224484962366898</v>
      </c>
      <c r="AA34" s="23">
        <f>EXP(-LN(2)/25)*AA33+(1-EXP(-LN(2)/25))/(LN(2)/25)*Calculateur!V34*Calculateur!X34*VLOOKUP('Données projet'!$B$9,Paramètres!$A$1:$I$89,3,0)*0.475*44/12</f>
        <v>3.2516609282583953</v>
      </c>
      <c r="AB34" s="23">
        <f>EXP(-LN(2)/2)*AB33+(1-EXP(-LN(2)/2))/(LN(2)/2)*V34*Y34*VLOOKUP('Données projet'!$B$9,Paramètres!$A$1:$I$89,3,0)*0.475*44/12</f>
        <v>2.1441587215453679</v>
      </c>
      <c r="AC34" s="24">
        <f t="shared" si="3"/>
        <v>15.620304612170662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projet'!$B$10,Paramètres!$A$1:$I$89,3,0)*VLOOKUP('Données projet'!$B$10,Paramètres!$A$1:$I$89,5,0)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projet'!$B$10,Paramètres!$A$1:$I$89,3,0)*0.475*44/12</f>
        <v>#N/A</v>
      </c>
      <c r="AV34" s="23" t="e">
        <f>EXP(-LN(2)/25)*AV33+(1-EXP(-LN(2)/25))/(LN(2)/25)*Calculateur!AQ34*Calculateur!AS34*VLOOKUP('Données projet'!$B$10,Paramètres!$A$1:$I$89,3,0)*0.475*44/12</f>
        <v>#N/A</v>
      </c>
      <c r="AW34" s="23" t="e">
        <f>EXP(-LN(2)/2)*AW33+(1-EXP(-LN(2)/2))/(LN(2)/2)*AQ34*AT34*VLOOKUP('Données projet'!$B$10,Paramètres!$A$1:$I$89,3,0)*0.475*44/12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19.136000000000003</v>
      </c>
      <c r="D35" s="12">
        <f t="shared" si="32"/>
        <v>6.2545454373771854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195.99719284992921</v>
      </c>
      <c r="H35" s="70">
        <f t="shared" si="1"/>
        <v>337.55519997009856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13.076923076923077</v>
      </c>
      <c r="N35" s="14">
        <f>IF('Données projet'!$A$36&gt;35,N34+M35-V34,IF(A35&lt;'Données projet'!$A$36,$K$205^A35,IF(A35='Données projet'!$A$36,'Données projet'!$B$36,N34+M35-V34)))</f>
        <v>259.53846153846149</v>
      </c>
      <c r="O35" s="14">
        <f>N35*VLOOKUP('Données projet'!$B$9,Paramètres!$A$1:$I$89,3,0)*VLOOKUP('Données projet'!$B$9,Paramètres!$A$1:$I$89,5,0)</f>
        <v>155.20399999999998</v>
      </c>
      <c r="P35" s="14">
        <f t="shared" si="33"/>
        <v>39.758855664869223</v>
      </c>
      <c r="Q35" s="22">
        <f t="shared" ref="Q35:Q66" si="53">(O35+P35)*0.475*44/12</f>
        <v>339.56030694964716</v>
      </c>
      <c r="R35" s="62">
        <f t="shared" si="0"/>
        <v>632.89364028298041</v>
      </c>
      <c r="S35" s="62">
        <f ca="1">AVERAGE(OFFSET($R$3,0,0,'Données projet'!$E$9+1,1))-AVERAGE(OFFSET($H$3,0,0,'Données projet'!$E$9+1,1))</f>
        <v>157.21429387424644</v>
      </c>
      <c r="T35" s="62">
        <f t="shared" si="34"/>
        <v>264.58225136820056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10.023989048574924</v>
      </c>
      <c r="AA35" s="23">
        <f>EXP(-LN(2)/25)*AA34+(1-EXP(-LN(2)/25))/(LN(2)/25)*Calculateur!V35*Calculateur!X35*VLOOKUP('Données projet'!$B$9,Paramètres!$A$1:$I$89,3,0)*0.475*44/12</f>
        <v>3.1627440891777532</v>
      </c>
      <c r="AB35" s="23">
        <f>EXP(-LN(2)/2)*AB34+(1-EXP(-LN(2)/2))/(LN(2)/2)*V35*Y35*VLOOKUP('Données projet'!$B$9,Paramètres!$A$1:$I$89,3,0)*0.475*44/12</f>
        <v>1.516149171945008</v>
      </c>
      <c r="AC35" s="24">
        <f t="shared" si="3"/>
        <v>14.702882309697685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projet'!$B$10,Paramètres!$A$1:$I$89,3,0)*VLOOKUP('Données projet'!$B$10,Paramètres!$A$1:$I$89,5,0)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projet'!$B$10,Paramètres!$A$1:$I$89,3,0)*0.475*44/12</f>
        <v>#N/A</v>
      </c>
      <c r="AV35" s="23" t="e">
        <f>EXP(-LN(2)/25)*AV34+(1-EXP(-LN(2)/25))/(LN(2)/25)*Calculateur!AQ35*Calculateur!AS35*VLOOKUP('Données projet'!$B$10,Paramètres!$A$1:$I$89,3,0)*0.475*44/12</f>
        <v>#N/A</v>
      </c>
      <c r="AW35" s="23" t="e">
        <f>EXP(-LN(2)/2)*AW34+(1-EXP(-LN(2)/2))/(LN(2)/2)*AQ35*AT35*VLOOKUP('Données projet'!$B$10,Paramètres!$A$1:$I$89,3,0)*0.475*44/12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19.734000000000002</v>
      </c>
      <c r="D36" s="12">
        <f t="shared" si="32"/>
        <v>6.4269385620606752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201.94408714573157</v>
      </c>
      <c r="H36" s="70">
        <f t="shared" si="1"/>
        <v>338.89696799558897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13.076923076923077</v>
      </c>
      <c r="N36" s="14">
        <f>IF('Données projet'!$A$36&gt;35,N35+M36-V35,IF(A36&lt;'Données projet'!$A$36,$K$205^A36,IF(A36='Données projet'!$A$36,'Données projet'!$B$36,N35+M36-V35)))</f>
        <v>272.61538461538458</v>
      </c>
      <c r="O36" s="14">
        <f>N36*VLOOKUP('Données projet'!$B$9,Paramètres!$A$1:$I$89,3,0)*VLOOKUP('Données projet'!$B$9,Paramètres!$A$1:$I$89,5,0)</f>
        <v>163.024</v>
      </c>
      <c r="P36" s="14">
        <f t="shared" si="33"/>
        <v>41.523842007224737</v>
      </c>
      <c r="Q36" s="22">
        <f t="shared" si="53"/>
        <v>356.25415816258305</v>
      </c>
      <c r="R36" s="62">
        <f t="shared" si="0"/>
        <v>649.58749149591631</v>
      </c>
      <c r="S36" s="62">
        <f ca="1">AVERAGE(OFFSET($R$3,0,0,'Données projet'!$E$9+1,1))-AVERAGE(OFFSET($H$3,0,0,'Données projet'!$E$9+1,1))</f>
        <v>157.21429387424644</v>
      </c>
      <c r="T36" s="62">
        <f t="shared" si="34"/>
        <v>264.58225136820056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9.8274247373619783</v>
      </c>
      <c r="AA36" s="23">
        <f>EXP(-LN(2)/25)*AA35+(1-EXP(-LN(2)/25))/(LN(2)/25)*Calculateur!V36*Calculateur!X36*VLOOKUP('Données projet'!$B$9,Paramètres!$A$1:$I$89,3,0)*0.475*44/12</f>
        <v>3.0762586857377046</v>
      </c>
      <c r="AB36" s="23">
        <f>EXP(-LN(2)/2)*AB35+(1-EXP(-LN(2)/2))/(LN(2)/2)*V36*Y36*VLOOKUP('Données projet'!$B$9,Paramètres!$A$1:$I$89,3,0)*0.475*44/12</f>
        <v>1.072079360772684</v>
      </c>
      <c r="AC36" s="24">
        <f t="shared" si="3"/>
        <v>13.975762783872366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projet'!$B$10,Paramètres!$A$1:$I$89,3,0)*VLOOKUP('Données projet'!$B$10,Paramètres!$A$1:$I$89,5,0)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projet'!$B$10,Paramètres!$A$1:$I$89,3,0)*0.475*44/12</f>
        <v>#N/A</v>
      </c>
      <c r="AV36" s="23" t="e">
        <f>EXP(-LN(2)/25)*AV35+(1-EXP(-LN(2)/25))/(LN(2)/25)*Calculateur!AQ36*Calculateur!AS36*VLOOKUP('Données projet'!$B$10,Paramètres!$A$1:$I$89,3,0)*0.475*44/12</f>
        <v>#N/A</v>
      </c>
      <c r="AW36" s="23" t="e">
        <f>EXP(-LN(2)/2)*AW35+(1-EXP(-LN(2)/2))/(LN(2)/2)*AQ36*AT36*VLOOKUP('Données projet'!$B$10,Paramètres!$A$1:$I$89,3,0)*0.475*44/12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20.332000000000001</v>
      </c>
      <c r="D37" s="12">
        <f t="shared" si="32"/>
        <v>6.5987245821741247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207.88629502029153</v>
      </c>
      <c r="H37" s="70">
        <f t="shared" si="1"/>
        <v>340.2376786472866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13.076923076923077</v>
      </c>
      <c r="N37" s="14">
        <f>IF('Données projet'!$A$36&gt;35,N36+M37-V36,IF(A37&lt;'Données projet'!$A$36,$K$205^A37,IF(A37='Données projet'!$A$36,'Données projet'!$B$36,N36+M37-V36)))</f>
        <v>285.69230769230768</v>
      </c>
      <c r="O37" s="14">
        <f>N37*VLOOKUP('Données projet'!$B$9,Paramètres!$A$1:$I$89,3,0)*VLOOKUP('Données projet'!$B$9,Paramètres!$A$1:$I$89,5,0)</f>
        <v>170.84400000000002</v>
      </c>
      <c r="P37" s="14">
        <f t="shared" si="33"/>
        <v>43.278996990911509</v>
      </c>
      <c r="Q37" s="22">
        <f t="shared" si="53"/>
        <v>372.93088642583757</v>
      </c>
      <c r="R37" s="62">
        <f t="shared" si="0"/>
        <v>666.26421975917083</v>
      </c>
      <c r="S37" s="62">
        <f ca="1">AVERAGE(OFFSET($R$3,0,0,'Données projet'!$E$9+1,1))-AVERAGE(OFFSET($H$3,0,0,'Données projet'!$E$9+1,1))</f>
        <v>157.21429387424644</v>
      </c>
      <c r="T37" s="62">
        <f t="shared" si="34"/>
        <v>264.58225136820056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9.6347149323995271</v>
      </c>
      <c r="AA37" s="23">
        <f>EXP(-LN(2)/25)*AA36+(1-EXP(-LN(2)/25))/(LN(2)/25)*Calculateur!V37*Calculateur!X37*VLOOKUP('Données projet'!$B$9,Paramètres!$A$1:$I$89,3,0)*0.475*44/12</f>
        <v>2.9921382302027935</v>
      </c>
      <c r="AB37" s="23">
        <f>EXP(-LN(2)/2)*AB36+(1-EXP(-LN(2)/2))/(LN(2)/2)*V37*Y37*VLOOKUP('Données projet'!$B$9,Paramètres!$A$1:$I$89,3,0)*0.475*44/12</f>
        <v>0.75807458597250399</v>
      </c>
      <c r="AC37" s="24">
        <f t="shared" si="3"/>
        <v>13.384927748574825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projet'!$B$10,Paramètres!$A$1:$I$89,3,0)*VLOOKUP('Données projet'!$B$10,Paramètres!$A$1:$I$89,5,0)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projet'!$B$10,Paramètres!$A$1:$I$89,3,0)*0.475*44/12</f>
        <v>#N/A</v>
      </c>
      <c r="AV37" s="23" t="e">
        <f>EXP(-LN(2)/25)*AV36+(1-EXP(-LN(2)/25))/(LN(2)/25)*Calculateur!AQ37*Calculateur!AS37*VLOOKUP('Données projet'!$B$10,Paramètres!$A$1:$I$89,3,0)*0.475*44/12</f>
        <v>#N/A</v>
      </c>
      <c r="AW37" s="23" t="e">
        <f>EXP(-LN(2)/2)*AW36+(1-EXP(-LN(2)/2))/(LN(2)/2)*AQ37*AT37*VLOOKUP('Données projet'!$B$10,Paramètres!$A$1:$I$89,3,0)*0.475*44/12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20.93</v>
      </c>
      <c r="D38" s="12">
        <f t="shared" si="32"/>
        <v>6.7699234039087761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213.82397013543618</v>
      </c>
      <c r="H38" s="70">
        <f t="shared" si="1"/>
        <v>341.57736659514109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13.076923076923077</v>
      </c>
      <c r="N38" s="14">
        <f>IF('Données projet'!$A$36&gt;35,N37+M38-V37,IF(A38&lt;'Données projet'!$A$36,$K$205^A38,IF(A38='Données projet'!$A$36,'Données projet'!$B$36,N37+M38-V37)))</f>
        <v>298.76923076923077</v>
      </c>
      <c r="O38" s="14">
        <f>N38*VLOOKUP('Données projet'!$B$9,Paramètres!$A$1:$I$89,3,0)*VLOOKUP('Données projet'!$B$9,Paramètres!$A$1:$I$89,5,0)</f>
        <v>178.66400000000002</v>
      </c>
      <c r="P38" s="14">
        <f t="shared" si="33"/>
        <v>45.024822027102132</v>
      </c>
      <c r="Q38" s="22">
        <f t="shared" si="53"/>
        <v>389.59136503053628</v>
      </c>
      <c r="R38" s="62">
        <f t="shared" si="0"/>
        <v>682.92469836386954</v>
      </c>
      <c r="S38" s="62">
        <f ca="1">AVERAGE(OFFSET($R$3,0,0,'Données projet'!$E$9+1,1))-AVERAGE(OFFSET($H$3,0,0,'Données projet'!$E$9+1,1))</f>
        <v>157.21429387424644</v>
      </c>
      <c r="T38" s="62">
        <f t="shared" si="34"/>
        <v>264.58225136820056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9.4457840491710154</v>
      </c>
      <c r="AA38" s="23">
        <f>EXP(-LN(2)/25)*AA37+(1-EXP(-LN(2)/25))/(LN(2)/25)*Calculateur!V38*Calculateur!X38*VLOOKUP('Données projet'!$B$9,Paramètres!$A$1:$I$89,3,0)*0.475*44/12</f>
        <v>2.9103180529481874</v>
      </c>
      <c r="AB38" s="23">
        <f>EXP(-LN(2)/2)*AB37+(1-EXP(-LN(2)/2))/(LN(2)/2)*V38*Y38*VLOOKUP('Données projet'!$B$9,Paramètres!$A$1:$I$89,3,0)*0.475*44/12</f>
        <v>0.53603968038634198</v>
      </c>
      <c r="AC38" s="24">
        <f t="shared" si="3"/>
        <v>12.892141782505544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projet'!$B$10,Paramètres!$A$1:$I$89,3,0)*VLOOKUP('Données projet'!$B$10,Paramètres!$A$1:$I$89,5,0)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projet'!$B$10,Paramètres!$A$1:$I$89,3,0)*0.475*44/12</f>
        <v>#N/A</v>
      </c>
      <c r="AV38" s="23" t="e">
        <f>EXP(-LN(2)/25)*AV37+(1-EXP(-LN(2)/25))/(LN(2)/25)*Calculateur!AQ38*Calculateur!AS38*VLOOKUP('Données projet'!$B$10,Paramètres!$A$1:$I$89,3,0)*0.475*44/12</f>
        <v>#N/A</v>
      </c>
      <c r="AW38" s="23" t="e">
        <f>EXP(-LN(2)/2)*AW37+(1-EXP(-LN(2)/2))/(LN(2)/2)*AQ38*AT38*VLOOKUP('Données projet'!$B$10,Paramètres!$A$1:$I$89,3,0)*0.475*44/12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21.527999999999999</v>
      </c>
      <c r="D39" s="12">
        <f t="shared" si="32"/>
        <v>6.9405537312613585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219.75725687289471</v>
      </c>
      <c r="H39" s="70">
        <f t="shared" si="1"/>
        <v>342.91606441528018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13.076923076923077</v>
      </c>
      <c r="N39" s="14">
        <f>IF('Données projet'!$A$36&gt;35,N38+M39-V38,IF(A39&lt;'Données projet'!$A$36,$K$205^A39,IF(A39='Données projet'!$A$36,'Données projet'!$B$36,N38+M39-V38)))</f>
        <v>311.84615384615387</v>
      </c>
      <c r="O39" s="14">
        <f>N39*VLOOKUP('Données projet'!$B$9,Paramètres!$A$1:$I$89,3,0)*VLOOKUP('Données projet'!$B$9,Paramètres!$A$1:$I$89,5,0)</f>
        <v>186.48400000000001</v>
      </c>
      <c r="P39" s="14">
        <f t="shared" si="33"/>
        <v>46.761772152151593</v>
      </c>
      <c r="Q39" s="22">
        <f t="shared" si="53"/>
        <v>406.23638649833066</v>
      </c>
      <c r="R39" s="62">
        <f t="shared" si="0"/>
        <v>699.56971983166397</v>
      </c>
      <c r="S39" s="62">
        <f ca="1">AVERAGE(OFFSET($R$3,0,0,'Données projet'!$E$9+1,1))-AVERAGE(OFFSET($H$3,0,0,'Données projet'!$E$9+1,1))</f>
        <v>157.21429387424644</v>
      </c>
      <c r="T39" s="62">
        <f t="shared" si="34"/>
        <v>264.58225136820056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9.2605579853261553</v>
      </c>
      <c r="AA39" s="23">
        <f>EXP(-LN(2)/25)*AA38+(1-EXP(-LN(2)/25))/(LN(2)/25)*Calculateur!V39*Calculateur!X39*VLOOKUP('Données projet'!$B$9,Paramètres!$A$1:$I$89,3,0)*0.475*44/12</f>
        <v>2.8307352527433443</v>
      </c>
      <c r="AB39" s="23">
        <f>EXP(-LN(2)/2)*AB38+(1-EXP(-LN(2)/2))/(LN(2)/2)*V39*Y39*VLOOKUP('Données projet'!$B$9,Paramètres!$A$1:$I$89,3,0)*0.475*44/12</f>
        <v>0.37903729298625199</v>
      </c>
      <c r="AC39" s="24">
        <f t="shared" si="3"/>
        <v>12.470330531055753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projet'!$B$10,Paramètres!$A$1:$I$89,3,0)*VLOOKUP('Données projet'!$B$10,Paramètres!$A$1:$I$89,5,0)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projet'!$B$10,Paramètres!$A$1:$I$89,3,0)*0.475*44/12</f>
        <v>#N/A</v>
      </c>
      <c r="AV39" s="23" t="e">
        <f>EXP(-LN(2)/25)*AV38+(1-EXP(-LN(2)/25))/(LN(2)/25)*Calculateur!AQ39*Calculateur!AS39*VLOOKUP('Données projet'!$B$10,Paramètres!$A$1:$I$89,3,0)*0.475*44/12</f>
        <v>#N/A</v>
      </c>
      <c r="AW39" s="23" t="e">
        <f>EXP(-LN(2)/2)*AW38+(1-EXP(-LN(2)/2))/(LN(2)/2)*AQ39*AT39*VLOOKUP('Données projet'!$B$10,Paramètres!$A$1:$I$89,3,0)*0.475*44/12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22.125999999999998</v>
      </c>
      <c r="D40" s="12">
        <f t="shared" si="32"/>
        <v>7.1106331699901926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225.68629113676641</v>
      </c>
      <c r="H40" s="70">
        <f t="shared" si="1"/>
        <v>344.25380277106626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13.076923076923077</v>
      </c>
      <c r="N40" s="14">
        <f>IF('Données projet'!$A$36&gt;35,N39+M40-V39,IF(A40&lt;'Données projet'!$A$36,$K$205^A40,IF(A40='Données projet'!$A$36,'Données projet'!$B$36,N39+M40-V39)))</f>
        <v>324.92307692307696</v>
      </c>
      <c r="O40" s="14">
        <f>N40*VLOOKUP('Données projet'!$B$9,Paramètres!$A$1:$I$89,3,0)*VLOOKUP('Données projet'!$B$9,Paramètres!$A$1:$I$89,5,0)</f>
        <v>194.30400000000003</v>
      </c>
      <c r="P40" s="14">
        <f t="shared" si="33"/>
        <v>48.490262080577637</v>
      </c>
      <c r="Q40" s="22">
        <f t="shared" si="53"/>
        <v>422.8666731236728</v>
      </c>
      <c r="R40" s="62">
        <f t="shared" si="0"/>
        <v>716.20000645700611</v>
      </c>
      <c r="S40" s="62">
        <f ca="1">AVERAGE(OFFSET($R$3,0,0,'Données projet'!$E$9+1,1))-AVERAGE(OFFSET($H$3,0,0,'Données projet'!$E$9+1,1))</f>
        <v>157.21429387424644</v>
      </c>
      <c r="T40" s="62">
        <f t="shared" si="34"/>
        <v>264.58225136820056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9.0789640916165482</v>
      </c>
      <c r="AA40" s="23">
        <f>EXP(-LN(2)/25)*AA39+(1-EXP(-LN(2)/25))/(LN(2)/25)*Calculateur!V40*Calculateur!X40*VLOOKUP('Données projet'!$B$9,Paramètres!$A$1:$I$89,3,0)*0.475*44/12</f>
        <v>2.7533286483951804</v>
      </c>
      <c r="AB40" s="23">
        <f>EXP(-LN(2)/2)*AB39+(1-EXP(-LN(2)/2))/(LN(2)/2)*V40*Y40*VLOOKUP('Données projet'!$B$9,Paramètres!$A$1:$I$89,3,0)*0.475*44/12</f>
        <v>0.26801984019317099</v>
      </c>
      <c r="AC40" s="24">
        <f t="shared" si="3"/>
        <v>12.1003125802049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projet'!$B$10,Paramètres!$A$1:$I$89,3,0)*VLOOKUP('Données projet'!$B$10,Paramètres!$A$1:$I$89,5,0)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projet'!$B$10,Paramètres!$A$1:$I$89,3,0)*0.475*44/12</f>
        <v>#N/A</v>
      </c>
      <c r="AV40" s="23" t="e">
        <f>EXP(-LN(2)/25)*AV39+(1-EXP(-LN(2)/25))/(LN(2)/25)*Calculateur!AQ40*Calculateur!AS40*VLOOKUP('Données projet'!$B$10,Paramètres!$A$1:$I$89,3,0)*0.475*44/12</f>
        <v>#N/A</v>
      </c>
      <c r="AW40" s="23" t="e">
        <f>EXP(-LN(2)/2)*AW39+(1-EXP(-LN(2)/2))/(LN(2)/2)*AQ40*AT40*VLOOKUP('Données projet'!$B$10,Paramètres!$A$1:$I$89,3,0)*0.475*44/12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22.723999999999997</v>
      </c>
      <c r="D41" s="12">
        <f t="shared" si="32"/>
        <v>7.2801783200166916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231.6112010667955</v>
      </c>
      <c r="H41" s="70">
        <f t="shared" si="1"/>
        <v>345.59061057402903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>
        <f>VLOOKUP(A41,'Données projet'!$A$35:$I$55,2,0)</f>
        <v>338</v>
      </c>
      <c r="L41" s="13">
        <f>VLOOKUP(A41,'Données projet'!$A$35:$I$55,9,0)</f>
        <v>13.076923076923077</v>
      </c>
      <c r="M41" s="13">
        <f t="array" ref="M41">INDEX(L:L,MIN(IF(ISNUMBER(L41:L237),ROW(L41:L237),"")))</f>
        <v>13.076923076923077</v>
      </c>
      <c r="N41" s="14">
        <f>IF('Données projet'!$A$36&gt;35,N40+M41-V40,IF(A41&lt;'Données projet'!$A$36,$K$205^A41,IF(A41='Données projet'!$A$36,'Données projet'!$B$36,N40+M41-V40)))</f>
        <v>338.00000000000006</v>
      </c>
      <c r="O41" s="14">
        <f>N41*VLOOKUP('Données projet'!$B$9,Paramètres!$A$1:$I$89,3,0)*VLOOKUP('Données projet'!$B$9,Paramètres!$A$1:$I$89,5,0)</f>
        <v>202.12400000000008</v>
      </c>
      <c r="P41" s="14">
        <f t="shared" si="33"/>
        <v>50.210671256169846</v>
      </c>
      <c r="Q41" s="22">
        <f t="shared" si="53"/>
        <v>439.48288577116256</v>
      </c>
      <c r="R41" s="62">
        <f t="shared" si="0"/>
        <v>732.81621910449587</v>
      </c>
      <c r="S41" s="62">
        <f ca="1">AVERAGE(OFFSET($R$3,0,0,'Données projet'!$E$9+1,1))-AVERAGE(OFFSET($H$3,0,0,'Données projet'!$E$9+1,1))</f>
        <v>157.21429387424644</v>
      </c>
      <c r="T41" s="62">
        <f t="shared" si="34"/>
        <v>264.58225136820056</v>
      </c>
      <c r="U41" s="16">
        <f>IF(ISNA(VLOOKUP(A41,'Données projet'!$A$35:$I$55,3,0)),0,VLOOKUP(A41,'Données projet'!$A$35:$I$55,3,0))</f>
        <v>4</v>
      </c>
      <c r="V41" s="16">
        <f>IF(ISNA(VLOOKUP(A41,'Données projet'!$A$35:$I$55,4,0)),0,VLOOKUP(A41,'Données projet'!$A$35:$I$55,4,0))</f>
        <v>338</v>
      </c>
      <c r="W41" s="17">
        <f>IF(ISNA(VLOOKUP(A41,'Données projet'!$A$35:$I$55,5,0)),0%,VLOOKUP(A41,'Données projet'!$A$35:$I$55,5,0)*VLOOKUP('Données projet'!$B$9,Paramètres!$A$1:$I$89,7,0))</f>
        <v>0.315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0.3</v>
      </c>
      <c r="Z41" s="23">
        <f>EXP(-LN(2)/35)*Z40+(1-EXP(-LN(2)/35))/(LN(2)/35)*V41*W41*VLOOKUP('Données projet'!$B$9,Paramètres!$A$1:$I$89,3,0)*0.475*44/12</f>
        <v>93.362043050648666</v>
      </c>
      <c r="AA41" s="23">
        <f>EXP(-LN(2)/25)*AA40+(1-EXP(-LN(2)/25))/(LN(2)/25)*Calculateur!V41*Calculateur!X41*VLOOKUP('Données projet'!$B$9,Paramètres!$A$1:$I$89,3,0)*0.475*44/12</f>
        <v>2.6780387317135532</v>
      </c>
      <c r="AB41" s="23">
        <f>EXP(-LN(2)/2)*AB40+(1-EXP(-LN(2)/2))/(LN(2)/2)*V41*Y41*VLOOKUP('Données projet'!$B$9,Paramètres!$A$1:$I$89,3,0)*0.475*44/12</f>
        <v>68.844914918064944</v>
      </c>
      <c r="AC41" s="24">
        <f t="shared" si="3"/>
        <v>164.88499670042717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projet'!$B$10,Paramètres!$A$1:$I$89,3,0)*VLOOKUP('Données projet'!$B$10,Paramètres!$A$1:$I$89,5,0)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projet'!$B$10,Paramètres!$A$1:$I$89,3,0)*0.475*44/12</f>
        <v>#N/A</v>
      </c>
      <c r="AV41" s="23" t="e">
        <f>EXP(-LN(2)/25)*AV40+(1-EXP(-LN(2)/25))/(LN(2)/25)*Calculateur!AQ41*Calculateur!AS41*VLOOKUP('Données projet'!$B$10,Paramètres!$A$1:$I$89,3,0)*0.475*44/12</f>
        <v>#N/A</v>
      </c>
      <c r="AW41" s="23" t="e">
        <f>EXP(-LN(2)/2)*AW40+(1-EXP(-LN(2)/2))/(LN(2)/2)*AQ41*AT41*VLOOKUP('Données projet'!$B$10,Paramètres!$A$1:$I$89,3,0)*0.475*44/12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23.321999999999996</v>
      </c>
      <c r="D42" s="12">
        <f t="shared" si="32"/>
        <v>7.4492048578268033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237.5321076744525</v>
      </c>
      <c r="H42" s="70">
        <f t="shared" si="1"/>
        <v>346.92651512738166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5.6843418860808015E-14</v>
      </c>
      <c r="O42" s="14">
        <f>N42*VLOOKUP('Données projet'!$B$9,Paramètres!$A$1:$I$89,3,0)*VLOOKUP('Données projet'!$B$9,Paramètres!$A$1:$I$89,5,0)</f>
        <v>3.3992364478763198E-14</v>
      </c>
      <c r="P42" s="14">
        <f t="shared" si="33"/>
        <v>5.790027782444094E-13</v>
      </c>
      <c r="Q42" s="22">
        <f t="shared" si="53"/>
        <v>1.0676332069095257E-12</v>
      </c>
      <c r="R42" s="62">
        <f t="shared" si="0"/>
        <v>293.33333333333439</v>
      </c>
      <c r="S42" s="62">
        <f ca="1">AVERAGE(OFFSET($R$3,0,0,'Données projet'!$E$9+1,1))-AVERAGE(OFFSET($H$3,0,0,'Données projet'!$E$9+1,1))</f>
        <v>157.21429387424644</v>
      </c>
      <c r="T42" s="62">
        <f t="shared" si="34"/>
        <v>264.58225136820056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91.531270331648827</v>
      </c>
      <c r="AA42" s="23">
        <f>EXP(-LN(2)/25)*AA41+(1-EXP(-LN(2)/25))/(LN(2)/25)*Calculateur!V42*Calculateur!X42*VLOOKUP('Données projet'!$B$9,Paramètres!$A$1:$I$89,3,0)*0.475*44/12</f>
        <v>2.6048076217629101</v>
      </c>
      <c r="AB42" s="23">
        <f>EXP(-LN(2)/2)*AB41+(1-EXP(-LN(2)/2))/(LN(2)/2)*V42*Y42*VLOOKUP('Données projet'!$B$9,Paramètres!$A$1:$I$89,3,0)*0.475*44/12</f>
        <v>48.680706188774636</v>
      </c>
      <c r="AC42" s="24">
        <f t="shared" si="3"/>
        <v>142.81678414218638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projet'!$B$10,Paramètres!$A$1:$I$89,3,0)*VLOOKUP('Données projet'!$B$10,Paramètres!$A$1:$I$89,5,0)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projet'!$B$10,Paramètres!$A$1:$I$89,3,0)*0.475*44/12</f>
        <v>#N/A</v>
      </c>
      <c r="AV42" s="23" t="e">
        <f>EXP(-LN(2)/25)*AV41+(1-EXP(-LN(2)/25))/(LN(2)/25)*Calculateur!AQ42*Calculateur!AS42*VLOOKUP('Données projet'!$B$10,Paramètres!$A$1:$I$89,3,0)*0.475*44/12</f>
        <v>#N/A</v>
      </c>
      <c r="AW42" s="23" t="e">
        <f>EXP(-LN(2)/2)*AW41+(1-EXP(-LN(2)/2))/(LN(2)/2)*AQ42*AT42*VLOOKUP('Données projet'!$B$10,Paramètres!$A$1:$I$89,3,0)*0.475*44/12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23.919999999999995</v>
      </c>
      <c r="D43" s="12">
        <f t="shared" si="32"/>
        <v>7.6177276101832261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243.44912541194063</v>
      </c>
      <c r="H43" s="70">
        <f t="shared" si="1"/>
        <v>348.2615422544024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5.6843418860808015E-14</v>
      </c>
      <c r="O43" s="14">
        <f>N43*VLOOKUP('Données projet'!$B$9,Paramètres!$A$1:$I$89,3,0)*VLOOKUP('Données projet'!$B$9,Paramètres!$A$1:$I$89,5,0)</f>
        <v>3.3992364478763198E-14</v>
      </c>
      <c r="P43" s="14">
        <f t="shared" si="33"/>
        <v>5.790027782444094E-13</v>
      </c>
      <c r="Q43" s="22">
        <f t="shared" si="53"/>
        <v>1.0676332069095257E-12</v>
      </c>
      <c r="R43" s="62">
        <f t="shared" si="0"/>
        <v>293.33333333333439</v>
      </c>
      <c r="S43" s="62">
        <f ca="1">AVERAGE(OFFSET($R$3,0,0,'Données projet'!$E$9+1,1))-AVERAGE(OFFSET($H$3,0,0,'Données projet'!$E$9+1,1))</f>
        <v>157.21429387424644</v>
      </c>
      <c r="T43" s="62">
        <f t="shared" si="34"/>
        <v>264.58225136820056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89.736397949007483</v>
      </c>
      <c r="AA43" s="23">
        <f>EXP(-LN(2)/25)*AA42+(1-EXP(-LN(2)/25))/(LN(2)/25)*Calculateur!V43*Calculateur!X43*VLOOKUP('Données projet'!$B$9,Paramètres!$A$1:$I$89,3,0)*0.475*44/12</f>
        <v>2.533579020364924</v>
      </c>
      <c r="AB43" s="23">
        <f>EXP(-LN(2)/2)*AB42+(1-EXP(-LN(2)/2))/(LN(2)/2)*V43*Y43*VLOOKUP('Données projet'!$B$9,Paramètres!$A$1:$I$89,3,0)*0.475*44/12</f>
        <v>34.422457459032479</v>
      </c>
      <c r="AC43" s="24">
        <f t="shared" si="3"/>
        <v>126.69243442840488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projet'!$B$10,Paramètres!$A$1:$I$89,3,0)*VLOOKUP('Données projet'!$B$10,Paramètres!$A$1:$I$89,5,0)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projet'!$B$10,Paramètres!$A$1:$I$89,3,0)*0.475*44/12</f>
        <v>#N/A</v>
      </c>
      <c r="AV43" s="23" t="e">
        <f>EXP(-LN(2)/25)*AV42+(1-EXP(-LN(2)/25))/(LN(2)/25)*Calculateur!AQ43*Calculateur!AS43*VLOOKUP('Données projet'!$B$10,Paramètres!$A$1:$I$89,3,0)*0.475*44/12</f>
        <v>#N/A</v>
      </c>
      <c r="AW43" s="23" t="e">
        <f>EXP(-LN(2)/2)*AW42+(1-EXP(-LN(2)/2))/(LN(2)/2)*AQ43*AT43*VLOOKUP('Données projet'!$B$10,Paramètres!$A$1:$I$89,3,0)*0.475*44/12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24.517999999999994</v>
      </c>
      <c r="D44" s="12">
        <f t="shared" si="32"/>
        <v>7.7857606202588796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249.36236268270008</v>
      </c>
      <c r="H44" s="70">
        <f t="shared" si="1"/>
        <v>349.59571641361754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5.6843418860808015E-14</v>
      </c>
      <c r="O44" s="14">
        <f>N44*VLOOKUP('Données projet'!$B$9,Paramètres!$A$1:$I$89,3,0)*VLOOKUP('Données projet'!$B$9,Paramètres!$A$1:$I$89,5,0)</f>
        <v>3.3992364478763198E-14</v>
      </c>
      <c r="P44" s="14">
        <f t="shared" si="33"/>
        <v>5.790027782444094E-13</v>
      </c>
      <c r="Q44" s="22">
        <f t="shared" si="53"/>
        <v>1.0676332069095257E-12</v>
      </c>
      <c r="R44" s="62">
        <f t="shared" si="0"/>
        <v>293.33333333333439</v>
      </c>
      <c r="S44" s="62">
        <f ca="1">AVERAGE(OFFSET($R$3,0,0,'Données projet'!$E$9+1,1))-AVERAGE(OFFSET($H$3,0,0,'Données projet'!$E$9+1,1))</f>
        <v>157.21429387424644</v>
      </c>
      <c r="T44" s="62">
        <f t="shared" si="34"/>
        <v>264.58225136820056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87.976721919025678</v>
      </c>
      <c r="AA44" s="23">
        <f>EXP(-LN(2)/25)*AA43+(1-EXP(-LN(2)/25))/(LN(2)/25)*Calculateur!V44*Calculateur!X44*VLOOKUP('Données projet'!$B$9,Paramètres!$A$1:$I$89,3,0)*0.475*44/12</f>
        <v>2.4642981688179151</v>
      </c>
      <c r="AB44" s="23">
        <f>EXP(-LN(2)/2)*AB43+(1-EXP(-LN(2)/2))/(LN(2)/2)*V44*Y44*VLOOKUP('Données projet'!$B$9,Paramètres!$A$1:$I$89,3,0)*0.475*44/12</f>
        <v>24.340353094387321</v>
      </c>
      <c r="AC44" s="24">
        <f t="shared" si="3"/>
        <v>114.78137318223092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projet'!$B$10,Paramètres!$A$1:$I$89,3,0)*VLOOKUP('Données projet'!$B$10,Paramètres!$A$1:$I$89,5,0)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projet'!$B$10,Paramètres!$A$1:$I$89,3,0)*0.475*44/12</f>
        <v>#N/A</v>
      </c>
      <c r="AV44" s="23" t="e">
        <f>EXP(-LN(2)/25)*AV43+(1-EXP(-LN(2)/25))/(LN(2)/25)*Calculateur!AQ44*Calculateur!AS44*VLOOKUP('Données projet'!$B$10,Paramètres!$A$1:$I$89,3,0)*0.475*44/12</f>
        <v>#N/A</v>
      </c>
      <c r="AW44" s="23" t="e">
        <f>EXP(-LN(2)/2)*AW43+(1-EXP(-LN(2)/2))/(LN(2)/2)*AQ44*AT44*VLOOKUP('Données projet'!$B$10,Paramètres!$A$1:$I$89,3,0)*0.475*44/12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25.115999999999993</v>
      </c>
      <c r="D45" s="12">
        <f t="shared" si="32"/>
        <v>7.9533172071366991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255.27192230070429</v>
      </c>
      <c r="H45" s="70">
        <f t="shared" si="1"/>
        <v>350.92906080242972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5.6843418860808015E-14</v>
      </c>
      <c r="O45" s="14">
        <f>N45*VLOOKUP('Données projet'!$B$9,Paramètres!$A$1:$I$89,3,0)*VLOOKUP('Données projet'!$B$9,Paramètres!$A$1:$I$89,5,0)</f>
        <v>3.3992364478763198E-14</v>
      </c>
      <c r="P45" s="14">
        <f t="shared" si="33"/>
        <v>5.790027782444094E-13</v>
      </c>
      <c r="Q45" s="22">
        <f t="shared" si="53"/>
        <v>1.0676332069095257E-12</v>
      </c>
      <c r="R45" s="62">
        <f t="shared" si="0"/>
        <v>293.33333333333439</v>
      </c>
      <c r="S45" s="62">
        <f ca="1">AVERAGE(OFFSET($R$3,0,0,'Données projet'!$E$9+1,1))-AVERAGE(OFFSET($H$3,0,0,'Données projet'!$E$9+1,1))</f>
        <v>157.21429387424644</v>
      </c>
      <c r="T45" s="62">
        <f t="shared" si="34"/>
        <v>264.58225136820056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86.251552062695424</v>
      </c>
      <c r="AA45" s="23">
        <f>EXP(-LN(2)/25)*AA44+(1-EXP(-LN(2)/25))/(LN(2)/25)*Calculateur!V45*Calculateur!X45*VLOOKUP('Données projet'!$B$9,Paramètres!$A$1:$I$89,3,0)*0.475*44/12</f>
        <v>2.3969118057997809</v>
      </c>
      <c r="AB45" s="23">
        <f>EXP(-LN(2)/2)*AB44+(1-EXP(-LN(2)/2))/(LN(2)/2)*V45*Y45*VLOOKUP('Données projet'!$B$9,Paramètres!$A$1:$I$89,3,0)*0.475*44/12</f>
        <v>17.211228729516243</v>
      </c>
      <c r="AC45" s="24">
        <f t="shared" si="3"/>
        <v>105.85969259801143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projet'!$B$10,Paramètres!$A$1:$I$89,3,0)*VLOOKUP('Données projet'!$B$10,Paramètres!$A$1:$I$89,5,0)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projet'!$B$10,Paramètres!$A$1:$I$89,3,0)*0.475*44/12</f>
        <v>#N/A</v>
      </c>
      <c r="AV45" s="23" t="e">
        <f>EXP(-LN(2)/25)*AV44+(1-EXP(-LN(2)/25))/(LN(2)/25)*Calculateur!AQ45*Calculateur!AS45*VLOOKUP('Données projet'!$B$10,Paramètres!$A$1:$I$89,3,0)*0.475*44/12</f>
        <v>#N/A</v>
      </c>
      <c r="AW45" s="23" t="e">
        <f>EXP(-LN(2)/2)*AW44+(1-EXP(-LN(2)/2))/(LN(2)/2)*AQ45*AT45*VLOOKUP('Données projet'!$B$10,Paramètres!$A$1:$I$89,3,0)*0.475*44/12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25.713999999999992</v>
      </c>
      <c r="D46" s="12">
        <f t="shared" si="32"/>
        <v>8.1204100194831259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261.17790190478195</v>
      </c>
      <c r="H46" s="70">
        <f t="shared" si="1"/>
        <v>352.26159745059977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5.6843418860808015E-14</v>
      </c>
      <c r="O46" s="14">
        <f>N46*VLOOKUP('Données projet'!$B$9,Paramètres!$A$1:$I$89,3,0)*VLOOKUP('Données projet'!$B$9,Paramètres!$A$1:$I$89,5,0)</f>
        <v>3.3992364478763198E-14</v>
      </c>
      <c r="P46" s="14">
        <f t="shared" si="33"/>
        <v>5.790027782444094E-13</v>
      </c>
      <c r="Q46" s="22">
        <f t="shared" si="53"/>
        <v>1.0676332069095257E-12</v>
      </c>
      <c r="R46" s="62">
        <f t="shared" si="0"/>
        <v>293.33333333333439</v>
      </c>
      <c r="S46" s="62">
        <f ca="1">AVERAGE(OFFSET($R$3,0,0,'Données projet'!$E$9+1,1))-AVERAGE(OFFSET($H$3,0,0,'Données projet'!$E$9+1,1))</f>
        <v>157.21429387424644</v>
      </c>
      <c r="T46" s="62">
        <f t="shared" si="34"/>
        <v>264.58225136820056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84.560211734998092</v>
      </c>
      <c r="AA46" s="23">
        <f>EXP(-LN(2)/25)*AA45+(1-EXP(-LN(2)/25))/(LN(2)/25)*Calculateur!V46*Calculateur!X46*VLOOKUP('Données projet'!$B$9,Paramètres!$A$1:$I$89,3,0)*0.475*44/12</f>
        <v>2.3313681264220723</v>
      </c>
      <c r="AB46" s="23">
        <f>EXP(-LN(2)/2)*AB45+(1-EXP(-LN(2)/2))/(LN(2)/2)*V46*Y46*VLOOKUP('Données projet'!$B$9,Paramètres!$A$1:$I$89,3,0)*0.475*44/12</f>
        <v>12.170176547193662</v>
      </c>
      <c r="AC46" s="24">
        <f t="shared" si="3"/>
        <v>99.061756408613832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projet'!$B$10,Paramètres!$A$1:$I$89,3,0)*VLOOKUP('Données projet'!$B$10,Paramètres!$A$1:$I$89,5,0)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projet'!$B$10,Paramètres!$A$1:$I$89,3,0)*0.475*44/12</f>
        <v>#N/A</v>
      </c>
      <c r="AV46" s="23" t="e">
        <f>EXP(-LN(2)/25)*AV45+(1-EXP(-LN(2)/25))/(LN(2)/25)*Calculateur!AQ46*Calculateur!AS46*VLOOKUP('Données projet'!$B$10,Paramètres!$A$1:$I$89,3,0)*0.475*44/12</f>
        <v>#N/A</v>
      </c>
      <c r="AW46" s="23" t="e">
        <f>EXP(-LN(2)/2)*AW45+(1-EXP(-LN(2)/2))/(LN(2)/2)*AQ46*AT46*VLOOKUP('Données projet'!$B$10,Paramètres!$A$1:$I$89,3,0)*0.475*44/12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26.311999999999991</v>
      </c>
      <c r="D47" s="12">
        <f t="shared" si="32"/>
        <v>8.2870510840880431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267.08039433331112</v>
      </c>
      <c r="H47" s="70">
        <f t="shared" si="1"/>
        <v>353.59334730478662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5.6843418860808015E-14</v>
      </c>
      <c r="O47" s="14">
        <f>N47*VLOOKUP('Données projet'!$B$9,Paramètres!$A$1:$I$89,3,0)*VLOOKUP('Données projet'!$B$9,Paramètres!$A$1:$I$89,5,0)</f>
        <v>3.3992364478763198E-14</v>
      </c>
      <c r="P47" s="14">
        <f t="shared" si="33"/>
        <v>5.790027782444094E-13</v>
      </c>
      <c r="Q47" s="22">
        <f t="shared" si="53"/>
        <v>1.0676332069095257E-12</v>
      </c>
      <c r="R47" s="62">
        <f t="shared" si="0"/>
        <v>293.33333333333439</v>
      </c>
      <c r="S47" s="62">
        <f ca="1">AVERAGE(OFFSET($R$3,0,0,'Données projet'!$E$9+1,1))-AVERAGE(OFFSET($H$3,0,0,'Données projet'!$E$9+1,1))</f>
        <v>157.21429387424644</v>
      </c>
      <c r="T47" s="62">
        <f t="shared" si="34"/>
        <v>264.58225136820056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82.902037559511172</v>
      </c>
      <c r="AA47" s="23">
        <f>EXP(-LN(2)/25)*AA46+(1-EXP(-LN(2)/25))/(LN(2)/25)*Calculateur!V47*Calculateur!X47*VLOOKUP('Données projet'!$B$9,Paramètres!$A$1:$I$89,3,0)*0.475*44/12</f>
        <v>2.2676167424037392</v>
      </c>
      <c r="AB47" s="23">
        <f>EXP(-LN(2)/2)*AB46+(1-EXP(-LN(2)/2))/(LN(2)/2)*V47*Y47*VLOOKUP('Données projet'!$B$9,Paramètres!$A$1:$I$89,3,0)*0.475*44/12</f>
        <v>8.6056143647581216</v>
      </c>
      <c r="AC47" s="24">
        <f t="shared" si="3"/>
        <v>93.775268666673043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projet'!$B$10,Paramètres!$A$1:$I$89,3,0)*VLOOKUP('Données projet'!$B$10,Paramètres!$A$1:$I$89,5,0)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projet'!$B$10,Paramètres!$A$1:$I$89,3,0)*0.475*44/12</f>
        <v>#N/A</v>
      </c>
      <c r="AV47" s="23" t="e">
        <f>EXP(-LN(2)/25)*AV46+(1-EXP(-LN(2)/25))/(LN(2)/25)*Calculateur!AQ47*Calculateur!AS47*VLOOKUP('Données projet'!$B$10,Paramètres!$A$1:$I$89,3,0)*0.475*44/12</f>
        <v>#N/A</v>
      </c>
      <c r="AW47" s="23" t="e">
        <f>EXP(-LN(2)/2)*AW46+(1-EXP(-LN(2)/2))/(LN(2)/2)*AQ47*AT47*VLOOKUP('Données projet'!$B$10,Paramètres!$A$1:$I$89,3,0)*0.475*44/12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26.909999999999989</v>
      </c>
      <c r="D48" s="12">
        <f t="shared" si="32"/>
        <v>8.4532518498676339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272.97948796389045</v>
      </c>
      <c r="H48" s="70">
        <f t="shared" si="1"/>
        <v>354.92433030518612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5.6843418860808015E-14</v>
      </c>
      <c r="O48" s="14">
        <f>N48*VLOOKUP('Données projet'!$B$9,Paramètres!$A$1:$I$89,3,0)*VLOOKUP('Données projet'!$B$9,Paramètres!$A$1:$I$89,5,0)</f>
        <v>3.3992364478763198E-14</v>
      </c>
      <c r="P48" s="14">
        <f t="shared" si="33"/>
        <v>5.790027782444094E-13</v>
      </c>
      <c r="Q48" s="22">
        <f t="shared" si="53"/>
        <v>1.0676332069095257E-12</v>
      </c>
      <c r="R48" s="62">
        <f t="shared" si="0"/>
        <v>293.33333333333439</v>
      </c>
      <c r="S48" s="62">
        <f ca="1">AVERAGE(OFFSET($R$3,0,0,'Données projet'!$E$9+1,1))-AVERAGE(OFFSET($H$3,0,0,'Données projet'!$E$9+1,1))</f>
        <v>157.21429387424644</v>
      </c>
      <c r="T48" s="62">
        <f t="shared" si="34"/>
        <v>264.58225136820056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81.276379168219165</v>
      </c>
      <c r="AA48" s="23">
        <f>EXP(-LN(2)/25)*AA47+(1-EXP(-LN(2)/25))/(LN(2)/25)*Calculateur!V48*Calculateur!X48*VLOOKUP('Données projet'!$B$9,Paramètres!$A$1:$I$89,3,0)*0.475*44/12</f>
        <v>2.2056086433339273</v>
      </c>
      <c r="AB48" s="23">
        <f>EXP(-LN(2)/2)*AB47+(1-EXP(-LN(2)/2))/(LN(2)/2)*V48*Y48*VLOOKUP('Données projet'!$B$9,Paramètres!$A$1:$I$89,3,0)*0.475*44/12</f>
        <v>6.0850882735968312</v>
      </c>
      <c r="AC48" s="24">
        <f t="shared" si="3"/>
        <v>89.567076085149921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projet'!$B$10,Paramètres!$A$1:$I$89,3,0)*VLOOKUP('Données projet'!$B$10,Paramètres!$A$1:$I$89,5,0)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projet'!$B$10,Paramètres!$A$1:$I$89,3,0)*0.475*44/12</f>
        <v>#N/A</v>
      </c>
      <c r="AV48" s="23" t="e">
        <f>EXP(-LN(2)/25)*AV47+(1-EXP(-LN(2)/25))/(LN(2)/25)*Calculateur!AQ48*Calculateur!AS48*VLOOKUP('Données projet'!$B$10,Paramètres!$A$1:$I$89,3,0)*0.475*44/12</f>
        <v>#N/A</v>
      </c>
      <c r="AW48" s="23" t="e">
        <f>EXP(-LN(2)/2)*AW47+(1-EXP(-LN(2)/2))/(LN(2)/2)*AQ48*AT48*VLOOKUP('Données projet'!$B$10,Paramètres!$A$1:$I$89,3,0)*0.475*44/12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27.507999999999988</v>
      </c>
      <c r="D49" s="12">
        <f t="shared" si="32"/>
        <v>8.6190232278455454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278.87526702196556</v>
      </c>
      <c r="H49" s="70">
        <f t="shared" si="1"/>
        <v>356.25456545516431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5.6843418860808015E-14</v>
      </c>
      <c r="O49" s="14">
        <f>N49*VLOOKUP('Données projet'!$B$9,Paramètres!$A$1:$I$89,3,0)*VLOOKUP('Données projet'!$B$9,Paramètres!$A$1:$I$89,5,0)</f>
        <v>3.3992364478763198E-14</v>
      </c>
      <c r="P49" s="14">
        <f t="shared" si="33"/>
        <v>5.790027782444094E-13</v>
      </c>
      <c r="Q49" s="22">
        <f t="shared" si="53"/>
        <v>1.0676332069095257E-12</v>
      </c>
      <c r="R49" s="62">
        <f t="shared" si="0"/>
        <v>293.33333333333439</v>
      </c>
      <c r="S49" s="62">
        <f ca="1">AVERAGE(OFFSET($R$3,0,0,'Données projet'!$E$9+1,1))-AVERAGE(OFFSET($H$3,0,0,'Données projet'!$E$9+1,1))</f>
        <v>157.21429387424644</v>
      </c>
      <c r="T49" s="62">
        <f t="shared" si="34"/>
        <v>264.58225136820056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79.68259894642668</v>
      </c>
      <c r="AA49" s="23">
        <f>EXP(-LN(2)/25)*AA48+(1-EXP(-LN(2)/25))/(LN(2)/25)*Calculateur!V49*Calculateur!X49*VLOOKUP('Données projet'!$B$9,Paramètres!$A$1:$I$89,3,0)*0.475*44/12</f>
        <v>2.1452961589940434</v>
      </c>
      <c r="AB49" s="23">
        <f>EXP(-LN(2)/2)*AB48+(1-EXP(-LN(2)/2))/(LN(2)/2)*V49*Y49*VLOOKUP('Données projet'!$B$9,Paramètres!$A$1:$I$89,3,0)*0.475*44/12</f>
        <v>4.3028071823790608</v>
      </c>
      <c r="AC49" s="24">
        <f t="shared" si="3"/>
        <v>86.130702287799778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projet'!$B$10,Paramètres!$A$1:$I$89,3,0)*VLOOKUP('Données projet'!$B$10,Paramètres!$A$1:$I$89,5,0)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projet'!$B$10,Paramètres!$A$1:$I$89,3,0)*0.475*44/12</f>
        <v>#N/A</v>
      </c>
      <c r="AV49" s="23" t="e">
        <f>EXP(-LN(2)/25)*AV48+(1-EXP(-LN(2)/25))/(LN(2)/25)*Calculateur!AQ49*Calculateur!AS49*VLOOKUP('Données projet'!$B$10,Paramètres!$A$1:$I$89,3,0)*0.475*44/12</f>
        <v>#N/A</v>
      </c>
      <c r="AW49" s="23" t="e">
        <f>EXP(-LN(2)/2)*AW48+(1-EXP(-LN(2)/2))/(LN(2)/2)*AQ49*AT49*VLOOKUP('Données projet'!$B$10,Paramètres!$A$1:$I$89,3,0)*0.475*44/12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28.105999999999987</v>
      </c>
      <c r="D50" s="12">
        <f t="shared" si="32"/>
        <v>8.7843756275593741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284.76781186186179</v>
      </c>
      <c r="H50" s="70">
        <f t="shared" si="1"/>
        <v>357.58407088466589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5.6843418860808015E-14</v>
      </c>
      <c r="O50" s="14">
        <f>N50*VLOOKUP('Données projet'!$B$9,Paramètres!$A$1:$I$89,3,0)*VLOOKUP('Données projet'!$B$9,Paramètres!$A$1:$I$89,5,0)</f>
        <v>3.3992364478763198E-14</v>
      </c>
      <c r="P50" s="14">
        <f t="shared" si="33"/>
        <v>5.790027782444094E-13</v>
      </c>
      <c r="Q50" s="22">
        <f t="shared" si="53"/>
        <v>1.0676332069095257E-12</v>
      </c>
      <c r="R50" s="62">
        <f t="shared" si="0"/>
        <v>293.33333333333439</v>
      </c>
      <c r="S50" s="62">
        <f ca="1">AVERAGE(OFFSET($R$3,0,0,'Données projet'!$E$9+1,1))-AVERAGE(OFFSET($H$3,0,0,'Données projet'!$E$9+1,1))</f>
        <v>157.21429387424644</v>
      </c>
      <c r="T50" s="62">
        <f t="shared" si="34"/>
        <v>264.58225136820056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78.120071782673605</v>
      </c>
      <c r="AA50" s="23">
        <f>EXP(-LN(2)/25)*AA49+(1-EXP(-LN(2)/25))/(LN(2)/25)*Calculateur!V50*Calculateur!X50*VLOOKUP('Données projet'!$B$9,Paramètres!$A$1:$I$89,3,0)*0.475*44/12</f>
        <v>2.0866329227101295</v>
      </c>
      <c r="AB50" s="23">
        <f>EXP(-LN(2)/2)*AB49+(1-EXP(-LN(2)/2))/(LN(2)/2)*V50*Y50*VLOOKUP('Données projet'!$B$9,Paramètres!$A$1:$I$89,3,0)*0.475*44/12</f>
        <v>3.0425441367984156</v>
      </c>
      <c r="AC50" s="24">
        <f t="shared" si="3"/>
        <v>83.249248842182141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projet'!$B$10,Paramètres!$A$1:$I$89,3,0)*VLOOKUP('Données projet'!$B$10,Paramètres!$A$1:$I$89,5,0)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projet'!$B$10,Paramètres!$A$1:$I$89,3,0)*0.475*44/12</f>
        <v>#N/A</v>
      </c>
      <c r="AV50" s="23" t="e">
        <f>EXP(-LN(2)/25)*AV49+(1-EXP(-LN(2)/25))/(LN(2)/25)*Calculateur!AQ50*Calculateur!AS50*VLOOKUP('Données projet'!$B$10,Paramètres!$A$1:$I$89,3,0)*0.475*44/12</f>
        <v>#N/A</v>
      </c>
      <c r="AW50" s="23" t="e">
        <f>EXP(-LN(2)/2)*AW49+(1-EXP(-LN(2)/2))/(LN(2)/2)*AQ50*AT50*VLOOKUP('Données projet'!$B$10,Paramètres!$A$1:$I$89,3,0)*0.475*44/12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28.703999999999986</v>
      </c>
      <c r="D51" s="12">
        <f t="shared" si="32"/>
        <v>8.9493189902812986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290.65719922322398</v>
      </c>
      <c r="H51" s="70">
        <f t="shared" si="1"/>
        <v>358.91286390807323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5.6843418860808015E-14</v>
      </c>
      <c r="O51" s="14">
        <f>N51*VLOOKUP('Données projet'!$B$9,Paramètres!$A$1:$I$89,3,0)*VLOOKUP('Données projet'!$B$9,Paramètres!$A$1:$I$89,5,0)</f>
        <v>3.3992364478763198E-14</v>
      </c>
      <c r="P51" s="14">
        <f t="shared" si="33"/>
        <v>5.790027782444094E-13</v>
      </c>
      <c r="Q51" s="22">
        <f t="shared" si="53"/>
        <v>1.0676332069095257E-12</v>
      </c>
      <c r="R51" s="62">
        <f t="shared" si="0"/>
        <v>293.33333333333439</v>
      </c>
      <c r="S51" s="62">
        <f ca="1">AVERAGE(OFFSET($R$3,0,0,'Données projet'!$E$9+1,1))-AVERAGE(OFFSET($H$3,0,0,'Données projet'!$E$9+1,1))</f>
        <v>157.21429387424644</v>
      </c>
      <c r="T51" s="62">
        <f t="shared" si="34"/>
        <v>264.58225136820056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76.588184823554258</v>
      </c>
      <c r="AA51" s="23">
        <f>EXP(-LN(2)/25)*AA50+(1-EXP(-LN(2)/25))/(LN(2)/25)*Calculateur!V51*Calculateur!X51*VLOOKUP('Données projet'!$B$9,Paramètres!$A$1:$I$89,3,0)*0.475*44/12</f>
        <v>2.0295738357073647</v>
      </c>
      <c r="AB51" s="23">
        <f>EXP(-LN(2)/2)*AB50+(1-EXP(-LN(2)/2))/(LN(2)/2)*V51*Y51*VLOOKUP('Données projet'!$B$9,Paramètres!$A$1:$I$89,3,0)*0.475*44/12</f>
        <v>2.1514035911895304</v>
      </c>
      <c r="AC51" s="24">
        <f t="shared" si="3"/>
        <v>80.76916225045116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projet'!$B$10,Paramètres!$A$1:$I$89,3,0)*VLOOKUP('Données projet'!$B$10,Paramètres!$A$1:$I$89,5,0)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projet'!$B$10,Paramètres!$A$1:$I$89,3,0)*0.475*44/12</f>
        <v>#N/A</v>
      </c>
      <c r="AV51" s="23" t="e">
        <f>EXP(-LN(2)/25)*AV50+(1-EXP(-LN(2)/25))/(LN(2)/25)*Calculateur!AQ51*Calculateur!AS51*VLOOKUP('Données projet'!$B$10,Paramètres!$A$1:$I$89,3,0)*0.475*44/12</f>
        <v>#N/A</v>
      </c>
      <c r="AW51" s="23" t="e">
        <f>EXP(-LN(2)/2)*AW50+(1-EXP(-LN(2)/2))/(LN(2)/2)*AQ51*AT51*VLOOKUP('Données projet'!$B$10,Paramètres!$A$1:$I$89,3,0)*0.475*44/12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29.301999999999985</v>
      </c>
      <c r="D52" s="12">
        <f t="shared" si="32"/>
        <v>9.1138628193922067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296.54350246548358</v>
      </c>
      <c r="H52" s="70">
        <f t="shared" si="1"/>
        <v>360.24096107710801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5.6843418860808015E-14</v>
      </c>
      <c r="O52" s="14">
        <f>N52*VLOOKUP('Données projet'!$B$9,Paramètres!$A$1:$I$89,3,0)*VLOOKUP('Données projet'!$B$9,Paramètres!$A$1:$I$89,5,0)</f>
        <v>3.3992364478763198E-14</v>
      </c>
      <c r="P52" s="14">
        <f t="shared" si="33"/>
        <v>5.790027782444094E-13</v>
      </c>
      <c r="Q52" s="22">
        <f t="shared" si="53"/>
        <v>1.0676332069095257E-12</v>
      </c>
      <c r="R52" s="62">
        <f t="shared" si="0"/>
        <v>293.33333333333439</v>
      </c>
      <c r="S52" s="62">
        <f ca="1">AVERAGE(OFFSET($R$3,0,0,'Données projet'!$E$9+1,1))-AVERAGE(OFFSET($H$3,0,0,'Données projet'!$E$9+1,1))</f>
        <v>157.21429387424644</v>
      </c>
      <c r="T52" s="62">
        <f t="shared" si="34"/>
        <v>264.58225136820056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75.086337233344466</v>
      </c>
      <c r="AA52" s="23">
        <f>EXP(-LN(2)/25)*AA51+(1-EXP(-LN(2)/25))/(LN(2)/25)*Calculateur!V52*Calculateur!X52*VLOOKUP('Données projet'!$B$9,Paramètres!$A$1:$I$89,3,0)*0.475*44/12</f>
        <v>1.9740750324392975</v>
      </c>
      <c r="AB52" s="23">
        <f>EXP(-LN(2)/2)*AB51+(1-EXP(-LN(2)/2))/(LN(2)/2)*V52*Y52*VLOOKUP('Données projet'!$B$9,Paramètres!$A$1:$I$89,3,0)*0.475*44/12</f>
        <v>1.5212720683992078</v>
      </c>
      <c r="AC52" s="24">
        <f t="shared" si="3"/>
        <v>78.581684334182981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projet'!$B$10,Paramètres!$A$1:$I$89,3,0)*VLOOKUP('Données projet'!$B$10,Paramètres!$A$1:$I$89,5,0)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projet'!$B$10,Paramètres!$A$1:$I$89,3,0)*0.475*44/12</f>
        <v>#N/A</v>
      </c>
      <c r="AV52" s="23" t="e">
        <f>EXP(-LN(2)/25)*AV51+(1-EXP(-LN(2)/25))/(LN(2)/25)*Calculateur!AQ52*Calculateur!AS52*VLOOKUP('Données projet'!$B$10,Paramètres!$A$1:$I$89,3,0)*0.475*44/12</f>
        <v>#N/A</v>
      </c>
      <c r="AW52" s="23" t="e">
        <f>EXP(-LN(2)/2)*AW51+(1-EXP(-LN(2)/2))/(LN(2)/2)*AQ52*AT52*VLOOKUP('Données projet'!$B$10,Paramètres!$A$1:$I$89,3,0)*0.475*44/12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29.899999999999984</v>
      </c>
      <c r="D53" s="12">
        <f t="shared" si="32"/>
        <v>9.2780162082062319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302.4267917826445</v>
      </c>
      <c r="H53" s="70">
        <f t="shared" si="1"/>
        <v>361.56837822929248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5.6843418860808015E-14</v>
      </c>
      <c r="O53" s="14">
        <f>N53*VLOOKUP('Données projet'!$B$9,Paramètres!$A$1:$I$89,3,0)*VLOOKUP('Données projet'!$B$9,Paramètres!$A$1:$I$89,5,0)</f>
        <v>3.3992364478763198E-14</v>
      </c>
      <c r="P53" s="14">
        <f t="shared" si="33"/>
        <v>5.790027782444094E-13</v>
      </c>
      <c r="Q53" s="22">
        <f t="shared" si="53"/>
        <v>1.0676332069095257E-12</v>
      </c>
      <c r="R53" s="62">
        <f t="shared" si="0"/>
        <v>293.33333333333439</v>
      </c>
      <c r="S53" s="62">
        <f ca="1">AVERAGE(OFFSET($R$3,0,0,'Données projet'!$E$9+1,1))-AVERAGE(OFFSET($H$3,0,0,'Données projet'!$E$9+1,1))</f>
        <v>157.21429387424644</v>
      </c>
      <c r="T53" s="62">
        <f t="shared" si="34"/>
        <v>264.58225136820056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73.613939958342101</v>
      </c>
      <c r="AA53" s="23">
        <f>EXP(-LN(2)/25)*AA52+(1-EXP(-LN(2)/25))/(LN(2)/25)*Calculateur!V53*Calculateur!X53*VLOOKUP('Données projet'!$B$9,Paramètres!$A$1:$I$89,3,0)*0.475*44/12</f>
        <v>1.9200938468651507</v>
      </c>
      <c r="AB53" s="23">
        <f>EXP(-LN(2)/2)*AB52+(1-EXP(-LN(2)/2))/(LN(2)/2)*V53*Y53*VLOOKUP('Données projet'!$B$9,Paramètres!$A$1:$I$89,3,0)*0.475*44/12</f>
        <v>1.0757017955947652</v>
      </c>
      <c r="AC53" s="24">
        <f t="shared" si="3"/>
        <v>76.609735600802026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projet'!$B$10,Paramètres!$A$1:$I$89,3,0)*VLOOKUP('Données projet'!$B$10,Paramètres!$A$1:$I$89,5,0)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projet'!$B$10,Paramètres!$A$1:$I$89,3,0)*0.475*44/12</f>
        <v>#N/A</v>
      </c>
      <c r="AV53" s="23" t="e">
        <f>EXP(-LN(2)/25)*AV52+(1-EXP(-LN(2)/25))/(LN(2)/25)*Calculateur!AQ53*Calculateur!AS53*VLOOKUP('Données projet'!$B$10,Paramètres!$A$1:$I$89,3,0)*0.475*44/12</f>
        <v>#N/A</v>
      </c>
      <c r="AW53" s="23" t="e">
        <f>EXP(-LN(2)/2)*AW52+(1-EXP(-LN(2)/2))/(LN(2)/2)*AQ53*AT53*VLOOKUP('Données projet'!$B$10,Paramètres!$A$1:$I$89,3,0)*0.475*44/12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30.497999999999983</v>
      </c>
      <c r="D54" s="12">
        <f t="shared" si="32"/>
        <v>9.4417878655064946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308.30713440040086</v>
      </c>
      <c r="H54" s="70">
        <f t="shared" si="1"/>
        <v>362.89513053242376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5.6843418860808015E-14</v>
      </c>
      <c r="O54" s="14">
        <f>N54*VLOOKUP('Données projet'!$B$9,Paramètres!$A$1:$I$89,3,0)*VLOOKUP('Données projet'!$B$9,Paramètres!$A$1:$I$89,5,0)</f>
        <v>3.3992364478763198E-14</v>
      </c>
      <c r="P54" s="14">
        <f t="shared" si="33"/>
        <v>5.790027782444094E-13</v>
      </c>
      <c r="Q54" s="22">
        <f t="shared" si="53"/>
        <v>1.0676332069095257E-12</v>
      </c>
      <c r="R54" s="62">
        <f t="shared" si="0"/>
        <v>293.33333333333439</v>
      </c>
      <c r="S54" s="62">
        <f ca="1">AVERAGE(OFFSET($R$3,0,0,'Données projet'!$E$9+1,1))-AVERAGE(OFFSET($H$3,0,0,'Données projet'!$E$9+1,1))</f>
        <v>157.21429387424644</v>
      </c>
      <c r="T54" s="62">
        <f t="shared" si="34"/>
        <v>264.58225136820056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72.170415495828877</v>
      </c>
      <c r="AA54" s="23">
        <f>EXP(-LN(2)/25)*AA53+(1-EXP(-LN(2)/25))/(LN(2)/25)*Calculateur!V54*Calculateur!X54*VLOOKUP('Données projet'!$B$9,Paramètres!$A$1:$I$89,3,0)*0.475*44/12</f>
        <v>1.8675887796492763</v>
      </c>
      <c r="AB54" s="23">
        <f>EXP(-LN(2)/2)*AB53+(1-EXP(-LN(2)/2))/(LN(2)/2)*V54*Y54*VLOOKUP('Données projet'!$B$9,Paramètres!$A$1:$I$89,3,0)*0.475*44/12</f>
        <v>0.76063603419960391</v>
      </c>
      <c r="AC54" s="24">
        <f t="shared" si="3"/>
        <v>74.798640309677765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projet'!$B$10,Paramètres!$A$1:$I$89,3,0)*VLOOKUP('Données projet'!$B$10,Paramètres!$A$1:$I$89,5,0)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projet'!$B$10,Paramètres!$A$1:$I$89,3,0)*0.475*44/12</f>
        <v>#N/A</v>
      </c>
      <c r="AV54" s="23" t="e">
        <f>EXP(-LN(2)/25)*AV53+(1-EXP(-LN(2)/25))/(LN(2)/25)*Calculateur!AQ54*Calculateur!AS54*VLOOKUP('Données projet'!$B$10,Paramètres!$A$1:$I$89,3,0)*0.475*44/12</f>
        <v>#N/A</v>
      </c>
      <c r="AW54" s="23" t="e">
        <f>EXP(-LN(2)/2)*AW53+(1-EXP(-LN(2)/2))/(LN(2)/2)*AQ54*AT54*VLOOKUP('Données projet'!$B$10,Paramètres!$A$1:$I$89,3,0)*0.475*44/12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31.095999999999982</v>
      </c>
      <c r="D55" s="12">
        <f t="shared" si="32"/>
        <v>9.6051861390214377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314.18459475735835</v>
      </c>
      <c r="H55" s="70">
        <f t="shared" si="1"/>
        <v>364.22123252546226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5.6843418860808015E-14</v>
      </c>
      <c r="O55" s="14">
        <f>N55*VLOOKUP('Données projet'!$B$9,Paramètres!$A$1:$I$89,3,0)*VLOOKUP('Données projet'!$B$9,Paramètres!$A$1:$I$89,5,0)</f>
        <v>3.3992364478763198E-14</v>
      </c>
      <c r="P55" s="14">
        <f t="shared" si="33"/>
        <v>5.790027782444094E-13</v>
      </c>
      <c r="Q55" s="22">
        <f t="shared" si="53"/>
        <v>1.0676332069095257E-12</v>
      </c>
      <c r="R55" s="62">
        <f t="shared" si="0"/>
        <v>293.33333333333439</v>
      </c>
      <c r="S55" s="62">
        <f ca="1">AVERAGE(OFFSET($R$3,0,0,'Données projet'!$E$9+1,1))-AVERAGE(OFFSET($H$3,0,0,'Données projet'!$E$9+1,1))</f>
        <v>157.21429387424644</v>
      </c>
      <c r="T55" s="62">
        <f t="shared" si="34"/>
        <v>264.58225136820056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70.755197667562555</v>
      </c>
      <c r="AA55" s="23">
        <f>EXP(-LN(2)/25)*AA54+(1-EXP(-LN(2)/25))/(LN(2)/25)*Calculateur!V55*Calculateur!X55*VLOOKUP('Données projet'!$B$9,Paramètres!$A$1:$I$89,3,0)*0.475*44/12</f>
        <v>1.8165194662575412</v>
      </c>
      <c r="AB55" s="23">
        <f>EXP(-LN(2)/2)*AB54+(1-EXP(-LN(2)/2))/(LN(2)/2)*V55*Y55*VLOOKUP('Données projet'!$B$9,Paramètres!$A$1:$I$89,3,0)*0.475*44/12</f>
        <v>0.5378508977973826</v>
      </c>
      <c r="AC55" s="24">
        <f t="shared" si="3"/>
        <v>73.109568031617485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projet'!$B$10,Paramètres!$A$1:$I$89,3,0)*VLOOKUP('Données projet'!$B$10,Paramètres!$A$1:$I$89,5,0)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projet'!$B$10,Paramètres!$A$1:$I$89,3,0)*0.475*44/12</f>
        <v>#N/A</v>
      </c>
      <c r="AV55" s="23" t="e">
        <f>EXP(-LN(2)/25)*AV54+(1-EXP(-LN(2)/25))/(LN(2)/25)*Calculateur!AQ55*Calculateur!AS55*VLOOKUP('Données projet'!$B$10,Paramètres!$A$1:$I$89,3,0)*0.475*44/12</f>
        <v>#N/A</v>
      </c>
      <c r="AW55" s="23" t="e">
        <f>EXP(-LN(2)/2)*AW54+(1-EXP(-LN(2)/2))/(LN(2)/2)*AQ55*AT55*VLOOKUP('Données projet'!$B$10,Paramètres!$A$1:$I$89,3,0)*0.475*44/12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31.693999999999981</v>
      </c>
      <c r="D56" s="12">
        <f t="shared" si="32"/>
        <v>9.768219037044215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320.05923467192008</v>
      </c>
      <c r="H56" s="70">
        <f t="shared" si="1"/>
        <v>365.54669815618524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5.6843418860808015E-14</v>
      </c>
      <c r="O56" s="14">
        <f>N56*VLOOKUP('Données projet'!$B$9,Paramètres!$A$1:$I$89,3,0)*VLOOKUP('Données projet'!$B$9,Paramètres!$A$1:$I$89,5,0)</f>
        <v>3.3992364478763198E-14</v>
      </c>
      <c r="P56" s="14">
        <f t="shared" si="33"/>
        <v>5.790027782444094E-13</v>
      </c>
      <c r="Q56" s="22">
        <f t="shared" si="53"/>
        <v>1.0676332069095257E-12</v>
      </c>
      <c r="R56" s="62">
        <f t="shared" si="0"/>
        <v>293.33333333333439</v>
      </c>
      <c r="S56" s="62">
        <f ca="1">AVERAGE(OFFSET($R$3,0,0,'Données projet'!$E$9+1,1))-AVERAGE(OFFSET($H$3,0,0,'Données projet'!$E$9+1,1))</f>
        <v>157.21429387424644</v>
      </c>
      <c r="T56" s="62">
        <f t="shared" si="34"/>
        <v>264.58225136820056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69.367731397710884</v>
      </c>
      <c r="AA56" s="23">
        <f>EXP(-LN(2)/25)*AA55+(1-EXP(-LN(2)/25))/(LN(2)/25)*Calculateur!V56*Calculateur!X56*VLOOKUP('Données projet'!$B$9,Paramètres!$A$1:$I$89,3,0)*0.475*44/12</f>
        <v>1.7668466459261218</v>
      </c>
      <c r="AB56" s="23">
        <f>EXP(-LN(2)/2)*AB55+(1-EXP(-LN(2)/2))/(LN(2)/2)*V56*Y56*VLOOKUP('Données projet'!$B$9,Paramètres!$A$1:$I$89,3,0)*0.475*44/12</f>
        <v>0.38031801709980195</v>
      </c>
      <c r="AC56" s="24">
        <f t="shared" si="3"/>
        <v>71.514896060736802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projet'!$B$10,Paramètres!$A$1:$I$89,3,0)*VLOOKUP('Données projet'!$B$10,Paramètres!$A$1:$I$89,5,0)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projet'!$B$10,Paramètres!$A$1:$I$89,3,0)*0.475*44/12</f>
        <v>#N/A</v>
      </c>
      <c r="AV56" s="23" t="e">
        <f>EXP(-LN(2)/25)*AV55+(1-EXP(-LN(2)/25))/(LN(2)/25)*Calculateur!AQ56*Calculateur!AS56*VLOOKUP('Données projet'!$B$10,Paramètres!$A$1:$I$89,3,0)*0.475*44/12</f>
        <v>#N/A</v>
      </c>
      <c r="AW56" s="23" t="e">
        <f>EXP(-LN(2)/2)*AW55+(1-EXP(-LN(2)/2))/(LN(2)/2)*AQ56*AT56*VLOOKUP('Données projet'!$B$10,Paramètres!$A$1:$I$89,3,0)*0.475*44/12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32.29199999999998</v>
      </c>
      <c r="D57" s="12">
        <f t="shared" si="32"/>
        <v>9.9308942483743348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325.93111349622279</v>
      </c>
      <c r="H57" s="70">
        <f t="shared" si="1"/>
        <v>366.87154081591859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5.6843418860808015E-14</v>
      </c>
      <c r="O57" s="14">
        <f>N57*VLOOKUP('Données projet'!$B$9,Paramètres!$A$1:$I$89,3,0)*VLOOKUP('Données projet'!$B$9,Paramètres!$A$1:$I$89,5,0)</f>
        <v>3.3992364478763198E-14</v>
      </c>
      <c r="P57" s="14">
        <f t="shared" si="33"/>
        <v>5.790027782444094E-13</v>
      </c>
      <c r="Q57" s="22">
        <f t="shared" si="53"/>
        <v>1.0676332069095257E-12</v>
      </c>
      <c r="R57" s="62">
        <f t="shared" si="0"/>
        <v>293.33333333333439</v>
      </c>
      <c r="S57" s="62">
        <f ca="1">AVERAGE(OFFSET($R$3,0,0,'Données projet'!$E$9+1,1))-AVERAGE(OFFSET($H$3,0,0,'Données projet'!$E$9+1,1))</f>
        <v>157.21429387424644</v>
      </c>
      <c r="T57" s="62">
        <f t="shared" si="34"/>
        <v>264.58225136820056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68.007472495140149</v>
      </c>
      <c r="AA57" s="23">
        <f>EXP(-LN(2)/25)*AA56+(1-EXP(-LN(2)/25))/(LN(2)/25)*Calculateur!V57*Calculateur!X57*VLOOKUP('Données projet'!$B$9,Paramètres!$A$1:$I$89,3,0)*0.475*44/12</f>
        <v>1.7185321314788451</v>
      </c>
      <c r="AB57" s="23">
        <f>EXP(-LN(2)/2)*AB56+(1-EXP(-LN(2)/2))/(LN(2)/2)*V57*Y57*VLOOKUP('Données projet'!$B$9,Paramètres!$A$1:$I$89,3,0)*0.475*44/12</f>
        <v>0.2689254488986913</v>
      </c>
      <c r="AC57" s="24">
        <f t="shared" si="3"/>
        <v>69.994930075517672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projet'!$B$10,Paramètres!$A$1:$I$89,3,0)*VLOOKUP('Données projet'!$B$10,Paramètres!$A$1:$I$89,5,0)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projet'!$B$10,Paramètres!$A$1:$I$89,3,0)*0.475*44/12</f>
        <v>#N/A</v>
      </c>
      <c r="AV57" s="23" t="e">
        <f>EXP(-LN(2)/25)*AV56+(1-EXP(-LN(2)/25))/(LN(2)/25)*Calculateur!AQ57*Calculateur!AS57*VLOOKUP('Données projet'!$B$10,Paramètres!$A$1:$I$89,3,0)*0.475*44/12</f>
        <v>#N/A</v>
      </c>
      <c r="AW57" s="23" t="e">
        <f>EXP(-LN(2)/2)*AW56+(1-EXP(-LN(2)/2))/(LN(2)/2)*AQ57*AT57*VLOOKUP('Données projet'!$B$10,Paramètres!$A$1:$I$89,3,0)*0.475*44/12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32.889999999999979</v>
      </c>
      <c r="D58" s="12">
        <f t="shared" si="32"/>
        <v>10.093219160740317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331.80028825834614</v>
      </c>
      <c r="H58" s="70">
        <f t="shared" si="1"/>
        <v>368.19577337162264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5.6843418860808015E-14</v>
      </c>
      <c r="O58" s="14">
        <f>N58*VLOOKUP('Données projet'!$B$9,Paramètres!$A$1:$I$89,3,0)*VLOOKUP('Données projet'!$B$9,Paramètres!$A$1:$I$89,5,0)</f>
        <v>3.3992364478763198E-14</v>
      </c>
      <c r="P58" s="14">
        <f t="shared" si="33"/>
        <v>5.790027782444094E-13</v>
      </c>
      <c r="Q58" s="22">
        <f t="shared" si="53"/>
        <v>1.0676332069095257E-12</v>
      </c>
      <c r="R58" s="62">
        <f t="shared" si="0"/>
        <v>293.33333333333439</v>
      </c>
      <c r="S58" s="62">
        <f ca="1">AVERAGE(OFFSET($R$3,0,0,'Données projet'!$E$9+1,1))-AVERAGE(OFFSET($H$3,0,0,'Données projet'!$E$9+1,1))</f>
        <v>157.21429387424644</v>
      </c>
      <c r="T58" s="62">
        <f t="shared" si="34"/>
        <v>264.58225136820056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66.673887439972816</v>
      </c>
      <c r="AA58" s="23">
        <f>EXP(-LN(2)/25)*AA57+(1-EXP(-LN(2)/25))/(LN(2)/25)*Calculateur!V58*Calculateur!X58*VLOOKUP('Données projet'!$B$9,Paramètres!$A$1:$I$89,3,0)*0.475*44/12</f>
        <v>1.6715387799698791</v>
      </c>
      <c r="AB58" s="23">
        <f>EXP(-LN(2)/2)*AB57+(1-EXP(-LN(2)/2))/(LN(2)/2)*V58*Y58*VLOOKUP('Données projet'!$B$9,Paramètres!$A$1:$I$89,3,0)*0.475*44/12</f>
        <v>0.19015900854990098</v>
      </c>
      <c r="AC58" s="24">
        <f t="shared" si="3"/>
        <v>68.535585228492593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projet'!$B$10,Paramètres!$A$1:$I$89,3,0)*VLOOKUP('Données projet'!$B$10,Paramètres!$A$1:$I$89,5,0)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projet'!$B$10,Paramètres!$A$1:$I$89,3,0)*0.475*44/12</f>
        <v>#N/A</v>
      </c>
      <c r="AV58" s="23" t="e">
        <f>EXP(-LN(2)/25)*AV57+(1-EXP(-LN(2)/25))/(LN(2)/25)*Calculateur!AQ58*Calculateur!AS58*VLOOKUP('Données projet'!$B$10,Paramètres!$A$1:$I$89,3,0)*0.475*44/12</f>
        <v>#N/A</v>
      </c>
      <c r="AW58" s="23" t="e">
        <f>EXP(-LN(2)/2)*AW57+(1-EXP(-LN(2)/2))/(LN(2)/2)*AQ58*AT58*VLOOKUP('Données projet'!$B$10,Paramètres!$A$1:$I$89,3,0)*0.475*44/12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33.487999999999978</v>
      </c>
      <c r="D59" s="12">
        <f t="shared" si="32"/>
        <v>10.255200877844658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337.66681379388842</v>
      </c>
      <c r="H59" s="70">
        <f t="shared" si="1"/>
        <v>369.51940819557939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5.6843418860808015E-14</v>
      </c>
      <c r="O59" s="14">
        <f>N59*VLOOKUP('Données projet'!$B$9,Paramètres!$A$1:$I$89,3,0)*VLOOKUP('Données projet'!$B$9,Paramètres!$A$1:$I$89,5,0)</f>
        <v>3.3992364478763198E-14</v>
      </c>
      <c r="P59" s="14">
        <f t="shared" si="33"/>
        <v>5.790027782444094E-13</v>
      </c>
      <c r="Q59" s="22">
        <f t="shared" si="53"/>
        <v>1.0676332069095257E-12</v>
      </c>
      <c r="R59" s="62">
        <f t="shared" si="0"/>
        <v>293.33333333333439</v>
      </c>
      <c r="S59" s="62">
        <f ca="1">AVERAGE(OFFSET($R$3,0,0,'Données projet'!$E$9+1,1))-AVERAGE(OFFSET($H$3,0,0,'Données projet'!$E$9+1,1))</f>
        <v>157.21429387424644</v>
      </c>
      <c r="T59" s="62">
        <f t="shared" si="34"/>
        <v>264.58225136820056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65.366453174330744</v>
      </c>
      <c r="AA59" s="23">
        <f>EXP(-LN(2)/25)*AA58+(1-EXP(-LN(2)/25))/(LN(2)/25)*Calculateur!V59*Calculateur!X59*VLOOKUP('Données projet'!$B$9,Paramètres!$A$1:$I$89,3,0)*0.475*44/12</f>
        <v>1.6258304641291987</v>
      </c>
      <c r="AB59" s="23">
        <f>EXP(-LN(2)/2)*AB58+(1-EXP(-LN(2)/2))/(LN(2)/2)*V59*Y59*VLOOKUP('Données projet'!$B$9,Paramètres!$A$1:$I$89,3,0)*0.475*44/12</f>
        <v>0.13446272444934565</v>
      </c>
      <c r="AC59" s="24">
        <f t="shared" si="3"/>
        <v>67.126746362909287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projet'!$B$10,Paramètres!$A$1:$I$89,3,0)*VLOOKUP('Données projet'!$B$10,Paramètres!$A$1:$I$89,5,0)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projet'!$B$10,Paramètres!$A$1:$I$89,3,0)*0.475*44/12</f>
        <v>#N/A</v>
      </c>
      <c r="AV59" s="23" t="e">
        <f>EXP(-LN(2)/25)*AV58+(1-EXP(-LN(2)/25))/(LN(2)/25)*Calculateur!AQ59*Calculateur!AS59*VLOOKUP('Données projet'!$B$10,Paramètres!$A$1:$I$89,3,0)*0.475*44/12</f>
        <v>#N/A</v>
      </c>
      <c r="AW59" s="23" t="e">
        <f>EXP(-LN(2)/2)*AW58+(1-EXP(-LN(2)/2))/(LN(2)/2)*AQ59*AT59*VLOOKUP('Données projet'!$B$10,Paramètres!$A$1:$I$89,3,0)*0.475*44/12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34.085999999999977</v>
      </c>
      <c r="D60" s="12">
        <f t="shared" si="32"/>
        <v>10.41684623515679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343.53074286787682</v>
      </c>
      <c r="H60" s="70">
        <f t="shared" si="1"/>
        <v>370.842457192898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5.6843418860808015E-14</v>
      </c>
      <c r="O60" s="14">
        <f>N60*VLOOKUP('Données projet'!$B$9,Paramètres!$A$1:$I$89,3,0)*VLOOKUP('Données projet'!$B$9,Paramètres!$A$1:$I$89,5,0)</f>
        <v>3.3992364478763198E-14</v>
      </c>
      <c r="P60" s="14">
        <f t="shared" si="33"/>
        <v>5.790027782444094E-13</v>
      </c>
      <c r="Q60" s="22">
        <f t="shared" si="53"/>
        <v>1.0676332069095257E-12</v>
      </c>
      <c r="R60" s="62">
        <f t="shared" si="0"/>
        <v>293.33333333333439</v>
      </c>
      <c r="S60" s="62">
        <f ca="1">AVERAGE(OFFSET($R$3,0,0,'Données projet'!$E$9+1,1))-AVERAGE(OFFSET($H$3,0,0,'Données projet'!$E$9+1,1))</f>
        <v>157.21429387424644</v>
      </c>
      <c r="T60" s="62">
        <f t="shared" si="34"/>
        <v>264.58225136820056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64.084656897181759</v>
      </c>
      <c r="AA60" s="23">
        <f>EXP(-LN(2)/25)*AA59+(1-EXP(-LN(2)/25))/(LN(2)/25)*Calculateur!V60*Calculateur!X60*VLOOKUP('Données projet'!$B$9,Paramètres!$A$1:$I$89,3,0)*0.475*44/12</f>
        <v>1.5813720445888775</v>
      </c>
      <c r="AB60" s="23">
        <f>EXP(-LN(2)/2)*AB59+(1-EXP(-LN(2)/2))/(LN(2)/2)*V60*Y60*VLOOKUP('Données projet'!$B$9,Paramètres!$A$1:$I$89,3,0)*0.475*44/12</f>
        <v>9.5079504274950488E-2</v>
      </c>
      <c r="AC60" s="24">
        <f t="shared" si="3"/>
        <v>65.761108446045583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projet'!$B$10,Paramètres!$A$1:$I$89,3,0)*VLOOKUP('Données projet'!$B$10,Paramètres!$A$1:$I$89,5,0)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projet'!$B$10,Paramètres!$A$1:$I$89,3,0)*0.475*44/12</f>
        <v>#N/A</v>
      </c>
      <c r="AV60" s="23" t="e">
        <f>EXP(-LN(2)/25)*AV59+(1-EXP(-LN(2)/25))/(LN(2)/25)*Calculateur!AQ60*Calculateur!AS60*VLOOKUP('Données projet'!$B$10,Paramètres!$A$1:$I$89,3,0)*0.475*44/12</f>
        <v>#N/A</v>
      </c>
      <c r="AW60" s="23" t="e">
        <f>EXP(-LN(2)/2)*AW59+(1-EXP(-LN(2)/2))/(LN(2)/2)*AQ60*AT60*VLOOKUP('Données projet'!$B$10,Paramètres!$A$1:$I$89,3,0)*0.475*44/12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34.683999999999976</v>
      </c>
      <c r="D61" s="12">
        <f t="shared" si="32"/>
        <v>10.578161814566396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349.39212628788073</v>
      </c>
      <c r="H61" s="70">
        <f t="shared" si="1"/>
        <v>372.16493182703641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5.6843418860808015E-14</v>
      </c>
      <c r="O61" s="14">
        <f>N61*VLOOKUP('Données projet'!$B$9,Paramètres!$A$1:$I$89,3,0)*VLOOKUP('Données projet'!$B$9,Paramètres!$A$1:$I$89,5,0)</f>
        <v>3.3992364478763198E-14</v>
      </c>
      <c r="P61" s="14">
        <f t="shared" si="33"/>
        <v>5.790027782444094E-13</v>
      </c>
      <c r="Q61" s="22">
        <f t="shared" si="53"/>
        <v>1.0676332069095257E-12</v>
      </c>
      <c r="R61" s="62">
        <f t="shared" si="0"/>
        <v>293.33333333333439</v>
      </c>
      <c r="S61" s="62">
        <f ca="1">AVERAGE(OFFSET($R$3,0,0,'Données projet'!$E$9+1,1))-AVERAGE(OFFSET($H$3,0,0,'Données projet'!$E$9+1,1))</f>
        <v>157.21429387424644</v>
      </c>
      <c r="T61" s="62">
        <f t="shared" si="34"/>
        <v>264.58225136820056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62.827995863209132</v>
      </c>
      <c r="AA61" s="23">
        <f>EXP(-LN(2)/25)*AA60+(1-EXP(-LN(2)/25))/(LN(2)/25)*Calculateur!V61*Calculateur!X61*VLOOKUP('Données projet'!$B$9,Paramètres!$A$1:$I$89,3,0)*0.475*44/12</f>
        <v>1.5381293428688532</v>
      </c>
      <c r="AB61" s="23">
        <f>EXP(-LN(2)/2)*AB60+(1-EXP(-LN(2)/2))/(LN(2)/2)*V61*Y61*VLOOKUP('Données projet'!$B$9,Paramètres!$A$1:$I$89,3,0)*0.475*44/12</f>
        <v>6.7231362224672825E-2</v>
      </c>
      <c r="AC61" s="24">
        <f t="shared" si="3"/>
        <v>64.433356568302656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projet'!$B$10,Paramètres!$A$1:$I$89,3,0)*VLOOKUP('Données projet'!$B$10,Paramètres!$A$1:$I$89,5,0)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projet'!$B$10,Paramètres!$A$1:$I$89,3,0)*0.475*44/12</f>
        <v>#N/A</v>
      </c>
      <c r="AV61" s="23" t="e">
        <f>EXP(-LN(2)/25)*AV60+(1-EXP(-LN(2)/25))/(LN(2)/25)*Calculateur!AQ61*Calculateur!AS61*VLOOKUP('Données projet'!$B$10,Paramètres!$A$1:$I$89,3,0)*0.475*44/12</f>
        <v>#N/A</v>
      </c>
      <c r="AW61" s="23" t="e">
        <f>EXP(-LN(2)/2)*AW60+(1-EXP(-LN(2)/2))/(LN(2)/2)*AQ61*AT61*VLOOKUP('Données projet'!$B$10,Paramètres!$A$1:$I$89,3,0)*0.475*44/12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35.281999999999975</v>
      </c>
      <c r="D62" s="12">
        <f t="shared" si="32"/>
        <v>10.739153957997569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355.25101300910387</v>
      </c>
      <c r="H62" s="70">
        <f t="shared" si="1"/>
        <v>373.48684314351237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5.6843418860808015E-14</v>
      </c>
      <c r="O62" s="14">
        <f>N62*VLOOKUP('Données projet'!$B$9,Paramètres!$A$1:$I$89,3,0)*VLOOKUP('Données projet'!$B$9,Paramètres!$A$1:$I$89,5,0)</f>
        <v>3.3992364478763198E-14</v>
      </c>
      <c r="P62" s="14">
        <f t="shared" si="33"/>
        <v>5.790027782444094E-13</v>
      </c>
      <c r="Q62" s="22">
        <f t="shared" si="53"/>
        <v>1.0676332069095257E-12</v>
      </c>
      <c r="R62" s="62">
        <f t="shared" si="0"/>
        <v>293.33333333333439</v>
      </c>
      <c r="S62" s="62">
        <f ca="1">AVERAGE(OFFSET($R$3,0,0,'Données projet'!$E$9+1,1))-AVERAGE(OFFSET($H$3,0,0,'Données projet'!$E$9+1,1))</f>
        <v>157.21429387424644</v>
      </c>
      <c r="T62" s="62">
        <f t="shared" si="34"/>
        <v>264.58225136820056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61.595977185625166</v>
      </c>
      <c r="AA62" s="23">
        <f>EXP(-LN(2)/25)*AA61+(1-EXP(-LN(2)/25))/(LN(2)/25)*Calculateur!V62*Calculateur!X62*VLOOKUP('Données projet'!$B$9,Paramètres!$A$1:$I$89,3,0)*0.475*44/12</f>
        <v>1.4960691151013976</v>
      </c>
      <c r="AB62" s="23">
        <f>EXP(-LN(2)/2)*AB61+(1-EXP(-LN(2)/2))/(LN(2)/2)*V62*Y62*VLOOKUP('Données projet'!$B$9,Paramètres!$A$1:$I$89,3,0)*0.475*44/12</f>
        <v>4.7539752137475244E-2</v>
      </c>
      <c r="AC62" s="24">
        <f t="shared" si="3"/>
        <v>63.13958605286404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projet'!$B$10,Paramètres!$A$1:$I$89,3,0)*VLOOKUP('Données projet'!$B$10,Paramètres!$A$1:$I$89,5,0)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projet'!$B$10,Paramètres!$A$1:$I$89,3,0)*0.475*44/12</f>
        <v>#N/A</v>
      </c>
      <c r="AV62" s="23" t="e">
        <f>EXP(-LN(2)/25)*AV61+(1-EXP(-LN(2)/25))/(LN(2)/25)*Calculateur!AQ62*Calculateur!AS62*VLOOKUP('Données projet'!$B$10,Paramètres!$A$1:$I$89,3,0)*0.475*44/12</f>
        <v>#N/A</v>
      </c>
      <c r="AW62" s="23" t="e">
        <f>EXP(-LN(2)/2)*AW61+(1-EXP(-LN(2)/2))/(LN(2)/2)*AQ62*AT62*VLOOKUP('Données projet'!$B$10,Paramètres!$A$1:$I$89,3,0)*0.475*44/12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35.879999999999974</v>
      </c>
      <c r="D63" s="12">
        <f t="shared" si="32"/>
        <v>10.89982878007377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361.10745023214821</v>
      </c>
      <c r="H63" s="70">
        <f t="shared" si="1"/>
        <v>374.80820179196172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5.6843418860808015E-14</v>
      </c>
      <c r="O63" s="14">
        <f>N63*VLOOKUP('Données projet'!$B$9,Paramètres!$A$1:$I$89,3,0)*VLOOKUP('Données projet'!$B$9,Paramètres!$A$1:$I$89,5,0)</f>
        <v>3.3992364478763198E-14</v>
      </c>
      <c r="P63" s="14">
        <f t="shared" si="33"/>
        <v>5.790027782444094E-13</v>
      </c>
      <c r="Q63" s="22">
        <f t="shared" si="53"/>
        <v>1.0676332069095257E-12</v>
      </c>
      <c r="R63" s="62">
        <f t="shared" si="0"/>
        <v>293.33333333333439</v>
      </c>
      <c r="S63" s="62">
        <f ca="1">AVERAGE(OFFSET($R$3,0,0,'Données projet'!$E$9+1,1))-AVERAGE(OFFSET($H$3,0,0,'Données projet'!$E$9+1,1))</f>
        <v>157.21429387424644</v>
      </c>
      <c r="T63" s="62">
        <f t="shared" si="34"/>
        <v>264.58225136820056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60.388117642851427</v>
      </c>
      <c r="AA63" s="23">
        <f>EXP(-LN(2)/25)*AA62+(1-EXP(-LN(2)/25))/(LN(2)/25)*Calculateur!V63*Calculateur!X63*VLOOKUP('Données projet'!$B$9,Paramètres!$A$1:$I$89,3,0)*0.475*44/12</f>
        <v>1.4551590264740943</v>
      </c>
      <c r="AB63" s="23">
        <f>EXP(-LN(2)/2)*AB62+(1-EXP(-LN(2)/2))/(LN(2)/2)*V63*Y63*VLOOKUP('Données projet'!$B$9,Paramètres!$A$1:$I$89,3,0)*0.475*44/12</f>
        <v>3.3615681112336412E-2</v>
      </c>
      <c r="AC63" s="24">
        <f t="shared" si="3"/>
        <v>61.876892350437856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projet'!$B$10,Paramètres!$A$1:$I$89,3,0)*VLOOKUP('Données projet'!$B$10,Paramètres!$A$1:$I$89,5,0)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projet'!$B$10,Paramètres!$A$1:$I$89,3,0)*0.475*44/12</f>
        <v>#N/A</v>
      </c>
      <c r="AV63" s="23" t="e">
        <f>EXP(-LN(2)/25)*AV62+(1-EXP(-LN(2)/25))/(LN(2)/25)*Calculateur!AQ63*Calculateur!AS63*VLOOKUP('Données projet'!$B$10,Paramètres!$A$1:$I$89,3,0)*0.475*44/12</f>
        <v>#N/A</v>
      </c>
      <c r="AW63" s="23" t="e">
        <f>EXP(-LN(2)/2)*AW62+(1-EXP(-LN(2)/2))/(LN(2)/2)*AQ63*AT63*VLOOKUP('Données projet'!$B$10,Paramètres!$A$1:$I$89,3,0)*0.475*44/12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36.477999999999973</v>
      </c>
      <c r="D64" s="12">
        <f t="shared" si="32"/>
        <v>11.060192179914555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366.96148349407707</v>
      </c>
      <c r="H64" s="70">
        <f t="shared" si="1"/>
        <v>376.12901804668445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5.6843418860808015E-14</v>
      </c>
      <c r="O64" s="14">
        <f>N64*VLOOKUP('Données projet'!$B$9,Paramètres!$A$1:$I$89,3,0)*VLOOKUP('Données projet'!$B$9,Paramètres!$A$1:$I$89,5,0)</f>
        <v>3.3992364478763198E-14</v>
      </c>
      <c r="P64" s="14">
        <f t="shared" si="33"/>
        <v>5.790027782444094E-13</v>
      </c>
      <c r="Q64" s="22">
        <f t="shared" si="53"/>
        <v>1.0676332069095257E-12</v>
      </c>
      <c r="R64" s="62">
        <f t="shared" si="0"/>
        <v>293.33333333333439</v>
      </c>
      <c r="S64" s="62">
        <f ca="1">AVERAGE(OFFSET($R$3,0,0,'Données projet'!$E$9+1,1))-AVERAGE(OFFSET($H$3,0,0,'Données projet'!$E$9+1,1))</f>
        <v>157.21429387424644</v>
      </c>
      <c r="T64" s="62">
        <f t="shared" si="34"/>
        <v>264.58225136820056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59.203943488989907</v>
      </c>
      <c r="AA64" s="23">
        <f>EXP(-LN(2)/25)*AA63+(1-EXP(-LN(2)/25))/(LN(2)/25)*Calculateur!V64*Calculateur!X64*VLOOKUP('Données projet'!$B$9,Paramètres!$A$1:$I$89,3,0)*0.475*44/12</f>
        <v>1.4153676263716728</v>
      </c>
      <c r="AB64" s="23">
        <f>EXP(-LN(2)/2)*AB63+(1-EXP(-LN(2)/2))/(LN(2)/2)*V64*Y64*VLOOKUP('Données projet'!$B$9,Paramètres!$A$1:$I$89,3,0)*0.475*44/12</f>
        <v>2.3769876068737622E-2</v>
      </c>
      <c r="AC64" s="24">
        <f t="shared" si="3"/>
        <v>60.643080991430324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projet'!$B$10,Paramètres!$A$1:$I$89,3,0)*VLOOKUP('Données projet'!$B$10,Paramètres!$A$1:$I$89,5,0)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projet'!$B$10,Paramètres!$A$1:$I$89,3,0)*0.475*44/12</f>
        <v>#N/A</v>
      </c>
      <c r="AV64" s="23" t="e">
        <f>EXP(-LN(2)/25)*AV63+(1-EXP(-LN(2)/25))/(LN(2)/25)*Calculateur!AQ64*Calculateur!AS64*VLOOKUP('Données projet'!$B$10,Paramètres!$A$1:$I$89,3,0)*0.475*44/12</f>
        <v>#N/A</v>
      </c>
      <c r="AW64" s="23" t="e">
        <f>EXP(-LN(2)/2)*AW63+(1-EXP(-LN(2)/2))/(LN(2)/2)*AQ64*AT64*VLOOKUP('Données projet'!$B$10,Paramètres!$A$1:$I$89,3,0)*0.475*44/12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37.075999999999972</v>
      </c>
      <c r="D65" s="12">
        <f t="shared" si="32"/>
        <v>11.220249852136822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372.81315675333667</v>
      </c>
      <c r="H65" s="70">
        <f t="shared" si="1"/>
        <v>377.44930182580492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5.6843418860808015E-14</v>
      </c>
      <c r="O65" s="14">
        <f>N65*VLOOKUP('Données projet'!$B$9,Paramètres!$A$1:$I$89,3,0)*VLOOKUP('Données projet'!$B$9,Paramètres!$A$1:$I$89,5,0)</f>
        <v>3.3992364478763198E-14</v>
      </c>
      <c r="P65" s="14">
        <f t="shared" si="33"/>
        <v>5.790027782444094E-13</v>
      </c>
      <c r="Q65" s="22">
        <f t="shared" si="53"/>
        <v>1.0676332069095257E-12</v>
      </c>
      <c r="R65" s="62">
        <f t="shared" si="0"/>
        <v>293.33333333333439</v>
      </c>
      <c r="S65" s="62">
        <f ca="1">AVERAGE(OFFSET($R$3,0,0,'Données projet'!$E$9+1,1))-AVERAGE(OFFSET($H$3,0,0,'Données projet'!$E$9+1,1))</f>
        <v>157.21429387424644</v>
      </c>
      <c r="T65" s="62">
        <f t="shared" si="34"/>
        <v>264.58225136820056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58.042990268010691</v>
      </c>
      <c r="AA65" s="23">
        <f>EXP(-LN(2)/25)*AA64+(1-EXP(-LN(2)/25))/(LN(2)/25)*Calculateur!V65*Calculateur!X65*VLOOKUP('Données projet'!$B$9,Paramètres!$A$1:$I$89,3,0)*0.475*44/12</f>
        <v>1.3766643241975909</v>
      </c>
      <c r="AB65" s="23">
        <f>EXP(-LN(2)/2)*AB64+(1-EXP(-LN(2)/2))/(LN(2)/2)*V65*Y65*VLOOKUP('Données projet'!$B$9,Paramètres!$A$1:$I$89,3,0)*0.475*44/12</f>
        <v>1.6807840556168206E-2</v>
      </c>
      <c r="AC65" s="24">
        <f t="shared" si="3"/>
        <v>59.436462432764451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projet'!$B$10,Paramètres!$A$1:$I$89,3,0)*VLOOKUP('Données projet'!$B$10,Paramètres!$A$1:$I$89,5,0)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projet'!$B$10,Paramètres!$A$1:$I$89,3,0)*0.475*44/12</f>
        <v>#N/A</v>
      </c>
      <c r="AV65" s="23" t="e">
        <f>EXP(-LN(2)/25)*AV64+(1-EXP(-LN(2)/25))/(LN(2)/25)*Calculateur!AQ65*Calculateur!AS65*VLOOKUP('Données projet'!$B$10,Paramètres!$A$1:$I$89,3,0)*0.475*44/12</f>
        <v>#N/A</v>
      </c>
      <c r="AW65" s="23" t="e">
        <f>EXP(-LN(2)/2)*AW64+(1-EXP(-LN(2)/2))/(LN(2)/2)*AQ65*AT65*VLOOKUP('Données projet'!$B$10,Paramètres!$A$1:$I$89,3,0)*0.475*44/12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66" s="12">
        <f t="shared" si="32"/>
        <v>11.380007297126165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378.6625124690438</v>
      </c>
      <c r="H66" s="70">
        <f t="shared" si="1"/>
        <v>378.76906270916135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5.6843418860808015E-14</v>
      </c>
      <c r="O66" s="14">
        <f>N66*VLOOKUP('Données projet'!$B$9,Paramètres!$A$1:$I$89,3,0)*VLOOKUP('Données projet'!$B$9,Paramètres!$A$1:$I$89,5,0)</f>
        <v>3.3992364478763198E-14</v>
      </c>
      <c r="P66" s="14">
        <f t="shared" si="33"/>
        <v>5.790027782444094E-13</v>
      </c>
      <c r="Q66" s="22">
        <f t="shared" si="53"/>
        <v>1.0676332069095257E-12</v>
      </c>
      <c r="R66" s="62">
        <f t="shared" si="0"/>
        <v>293.33333333333439</v>
      </c>
      <c r="S66" s="62">
        <f ca="1">AVERAGE(OFFSET($R$3,0,0,'Données projet'!$E$9+1,1))-AVERAGE(OFFSET($H$3,0,0,'Données projet'!$E$9+1,1))</f>
        <v>157.21429387424644</v>
      </c>
      <c r="T66" s="62">
        <f t="shared" si="34"/>
        <v>264.58225136820056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56.904802631583337</v>
      </c>
      <c r="AA66" s="23">
        <f>EXP(-LN(2)/25)*AA65+(1-EXP(-LN(2)/25))/(LN(2)/25)*Calculateur!V66*Calculateur!X66*VLOOKUP('Données projet'!$B$9,Paramètres!$A$1:$I$89,3,0)*0.475*44/12</f>
        <v>1.3390193658567773</v>
      </c>
      <c r="AB66" s="23">
        <f>EXP(-LN(2)/2)*AB65+(1-EXP(-LN(2)/2))/(LN(2)/2)*V66*Y66*VLOOKUP('Données projet'!$B$9,Paramètres!$A$1:$I$89,3,0)*0.475*44/12</f>
        <v>1.1884938034368811E-2</v>
      </c>
      <c r="AC66" s="24">
        <f t="shared" si="3"/>
        <v>58.255706935474485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projet'!$B$10,Paramètres!$A$1:$I$89,3,0)*VLOOKUP('Données projet'!$B$10,Paramètres!$A$1:$I$89,5,0)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projet'!$B$10,Paramètres!$A$1:$I$89,3,0)*0.475*44/12</f>
        <v>#N/A</v>
      </c>
      <c r="AV66" s="23" t="e">
        <f>EXP(-LN(2)/25)*AV65+(1-EXP(-LN(2)/25))/(LN(2)/25)*Calculateur!AQ66*Calculateur!AS66*VLOOKUP('Données projet'!$B$10,Paramètres!$A$1:$I$89,3,0)*0.475*44/12</f>
        <v>#N/A</v>
      </c>
      <c r="AW66" s="23" t="e">
        <f>EXP(-LN(2)/2)*AW65+(1-EXP(-LN(2)/2))/(LN(2)/2)*AQ66*AT66*VLOOKUP('Données projet'!$B$10,Paramètres!$A$1:$I$89,3,0)*0.475*44/12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38.27199999999997</v>
      </c>
      <c r="D67" s="12">
        <f t="shared" si="32"/>
        <v>11.539469830637575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384.50959167509694</v>
      </c>
      <c r="H67" s="70">
        <f t="shared" si="1"/>
        <v>380.08830995502706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5.6843418860808015E-14</v>
      </c>
      <c r="O67" s="14">
        <f>N67*VLOOKUP('Données projet'!$B$9,Paramètres!$A$1:$I$89,3,0)*VLOOKUP('Données projet'!$B$9,Paramètres!$A$1:$I$89,5,0)</f>
        <v>3.3992364478763198E-14</v>
      </c>
      <c r="P67" s="14">
        <f t="shared" si="33"/>
        <v>5.790027782444094E-13</v>
      </c>
      <c r="Q67" s="22">
        <f t="shared" ref="Q67:Q98" si="54">(O67+P67)*0.475*44/12</f>
        <v>1.0676332069095257E-12</v>
      </c>
      <c r="R67" s="62">
        <f t="shared" ref="R67:R130" si="55">Q67+(I67+J67)*44/12</f>
        <v>293.33333333333439</v>
      </c>
      <c r="S67" s="62">
        <f ca="1">AVERAGE(OFFSET($R$3,0,0,'Données projet'!$E$9+1,1))-AVERAGE(OFFSET($H$3,0,0,'Données projet'!$E$9+1,1))</f>
        <v>157.21429387424644</v>
      </c>
      <c r="T67" s="62">
        <f t="shared" si="34"/>
        <v>264.58225136820056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55.788934160480416</v>
      </c>
      <c r="AA67" s="23">
        <f>EXP(-LN(2)/25)*AA66+(1-EXP(-LN(2)/25))/(LN(2)/25)*Calculateur!V67*Calculateur!X67*VLOOKUP('Données projet'!$B$9,Paramètres!$A$1:$I$89,3,0)*0.475*44/12</f>
        <v>1.3024038108814555</v>
      </c>
      <c r="AB67" s="23">
        <f>EXP(-LN(2)/2)*AB66+(1-EXP(-LN(2)/2))/(LN(2)/2)*V67*Y67*VLOOKUP('Données projet'!$B$9,Paramètres!$A$1:$I$89,3,0)*0.475*44/12</f>
        <v>8.4039202780841031E-3</v>
      </c>
      <c r="AC67" s="24">
        <f t="shared" si="3"/>
        <v>57.099741891639958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projet'!$B$10,Paramètres!$A$1:$I$89,3,0)*VLOOKUP('Données projet'!$B$10,Paramètres!$A$1:$I$89,5,0)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projet'!$B$10,Paramètres!$A$1:$I$89,3,0)*0.475*44/12</f>
        <v>#N/A</v>
      </c>
      <c r="AV67" s="23" t="e">
        <f>EXP(-LN(2)/25)*AV66+(1-EXP(-LN(2)/25))/(LN(2)/25)*Calculateur!AQ67*Calculateur!AS67*VLOOKUP('Données projet'!$B$10,Paramètres!$A$1:$I$89,3,0)*0.475*44/12</f>
        <v>#N/A</v>
      </c>
      <c r="AW67" s="23" t="e">
        <f>EXP(-LN(2)/2)*AW66+(1-EXP(-LN(2)/2))/(LN(2)/2)*AQ67*AT67*VLOOKUP('Données projet'!$B$10,Paramètres!$A$1:$I$89,3,0)*0.475*44/12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38.869999999999969</v>
      </c>
      <c r="D68" s="12">
        <f t="shared" si="32"/>
        <v>11.698642592779086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390.35443404952258</v>
      </c>
      <c r="H68" s="70">
        <f t="shared" ref="H68:H131" si="56">(B68+E68+F68)*44/12+(C68+D68)*0.475*44/12</f>
        <v>381.40705251575685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5.6843418860808015E-14</v>
      </c>
      <c r="O68" s="14">
        <f>N68*VLOOKUP('Données projet'!$B$9,Paramètres!$A$1:$I$89,3,0)*VLOOKUP('Données projet'!$B$9,Paramètres!$A$1:$I$89,5,0)</f>
        <v>3.3992364478763198E-14</v>
      </c>
      <c r="P68" s="14">
        <f t="shared" si="33"/>
        <v>5.790027782444094E-13</v>
      </c>
      <c r="Q68" s="22">
        <f t="shared" si="54"/>
        <v>1.0676332069095257E-12</v>
      </c>
      <c r="R68" s="62">
        <f t="shared" si="55"/>
        <v>293.33333333333439</v>
      </c>
      <c r="S68" s="62">
        <f ca="1">AVERAGE(OFFSET($R$3,0,0,'Données projet'!$E$9+1,1))-AVERAGE(OFFSET($H$3,0,0,'Données projet'!$E$9+1,1))</f>
        <v>157.21429387424644</v>
      </c>
      <c r="T68" s="62">
        <f t="shared" si="34"/>
        <v>264.58225136820056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54.694947189483258</v>
      </c>
      <c r="AA68" s="23">
        <f>EXP(-LN(2)/25)*AA67+(1-EXP(-LN(2)/25))/(LN(2)/25)*Calculateur!V68*Calculateur!X68*VLOOKUP('Données projet'!$B$9,Paramètres!$A$1:$I$89,3,0)*0.475*44/12</f>
        <v>1.2667895101824624</v>
      </c>
      <c r="AB68" s="23">
        <f>EXP(-LN(2)/2)*AB67+(1-EXP(-LN(2)/2))/(LN(2)/2)*V68*Y68*VLOOKUP('Données projet'!$B$9,Paramètres!$A$1:$I$89,3,0)*0.475*44/12</f>
        <v>5.9424690171844055E-3</v>
      </c>
      <c r="AC68" s="24">
        <f t="shared" ref="AC68:AC131" si="57">SUM(Z68:AB68)</f>
        <v>55.967679168682906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projet'!$B$10,Paramètres!$A$1:$I$89,3,0)*VLOOKUP('Données projet'!$B$10,Paramètres!$A$1:$I$89,5,0)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projet'!$B$10,Paramètres!$A$1:$I$89,3,0)*0.475*44/12</f>
        <v>#N/A</v>
      </c>
      <c r="AV68" s="23" t="e">
        <f>EXP(-LN(2)/25)*AV67+(1-EXP(-LN(2)/25))/(LN(2)/25)*Calculateur!AQ68*Calculateur!AS68*VLOOKUP('Données projet'!$B$10,Paramètres!$A$1:$I$89,3,0)*0.475*44/12</f>
        <v>#N/A</v>
      </c>
      <c r="AW68" s="23" t="e">
        <f>EXP(-LN(2)/2)*AW67+(1-EXP(-LN(2)/2))/(LN(2)/2)*AQ68*AT68*VLOOKUP('Données projet'!$B$10,Paramètres!$A$1:$I$89,3,0)*0.475*44/12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39.467999999999968</v>
      </c>
      <c r="D69" s="12">
        <f t="shared" ref="D69:D132" si="86">IFERROR(EXP(-1.0587+0.8836*LN(C69)+0.284),0)</f>
        <v>11.857530556426889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396.19707797943539</v>
      </c>
      <c r="H69" s="70">
        <f t="shared" si="56"/>
        <v>382.7252990524434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5.6843418860808015E-14</v>
      </c>
      <c r="O69" s="14">
        <f>N69*VLOOKUP('Données projet'!$B$9,Paramètres!$A$1:$I$89,3,0)*VLOOKUP('Données projet'!$B$9,Paramètres!$A$1:$I$89,5,0)</f>
        <v>3.3992364478763198E-14</v>
      </c>
      <c r="P69" s="14">
        <f t="shared" ref="P69:P132" si="87">EXP(-1.0587+0.8836*LN(O69)+0.284)</f>
        <v>5.790027782444094E-13</v>
      </c>
      <c r="Q69" s="22">
        <f t="shared" si="54"/>
        <v>1.0676332069095257E-12</v>
      </c>
      <c r="R69" s="62">
        <f t="shared" si="55"/>
        <v>293.33333333333439</v>
      </c>
      <c r="S69" s="62">
        <f ca="1">AVERAGE(OFFSET($R$3,0,0,'Données projet'!$E$9+1,1))-AVERAGE(OFFSET($H$3,0,0,'Données projet'!$E$9+1,1))</f>
        <v>157.21429387424644</v>
      </c>
      <c r="T69" s="62">
        <f t="shared" ref="T69:T132" si="88">$T$3</f>
        <v>264.58225136820056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53.62241263572119</v>
      </c>
      <c r="AA69" s="23">
        <f>EXP(-LN(2)/25)*AA68+(1-EXP(-LN(2)/25))/(LN(2)/25)*Calculateur!V69*Calculateur!X69*VLOOKUP('Données projet'!$B$9,Paramètres!$A$1:$I$89,3,0)*0.475*44/12</f>
        <v>1.232149084408958</v>
      </c>
      <c r="AB69" s="23">
        <f>EXP(-LN(2)/2)*AB68+(1-EXP(-LN(2)/2))/(LN(2)/2)*V69*Y69*VLOOKUP('Données projet'!$B$9,Paramètres!$A$1:$I$89,3,0)*0.475*44/12</f>
        <v>4.2019601390420516E-3</v>
      </c>
      <c r="AC69" s="24">
        <f t="shared" si="57"/>
        <v>54.858763680269192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projet'!$B$10,Paramètres!$A$1:$I$89,3,0)*VLOOKUP('Données projet'!$B$10,Paramètres!$A$1:$I$89,5,0)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projet'!$B$10,Paramètres!$A$1:$I$89,3,0)*0.475*44/12</f>
        <v>#N/A</v>
      </c>
      <c r="AV69" s="23" t="e">
        <f>EXP(-LN(2)/25)*AV68+(1-EXP(-LN(2)/25))/(LN(2)/25)*Calculateur!AQ69*Calculateur!AS69*VLOOKUP('Données projet'!$B$10,Paramètres!$A$1:$I$89,3,0)*0.475*44/12</f>
        <v>#N/A</v>
      </c>
      <c r="AW69" s="23" t="e">
        <f>EXP(-LN(2)/2)*AW68+(1-EXP(-LN(2)/2))/(LN(2)/2)*AQ69*AT69*VLOOKUP('Données projet'!$B$10,Paramètres!$A$1:$I$89,3,0)*0.475*44/12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40.065999999999967</v>
      </c>
      <c r="D70" s="12">
        <f t="shared" si="86"/>
        <v>12.016138535115942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402.03756062194742</v>
      </c>
      <c r="H70" s="70">
        <f t="shared" si="56"/>
        <v>384.04305794866019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5.6843418860808015E-14</v>
      </c>
      <c r="O70" s="14">
        <f>N70*VLOOKUP('Données projet'!$B$9,Paramètres!$A$1:$I$89,3,0)*VLOOKUP('Données projet'!$B$9,Paramètres!$A$1:$I$89,5,0)</f>
        <v>3.3992364478763198E-14</v>
      </c>
      <c r="P70" s="14">
        <f t="shared" si="87"/>
        <v>5.790027782444094E-13</v>
      </c>
      <c r="Q70" s="22">
        <f t="shared" si="54"/>
        <v>1.0676332069095257E-12</v>
      </c>
      <c r="R70" s="62">
        <f t="shared" si="55"/>
        <v>293.33333333333439</v>
      </c>
      <c r="S70" s="62">
        <f ca="1">AVERAGE(OFFSET($R$3,0,0,'Données projet'!$E$9+1,1))-AVERAGE(OFFSET($H$3,0,0,'Données projet'!$E$9+1,1))</f>
        <v>157.21429387424644</v>
      </c>
      <c r="T70" s="62">
        <f t="shared" si="88"/>
        <v>264.58225136820056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52.570909830376912</v>
      </c>
      <c r="AA70" s="23">
        <f>EXP(-LN(2)/25)*AA69+(1-EXP(-LN(2)/25))/(LN(2)/25)*Calculateur!V70*Calculateur!X70*VLOOKUP('Données projet'!$B$9,Paramètres!$A$1:$I$89,3,0)*0.475*44/12</f>
        <v>1.1984559028998909</v>
      </c>
      <c r="AB70" s="23">
        <f>EXP(-LN(2)/2)*AB69+(1-EXP(-LN(2)/2))/(LN(2)/2)*V70*Y70*VLOOKUP('Données projet'!$B$9,Paramètres!$A$1:$I$89,3,0)*0.475*44/12</f>
        <v>2.9712345085922028E-3</v>
      </c>
      <c r="AC70" s="24">
        <f t="shared" si="57"/>
        <v>53.772336967785392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projet'!$B$10,Paramètres!$A$1:$I$89,3,0)*VLOOKUP('Données projet'!$B$10,Paramètres!$A$1:$I$89,5,0)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projet'!$B$10,Paramètres!$A$1:$I$89,3,0)*0.475*44/12</f>
        <v>#N/A</v>
      </c>
      <c r="AV70" s="23" t="e">
        <f>EXP(-LN(2)/25)*AV69+(1-EXP(-LN(2)/25))/(LN(2)/25)*Calculateur!AQ70*Calculateur!AS70*VLOOKUP('Données projet'!$B$10,Paramètres!$A$1:$I$89,3,0)*0.475*44/12</f>
        <v>#N/A</v>
      </c>
      <c r="AW70" s="23" t="e">
        <f>EXP(-LN(2)/2)*AW69+(1-EXP(-LN(2)/2))/(LN(2)/2)*AQ70*AT70*VLOOKUP('Données projet'!$B$10,Paramètres!$A$1:$I$89,3,0)*0.475*44/12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40.663999999999966</v>
      </c>
      <c r="D71" s="12">
        <f t="shared" si="86"/>
        <v>12.174471190446138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407.8759179613383</v>
      </c>
      <c r="H71" s="70">
        <f t="shared" si="56"/>
        <v>385.36033732336028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5.6843418860808015E-14</v>
      </c>
      <c r="O71" s="14">
        <f>N71*VLOOKUP('Données projet'!$B$9,Paramètres!$A$1:$I$89,3,0)*VLOOKUP('Données projet'!$B$9,Paramètres!$A$1:$I$89,5,0)</f>
        <v>3.3992364478763198E-14</v>
      </c>
      <c r="P71" s="14">
        <f t="shared" si="87"/>
        <v>5.790027782444094E-13</v>
      </c>
      <c r="Q71" s="22">
        <f t="shared" si="54"/>
        <v>1.0676332069095257E-12</v>
      </c>
      <c r="R71" s="62">
        <f t="shared" si="55"/>
        <v>293.33333333333439</v>
      </c>
      <c r="S71" s="62">
        <f ca="1">AVERAGE(OFFSET($R$3,0,0,'Données projet'!$E$9+1,1))-AVERAGE(OFFSET($H$3,0,0,'Données projet'!$E$9+1,1))</f>
        <v>157.21429387424644</v>
      </c>
      <c r="T71" s="62">
        <f t="shared" si="88"/>
        <v>264.58225136820056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51.540026353692056</v>
      </c>
      <c r="AA71" s="23">
        <f>EXP(-LN(2)/25)*AA70+(1-EXP(-LN(2)/25))/(LN(2)/25)*Calculateur!V71*Calculateur!X71*VLOOKUP('Données projet'!$B$9,Paramètres!$A$1:$I$89,3,0)*0.475*44/12</f>
        <v>1.1656840632110366</v>
      </c>
      <c r="AB71" s="23">
        <f>EXP(-LN(2)/2)*AB70+(1-EXP(-LN(2)/2))/(LN(2)/2)*V71*Y71*VLOOKUP('Données projet'!$B$9,Paramètres!$A$1:$I$89,3,0)*0.475*44/12</f>
        <v>2.1009800695210258E-3</v>
      </c>
      <c r="AC71" s="24">
        <f t="shared" si="57"/>
        <v>52.707811396972616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projet'!$B$10,Paramètres!$A$1:$I$89,3,0)*VLOOKUP('Données projet'!$B$10,Paramètres!$A$1:$I$89,5,0)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projet'!$B$10,Paramètres!$A$1:$I$89,3,0)*0.475*44/12</f>
        <v>#N/A</v>
      </c>
      <c r="AV71" s="23" t="e">
        <f>EXP(-LN(2)/25)*AV70+(1-EXP(-LN(2)/25))/(LN(2)/25)*Calculateur!AQ71*Calculateur!AS71*VLOOKUP('Données projet'!$B$10,Paramètres!$A$1:$I$89,3,0)*0.475*44/12</f>
        <v>#N/A</v>
      </c>
      <c r="AW71" s="23" t="e">
        <f>EXP(-LN(2)/2)*AW70+(1-EXP(-LN(2)/2))/(LN(2)/2)*AQ71*AT71*VLOOKUP('Données projet'!$B$10,Paramètres!$A$1:$I$89,3,0)*0.475*44/12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41.261999999999965</v>
      </c>
      <c r="D72" s="12">
        <f t="shared" si="86"/>
        <v>12.332533039040444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413.71218486276803</v>
      </c>
      <c r="H72" s="70">
        <f t="shared" si="56"/>
        <v>386.67714504299533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5.6843418860808015E-14</v>
      </c>
      <c r="O72" s="14">
        <f>N72*VLOOKUP('Données projet'!$B$9,Paramètres!$A$1:$I$89,3,0)*VLOOKUP('Données projet'!$B$9,Paramètres!$A$1:$I$89,5,0)</f>
        <v>3.3992364478763198E-14</v>
      </c>
      <c r="P72" s="14">
        <f t="shared" si="87"/>
        <v>5.790027782444094E-13</v>
      </c>
      <c r="Q72" s="22">
        <f t="shared" si="54"/>
        <v>1.0676332069095257E-12</v>
      </c>
      <c r="R72" s="62">
        <f t="shared" si="55"/>
        <v>293.33333333333439</v>
      </c>
      <c r="S72" s="62">
        <f ca="1">AVERAGE(OFFSET($R$3,0,0,'Données projet'!$E$9+1,1))-AVERAGE(OFFSET($H$3,0,0,'Données projet'!$E$9+1,1))</f>
        <v>157.21429387424644</v>
      </c>
      <c r="T72" s="62">
        <f t="shared" si="88"/>
        <v>264.58225136820056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50.529357873208156</v>
      </c>
      <c r="AA72" s="23">
        <f>EXP(-LN(2)/25)*AA71+(1-EXP(-LN(2)/25))/(LN(2)/25)*Calculateur!V72*Calculateur!X72*VLOOKUP('Données projet'!$B$9,Paramètres!$A$1:$I$89,3,0)*0.475*44/12</f>
        <v>1.1338083712018701</v>
      </c>
      <c r="AB72" s="23">
        <f>EXP(-LN(2)/2)*AB71+(1-EXP(-LN(2)/2))/(LN(2)/2)*V72*Y72*VLOOKUP('Données projet'!$B$9,Paramètres!$A$1:$I$89,3,0)*0.475*44/12</f>
        <v>1.4856172542961014E-3</v>
      </c>
      <c r="AC72" s="24">
        <f t="shared" si="57"/>
        <v>51.664651861664325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projet'!$B$10,Paramètres!$A$1:$I$89,3,0)*VLOOKUP('Données projet'!$B$10,Paramètres!$A$1:$I$89,5,0)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projet'!$B$10,Paramètres!$A$1:$I$89,3,0)*0.475*44/12</f>
        <v>#N/A</v>
      </c>
      <c r="AV72" s="23" t="e">
        <f>EXP(-LN(2)/25)*AV71+(1-EXP(-LN(2)/25))/(LN(2)/25)*Calculateur!AQ72*Calculateur!AS72*VLOOKUP('Données projet'!$B$10,Paramètres!$A$1:$I$89,3,0)*0.475*44/12</f>
        <v>#N/A</v>
      </c>
      <c r="AW72" s="23" t="e">
        <f>EXP(-LN(2)/2)*AW71+(1-EXP(-LN(2)/2))/(LN(2)/2)*AQ72*AT72*VLOOKUP('Données projet'!$B$10,Paramètres!$A$1:$I$89,3,0)*0.475*44/12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41.859999999999964</v>
      </c>
      <c r="D73" s="12">
        <f t="shared" si="86"/>
        <v>12.490328459088207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419.5463951227859</v>
      </c>
      <c r="H73" s="70">
        <f t="shared" si="56"/>
        <v>387.99348873291189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5.6843418860808015E-14</v>
      </c>
      <c r="O73" s="14">
        <f>N73*VLOOKUP('Données projet'!$B$9,Paramètres!$A$1:$I$89,3,0)*VLOOKUP('Données projet'!$B$9,Paramètres!$A$1:$I$89,5,0)</f>
        <v>3.3992364478763198E-14</v>
      </c>
      <c r="P73" s="14">
        <f t="shared" si="87"/>
        <v>5.790027782444094E-13</v>
      </c>
      <c r="Q73" s="22">
        <f t="shared" si="54"/>
        <v>1.0676332069095257E-12</v>
      </c>
      <c r="R73" s="62">
        <f t="shared" si="55"/>
        <v>293.33333333333439</v>
      </c>
      <c r="S73" s="62">
        <f ca="1">AVERAGE(OFFSET($R$3,0,0,'Données projet'!$E$9+1,1))-AVERAGE(OFFSET($H$3,0,0,'Données projet'!$E$9+1,1))</f>
        <v>157.21429387424644</v>
      </c>
      <c r="T73" s="62">
        <f t="shared" si="88"/>
        <v>264.58225136820056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49.538507985179635</v>
      </c>
      <c r="AA73" s="23">
        <f>EXP(-LN(2)/25)*AA72+(1-EXP(-LN(2)/25))/(LN(2)/25)*Calculateur!V73*Calculateur!X73*VLOOKUP('Données projet'!$B$9,Paramètres!$A$1:$I$89,3,0)*0.475*44/12</f>
        <v>1.1028043216669641</v>
      </c>
      <c r="AB73" s="23">
        <f>EXP(-LN(2)/2)*AB72+(1-EXP(-LN(2)/2))/(LN(2)/2)*V73*Y73*VLOOKUP('Données projet'!$B$9,Paramètres!$A$1:$I$89,3,0)*0.475*44/12</f>
        <v>1.0504900347605129E-3</v>
      </c>
      <c r="AC73" s="24">
        <f t="shared" si="57"/>
        <v>50.642362796881358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projet'!$B$10,Paramètres!$A$1:$I$89,3,0)*VLOOKUP('Données projet'!$B$10,Paramètres!$A$1:$I$89,5,0)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projet'!$B$10,Paramètres!$A$1:$I$89,3,0)*0.475*44/12</f>
        <v>#N/A</v>
      </c>
      <c r="AV73" s="23" t="e">
        <f>EXP(-LN(2)/25)*AV72+(1-EXP(-LN(2)/25))/(LN(2)/25)*Calculateur!AQ73*Calculateur!AS73*VLOOKUP('Données projet'!$B$10,Paramètres!$A$1:$I$89,3,0)*0.475*44/12</f>
        <v>#N/A</v>
      </c>
      <c r="AW73" s="23" t="e">
        <f>EXP(-LN(2)/2)*AW72+(1-EXP(-LN(2)/2))/(LN(2)/2)*AQ73*AT73*VLOOKUP('Données projet'!$B$10,Paramètres!$A$1:$I$89,3,0)*0.475*44/12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42.457999999999963</v>
      </c>
      <c r="D74" s="12">
        <f t="shared" si="86"/>
        <v>12.64786169650392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425.37858151687209</v>
      </c>
      <c r="H74" s="70">
        <f t="shared" si="56"/>
        <v>389.30937578807755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5.6843418860808015E-14</v>
      </c>
      <c r="O74" s="14">
        <f>N74*VLOOKUP('Données projet'!$B$9,Paramètres!$A$1:$I$89,3,0)*VLOOKUP('Données projet'!$B$9,Paramètres!$A$1:$I$89,5,0)</f>
        <v>3.3992364478763198E-14</v>
      </c>
      <c r="P74" s="14">
        <f t="shared" si="87"/>
        <v>5.790027782444094E-13</v>
      </c>
      <c r="Q74" s="22">
        <f t="shared" si="54"/>
        <v>1.0676332069095257E-12</v>
      </c>
      <c r="R74" s="62">
        <f t="shared" si="55"/>
        <v>293.33333333333439</v>
      </c>
      <c r="S74" s="62">
        <f ca="1">AVERAGE(OFFSET($R$3,0,0,'Données projet'!$E$9+1,1))-AVERAGE(OFFSET($H$3,0,0,'Données projet'!$E$9+1,1))</f>
        <v>157.21429387424644</v>
      </c>
      <c r="T74" s="62">
        <f t="shared" si="88"/>
        <v>264.58225136820056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48.567088059096598</v>
      </c>
      <c r="AA74" s="23">
        <f>EXP(-LN(2)/25)*AA73+(1-EXP(-LN(2)/25))/(LN(2)/25)*Calculateur!V74*Calculateur!X74*VLOOKUP('Données projet'!$B$9,Paramètres!$A$1:$I$89,3,0)*0.475*44/12</f>
        <v>1.0726480794970221</v>
      </c>
      <c r="AB74" s="23">
        <f>EXP(-LN(2)/2)*AB73+(1-EXP(-LN(2)/2))/(LN(2)/2)*V74*Y74*VLOOKUP('Données projet'!$B$9,Paramètres!$A$1:$I$89,3,0)*0.475*44/12</f>
        <v>7.4280862714805069E-4</v>
      </c>
      <c r="AC74" s="24">
        <f t="shared" si="57"/>
        <v>49.640478947220764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projet'!$B$10,Paramètres!$A$1:$I$89,3,0)*VLOOKUP('Données projet'!$B$10,Paramètres!$A$1:$I$89,5,0)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projet'!$B$10,Paramètres!$A$1:$I$89,3,0)*0.475*44/12</f>
        <v>#N/A</v>
      </c>
      <c r="AV74" s="23" t="e">
        <f>EXP(-LN(2)/25)*AV73+(1-EXP(-LN(2)/25))/(LN(2)/25)*Calculateur!AQ74*Calculateur!AS74*VLOOKUP('Données projet'!$B$10,Paramètres!$A$1:$I$89,3,0)*0.475*44/12</f>
        <v>#N/A</v>
      </c>
      <c r="AW74" s="23" t="e">
        <f>EXP(-LN(2)/2)*AW73+(1-EXP(-LN(2)/2))/(LN(2)/2)*AQ74*AT74*VLOOKUP('Données projet'!$B$10,Paramètres!$A$1:$I$89,3,0)*0.475*44/12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43.055999999999962</v>
      </c>
      <c r="D75" s="12">
        <f t="shared" si="86"/>
        <v>12.80513687072917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431.20877584422487</v>
      </c>
      <c r="H75" s="70">
        <f t="shared" si="56"/>
        <v>390.62481338318656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5.6843418860808015E-14</v>
      </c>
      <c r="O75" s="14">
        <f>N75*VLOOKUP('Données projet'!$B$9,Paramètres!$A$1:$I$89,3,0)*VLOOKUP('Données projet'!$B$9,Paramètres!$A$1:$I$89,5,0)</f>
        <v>3.3992364478763198E-14</v>
      </c>
      <c r="P75" s="14">
        <f t="shared" si="87"/>
        <v>5.790027782444094E-13</v>
      </c>
      <c r="Q75" s="22">
        <f t="shared" si="54"/>
        <v>1.0676332069095257E-12</v>
      </c>
      <c r="R75" s="62">
        <f t="shared" si="55"/>
        <v>293.33333333333439</v>
      </c>
      <c r="S75" s="62">
        <f ca="1">AVERAGE(OFFSET($R$3,0,0,'Données projet'!$E$9+1,1))-AVERAGE(OFFSET($H$3,0,0,'Données projet'!$E$9+1,1))</f>
        <v>157.21429387424644</v>
      </c>
      <c r="T75" s="62">
        <f t="shared" si="88"/>
        <v>264.58225136820056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47.614717085256402</v>
      </c>
      <c r="AA75" s="23">
        <f>EXP(-LN(2)/25)*AA74+(1-EXP(-LN(2)/25))/(LN(2)/25)*Calculateur!V75*Calculateur!X75*VLOOKUP('Données projet'!$B$9,Paramètres!$A$1:$I$89,3,0)*0.475*44/12</f>
        <v>1.0433164613550652</v>
      </c>
      <c r="AB75" s="23">
        <f>EXP(-LN(2)/2)*AB74+(1-EXP(-LN(2)/2))/(LN(2)/2)*V75*Y75*VLOOKUP('Données projet'!$B$9,Paramètres!$A$1:$I$89,3,0)*0.475*44/12</f>
        <v>5.2524501738025644E-4</v>
      </c>
      <c r="AC75" s="24">
        <f t="shared" si="57"/>
        <v>48.658558791628842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projet'!$B$10,Paramètres!$A$1:$I$89,3,0)*VLOOKUP('Données projet'!$B$10,Paramètres!$A$1:$I$89,5,0)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projet'!$B$10,Paramètres!$A$1:$I$89,3,0)*0.475*44/12</f>
        <v>#N/A</v>
      </c>
      <c r="AV75" s="23" t="e">
        <f>EXP(-LN(2)/25)*AV74+(1-EXP(-LN(2)/25))/(LN(2)/25)*Calculateur!AQ75*Calculateur!AS75*VLOOKUP('Données projet'!$B$10,Paramètres!$A$1:$I$89,3,0)*0.475*44/12</f>
        <v>#N/A</v>
      </c>
      <c r="AW75" s="23" t="e">
        <f>EXP(-LN(2)/2)*AW74+(1-EXP(-LN(2)/2))/(LN(2)/2)*AQ75*AT75*VLOOKUP('Données projet'!$B$10,Paramètres!$A$1:$I$89,3,0)*0.475*44/12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43.653999999999961</v>
      </c>
      <c r="D76" s="12">
        <f t="shared" si="86"/>
        <v>12.962157980203079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437.03700896998839</v>
      </c>
      <c r="H76" s="70">
        <f t="shared" si="56"/>
        <v>391.93980848218695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5.6843418860808015E-14</v>
      </c>
      <c r="O76" s="14">
        <f>N76*VLOOKUP('Données projet'!$B$9,Paramètres!$A$1:$I$89,3,0)*VLOOKUP('Données projet'!$B$9,Paramètres!$A$1:$I$89,5,0)</f>
        <v>3.3992364478763198E-14</v>
      </c>
      <c r="P76" s="14">
        <f t="shared" si="87"/>
        <v>5.790027782444094E-13</v>
      </c>
      <c r="Q76" s="22">
        <f t="shared" si="54"/>
        <v>1.0676332069095257E-12</v>
      </c>
      <c r="R76" s="62">
        <f t="shared" si="55"/>
        <v>293.33333333333439</v>
      </c>
      <c r="S76" s="62">
        <f ca="1">AVERAGE(OFFSET($R$3,0,0,'Données projet'!$E$9+1,1))-AVERAGE(OFFSET($H$3,0,0,'Données projet'!$E$9+1,1))</f>
        <v>157.21429387424644</v>
      </c>
      <c r="T76" s="62">
        <f t="shared" si="88"/>
        <v>264.58225136820056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46.681021525324276</v>
      </c>
      <c r="AA76" s="23">
        <f>EXP(-LN(2)/25)*AA75+(1-EXP(-LN(2)/25))/(LN(2)/25)*Calculateur!V76*Calculateur!X76*VLOOKUP('Données projet'!$B$9,Paramètres!$A$1:$I$89,3,0)*0.475*44/12</f>
        <v>1.0147869178536828</v>
      </c>
      <c r="AB76" s="23">
        <f>EXP(-LN(2)/2)*AB75+(1-EXP(-LN(2)/2))/(LN(2)/2)*V76*Y76*VLOOKUP('Données projet'!$B$9,Paramètres!$A$1:$I$89,3,0)*0.475*44/12</f>
        <v>3.7140431357402534E-4</v>
      </c>
      <c r="AC76" s="24">
        <f t="shared" si="57"/>
        <v>47.696179847491535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projet'!$B$10,Paramètres!$A$1:$I$89,3,0)*VLOOKUP('Données projet'!$B$10,Paramètres!$A$1:$I$89,5,0)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projet'!$B$10,Paramètres!$A$1:$I$89,3,0)*0.475*44/12</f>
        <v>#N/A</v>
      </c>
      <c r="AV76" s="23" t="e">
        <f>EXP(-LN(2)/25)*AV75+(1-EXP(-LN(2)/25))/(LN(2)/25)*Calculateur!AQ76*Calculateur!AS76*VLOOKUP('Données projet'!$B$10,Paramètres!$A$1:$I$89,3,0)*0.475*44/12</f>
        <v>#N/A</v>
      </c>
      <c r="AW76" s="23" t="e">
        <f>EXP(-LN(2)/2)*AW75+(1-EXP(-LN(2)/2))/(LN(2)/2)*AQ76*AT76*VLOOKUP('Données projet'!$B$10,Paramètres!$A$1:$I$89,3,0)*0.475*44/12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44.25199999999996</v>
      </c>
      <c r="D77" s="12">
        <f t="shared" si="86"/>
        <v>13.118928907524445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442.86331086510063</v>
      </c>
      <c r="H77" s="70">
        <f t="shared" si="56"/>
        <v>393.25436784727162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5.6843418860808015E-14</v>
      </c>
      <c r="O77" s="14">
        <f>N77*VLOOKUP('Données projet'!$B$9,Paramètres!$A$1:$I$89,3,0)*VLOOKUP('Données projet'!$B$9,Paramètres!$A$1:$I$89,5,0)</f>
        <v>3.3992364478763198E-14</v>
      </c>
      <c r="P77" s="14">
        <f t="shared" si="87"/>
        <v>5.790027782444094E-13</v>
      </c>
      <c r="Q77" s="22">
        <f t="shared" si="54"/>
        <v>1.0676332069095257E-12</v>
      </c>
      <c r="R77" s="62">
        <f t="shared" si="55"/>
        <v>293.33333333333439</v>
      </c>
      <c r="S77" s="62">
        <f ca="1">AVERAGE(OFFSET($R$3,0,0,'Données projet'!$E$9+1,1))-AVERAGE(OFFSET($H$3,0,0,'Données projet'!$E$9+1,1))</f>
        <v>157.21429387424644</v>
      </c>
      <c r="T77" s="62">
        <f t="shared" si="88"/>
        <v>264.58225136820056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45.765635165824364</v>
      </c>
      <c r="AA77" s="23">
        <f>EXP(-LN(2)/25)*AA76+(1-EXP(-LN(2)/25))/(LN(2)/25)*Calculateur!V77*Calculateur!X77*VLOOKUP('Données projet'!$B$9,Paramètres!$A$1:$I$89,3,0)*0.475*44/12</f>
        <v>0.98703751621964919</v>
      </c>
      <c r="AB77" s="23">
        <f>EXP(-LN(2)/2)*AB76+(1-EXP(-LN(2)/2))/(LN(2)/2)*V77*Y77*VLOOKUP('Données projet'!$B$9,Paramètres!$A$1:$I$89,3,0)*0.475*44/12</f>
        <v>2.6262250869012822E-4</v>
      </c>
      <c r="AC77" s="24">
        <f t="shared" si="57"/>
        <v>46.752935304552707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projet'!$B$10,Paramètres!$A$1:$I$89,3,0)*VLOOKUP('Données projet'!$B$10,Paramètres!$A$1:$I$89,5,0)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projet'!$B$10,Paramètres!$A$1:$I$89,3,0)*0.475*44/12</f>
        <v>#N/A</v>
      </c>
      <c r="AV77" s="23" t="e">
        <f>EXP(-LN(2)/25)*AV76+(1-EXP(-LN(2)/25))/(LN(2)/25)*Calculateur!AQ77*Calculateur!AS77*VLOOKUP('Données projet'!$B$10,Paramètres!$A$1:$I$89,3,0)*0.475*44/12</f>
        <v>#N/A</v>
      </c>
      <c r="AW77" s="23" t="e">
        <f>EXP(-LN(2)/2)*AW76+(1-EXP(-LN(2)/2))/(LN(2)/2)*AQ77*AT77*VLOOKUP('Données projet'!$B$10,Paramètres!$A$1:$I$89,3,0)*0.475*44/12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44.849999999999959</v>
      </c>
      <c r="D78" s="12">
        <f t="shared" si="86"/>
        <v>13.275453424326999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448.6877106439274</v>
      </c>
      <c r="H78" s="70">
        <f t="shared" si="56"/>
        <v>394.56849804736942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5.6843418860808015E-14</v>
      </c>
      <c r="O78" s="14">
        <f>N78*VLOOKUP('Données projet'!$B$9,Paramètres!$A$1:$I$89,3,0)*VLOOKUP('Données projet'!$B$9,Paramètres!$A$1:$I$89,5,0)</f>
        <v>3.3992364478763198E-14</v>
      </c>
      <c r="P78" s="14">
        <f t="shared" si="87"/>
        <v>5.790027782444094E-13</v>
      </c>
      <c r="Q78" s="22">
        <f t="shared" si="54"/>
        <v>1.0676332069095257E-12</v>
      </c>
      <c r="R78" s="62">
        <f t="shared" si="55"/>
        <v>293.33333333333439</v>
      </c>
      <c r="S78" s="62">
        <f ca="1">AVERAGE(OFFSET($R$3,0,0,'Données projet'!$E$9+1,1))-AVERAGE(OFFSET($H$3,0,0,'Données projet'!$E$9+1,1))</f>
        <v>157.21429387424644</v>
      </c>
      <c r="T78" s="62">
        <f t="shared" si="88"/>
        <v>264.58225136820056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44.868198974503692</v>
      </c>
      <c r="AA78" s="23">
        <f>EXP(-LN(2)/25)*AA77+(1-EXP(-LN(2)/25))/(LN(2)/25)*Calculateur!V78*Calculateur!X78*VLOOKUP('Données projet'!$B$9,Paramètres!$A$1:$I$89,3,0)*0.475*44/12</f>
        <v>0.96004692343257581</v>
      </c>
      <c r="AB78" s="23">
        <f>EXP(-LN(2)/2)*AB77+(1-EXP(-LN(2)/2))/(LN(2)/2)*V78*Y78*VLOOKUP('Données projet'!$B$9,Paramètres!$A$1:$I$89,3,0)*0.475*44/12</f>
        <v>1.8570215678701267E-4</v>
      </c>
      <c r="AC78" s="24">
        <f t="shared" si="57"/>
        <v>45.828431600093054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projet'!$B$10,Paramètres!$A$1:$I$89,3,0)*VLOOKUP('Données projet'!$B$10,Paramètres!$A$1:$I$89,5,0)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projet'!$B$10,Paramètres!$A$1:$I$89,3,0)*0.475*44/12</f>
        <v>#N/A</v>
      </c>
      <c r="AV78" s="23" t="e">
        <f>EXP(-LN(2)/25)*AV77+(1-EXP(-LN(2)/25))/(LN(2)/25)*Calculateur!AQ78*Calculateur!AS78*VLOOKUP('Données projet'!$B$10,Paramètres!$A$1:$I$89,3,0)*0.475*44/12</f>
        <v>#N/A</v>
      </c>
      <c r="AW78" s="23" t="e">
        <f>EXP(-LN(2)/2)*AW77+(1-EXP(-LN(2)/2))/(LN(2)/2)*AQ78*AT78*VLOOKUP('Données projet'!$B$10,Paramètres!$A$1:$I$89,3,0)*0.475*44/12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45.447999999999958</v>
      </c>
      <c r="D79" s="12">
        <f t="shared" si="86"/>
        <v>13.431735195887123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454.51023659983008</v>
      </c>
      <c r="H79" s="70">
        <f t="shared" si="56"/>
        <v>395.88220546616998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5.6843418860808015E-14</v>
      </c>
      <c r="O79" s="14">
        <f>N79*VLOOKUP('Données projet'!$B$9,Paramètres!$A$1:$I$89,3,0)*VLOOKUP('Données projet'!$B$9,Paramètres!$A$1:$I$89,5,0)</f>
        <v>3.3992364478763198E-14</v>
      </c>
      <c r="P79" s="14">
        <f t="shared" si="87"/>
        <v>5.790027782444094E-13</v>
      </c>
      <c r="Q79" s="22">
        <f t="shared" si="54"/>
        <v>1.0676332069095257E-12</v>
      </c>
      <c r="R79" s="62">
        <f t="shared" si="55"/>
        <v>293.33333333333439</v>
      </c>
      <c r="S79" s="62">
        <f ca="1">AVERAGE(OFFSET($R$3,0,0,'Données projet'!$E$9+1,1))-AVERAGE(OFFSET($H$3,0,0,'Données projet'!$E$9+1,1))</f>
        <v>157.21429387424644</v>
      </c>
      <c r="T79" s="62">
        <f t="shared" si="88"/>
        <v>264.58225136820056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43.988360959512789</v>
      </c>
      <c r="AA79" s="23">
        <f>EXP(-LN(2)/25)*AA78+(1-EXP(-LN(2)/25))/(LN(2)/25)*Calculateur!V79*Calculateur!X79*VLOOKUP('Données projet'!$B$9,Paramètres!$A$1:$I$89,3,0)*0.475*44/12</f>
        <v>0.93379438982463858</v>
      </c>
      <c r="AB79" s="23">
        <f>EXP(-LN(2)/2)*AB78+(1-EXP(-LN(2)/2))/(LN(2)/2)*V79*Y79*VLOOKUP('Données projet'!$B$9,Paramètres!$A$1:$I$89,3,0)*0.475*44/12</f>
        <v>1.3131125434506411E-4</v>
      </c>
      <c r="AC79" s="24">
        <f t="shared" si="57"/>
        <v>44.922286660591773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projet'!$B$10,Paramètres!$A$1:$I$89,3,0)*VLOOKUP('Données projet'!$B$10,Paramètres!$A$1:$I$89,5,0)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projet'!$B$10,Paramètres!$A$1:$I$89,3,0)*0.475*44/12</f>
        <v>#N/A</v>
      </c>
      <c r="AV79" s="23" t="e">
        <f>EXP(-LN(2)/25)*AV78+(1-EXP(-LN(2)/25))/(LN(2)/25)*Calculateur!AQ79*Calculateur!AS79*VLOOKUP('Données projet'!$B$10,Paramètres!$A$1:$I$89,3,0)*0.475*44/12</f>
        <v>#N/A</v>
      </c>
      <c r="AW79" s="23" t="e">
        <f>EXP(-LN(2)/2)*AW78+(1-EXP(-LN(2)/2))/(LN(2)/2)*AQ79*AT79*VLOOKUP('Données projet'!$B$10,Paramètres!$A$1:$I$89,3,0)*0.475*44/12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46.045999999999957</v>
      </c>
      <c r="D80" s="12">
        <f t="shared" si="86"/>
        <v>13.587777785482281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460.33091623881029</v>
      </c>
      <c r="H80" s="70">
        <f t="shared" si="56"/>
        <v>397.19549630971488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5.6843418860808015E-14</v>
      </c>
      <c r="O80" s="14">
        <f>N80*VLOOKUP('Données projet'!$B$9,Paramètres!$A$1:$I$89,3,0)*VLOOKUP('Données projet'!$B$9,Paramètres!$A$1:$I$89,5,0)</f>
        <v>3.3992364478763198E-14</v>
      </c>
      <c r="P80" s="14">
        <f t="shared" si="87"/>
        <v>5.790027782444094E-13</v>
      </c>
      <c r="Q80" s="22">
        <f t="shared" si="54"/>
        <v>1.0676332069095257E-12</v>
      </c>
      <c r="R80" s="62">
        <f t="shared" si="55"/>
        <v>293.33333333333439</v>
      </c>
      <c r="S80" s="62">
        <f ca="1">AVERAGE(OFFSET($R$3,0,0,'Données projet'!$E$9+1,1))-AVERAGE(OFFSET($H$3,0,0,'Données projet'!$E$9+1,1))</f>
        <v>157.21429387424644</v>
      </c>
      <c r="T80" s="62">
        <f t="shared" si="88"/>
        <v>264.58225136820056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43.125776031347662</v>
      </c>
      <c r="AA80" s="23">
        <f>EXP(-LN(2)/25)*AA79+(1-EXP(-LN(2)/25))/(LN(2)/25)*Calculateur!V80*Calculateur!X80*VLOOKUP('Données projet'!$B$9,Paramètres!$A$1:$I$89,3,0)*0.475*44/12</f>
        <v>0.90825973312877106</v>
      </c>
      <c r="AB80" s="23">
        <f>EXP(-LN(2)/2)*AB79+(1-EXP(-LN(2)/2))/(LN(2)/2)*V80*Y80*VLOOKUP('Données projet'!$B$9,Paramètres!$A$1:$I$89,3,0)*0.475*44/12</f>
        <v>9.2851078393506336E-5</v>
      </c>
      <c r="AC80" s="24">
        <f t="shared" si="57"/>
        <v>44.034128615554827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projet'!$B$10,Paramètres!$A$1:$I$89,3,0)*VLOOKUP('Données projet'!$B$10,Paramètres!$A$1:$I$89,5,0)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projet'!$B$10,Paramètres!$A$1:$I$89,3,0)*0.475*44/12</f>
        <v>#N/A</v>
      </c>
      <c r="AV80" s="23" t="e">
        <f>EXP(-LN(2)/25)*AV79+(1-EXP(-LN(2)/25))/(LN(2)/25)*Calculateur!AQ80*Calculateur!AS80*VLOOKUP('Données projet'!$B$10,Paramètres!$A$1:$I$89,3,0)*0.475*44/12</f>
        <v>#N/A</v>
      </c>
      <c r="AW80" s="23" t="e">
        <f>EXP(-LN(2)/2)*AW79+(1-EXP(-LN(2)/2))/(LN(2)/2)*AQ80*AT80*VLOOKUP('Données projet'!$B$10,Paramètres!$A$1:$I$89,3,0)*0.475*44/12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46.643999999999956</v>
      </c>
      <c r="D81" s="12">
        <f t="shared" si="86"/>
        <v>13.74358465851647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466.14977631135486</v>
      </c>
      <c r="H81" s="70">
        <f t="shared" si="56"/>
        <v>398.50837661358275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5.6843418860808015E-14</v>
      </c>
      <c r="O81" s="14">
        <f>N81*VLOOKUP('Données projet'!$B$9,Paramètres!$A$1:$I$89,3,0)*VLOOKUP('Données projet'!$B$9,Paramètres!$A$1:$I$89,5,0)</f>
        <v>3.3992364478763198E-14</v>
      </c>
      <c r="P81" s="14">
        <f t="shared" si="87"/>
        <v>5.790027782444094E-13</v>
      </c>
      <c r="Q81" s="22">
        <f t="shared" si="54"/>
        <v>1.0676332069095257E-12</v>
      </c>
      <c r="R81" s="62">
        <f t="shared" si="55"/>
        <v>293.33333333333439</v>
      </c>
      <c r="S81" s="62">
        <f ca="1">AVERAGE(OFFSET($R$3,0,0,'Données projet'!$E$9+1,1))-AVERAGE(OFFSET($H$3,0,0,'Données projet'!$E$9+1,1))</f>
        <v>157.21429387424644</v>
      </c>
      <c r="T81" s="62">
        <f t="shared" si="88"/>
        <v>264.58225136820056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42.280105867498996</v>
      </c>
      <c r="AA81" s="23">
        <f>EXP(-LN(2)/25)*AA80+(1-EXP(-LN(2)/25))/(LN(2)/25)*Calculateur!V81*Calculateur!X81*VLOOKUP('Données projet'!$B$9,Paramètres!$A$1:$I$89,3,0)*0.475*44/12</f>
        <v>0.88342332296306136</v>
      </c>
      <c r="AB81" s="23">
        <f>EXP(-LN(2)/2)*AB80+(1-EXP(-LN(2)/2))/(LN(2)/2)*V81*Y81*VLOOKUP('Données projet'!$B$9,Paramètres!$A$1:$I$89,3,0)*0.475*44/12</f>
        <v>6.5655627172532056E-5</v>
      </c>
      <c r="AC81" s="24">
        <f t="shared" si="57"/>
        <v>43.163594846089232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projet'!$B$10,Paramètres!$A$1:$I$89,3,0)*VLOOKUP('Données projet'!$B$10,Paramètres!$A$1:$I$89,5,0)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projet'!$B$10,Paramètres!$A$1:$I$89,3,0)*0.475*44/12</f>
        <v>#N/A</v>
      </c>
      <c r="AV81" s="23" t="e">
        <f>EXP(-LN(2)/25)*AV80+(1-EXP(-LN(2)/25))/(LN(2)/25)*Calculateur!AQ81*Calculateur!AS81*VLOOKUP('Données projet'!$B$10,Paramètres!$A$1:$I$89,3,0)*0.475*44/12</f>
        <v>#N/A</v>
      </c>
      <c r="AW81" s="23" t="e">
        <f>EXP(-LN(2)/2)*AW80+(1-EXP(-LN(2)/2))/(LN(2)/2)*AQ81*AT81*VLOOKUP('Données projet'!$B$10,Paramètres!$A$1:$I$89,3,0)*0.475*44/12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47.241999999999955</v>
      </c>
      <c r="D82" s="12">
        <f t="shared" si="86"/>
        <v>13.899159186428221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471.96684284260351</v>
      </c>
      <c r="H82" s="70">
        <f t="shared" si="56"/>
        <v>399.82085224969569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5.6843418860808015E-14</v>
      </c>
      <c r="O82" s="14">
        <f>N82*VLOOKUP('Données projet'!$B$9,Paramètres!$A$1:$I$89,3,0)*VLOOKUP('Données projet'!$B$9,Paramètres!$A$1:$I$89,5,0)</f>
        <v>3.3992364478763198E-14</v>
      </c>
      <c r="P82" s="14">
        <f t="shared" si="87"/>
        <v>5.790027782444094E-13</v>
      </c>
      <c r="Q82" s="22">
        <f t="shared" si="54"/>
        <v>1.0676332069095257E-12</v>
      </c>
      <c r="R82" s="62">
        <f t="shared" si="55"/>
        <v>293.33333333333439</v>
      </c>
      <c r="S82" s="62">
        <f ca="1">AVERAGE(OFFSET($R$3,0,0,'Données projet'!$E$9+1,1))-AVERAGE(OFFSET($H$3,0,0,'Données projet'!$E$9+1,1))</f>
        <v>157.21429387424644</v>
      </c>
      <c r="T82" s="62">
        <f t="shared" si="88"/>
        <v>264.58225136820056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41.451018779755536</v>
      </c>
      <c r="AA82" s="23">
        <f>EXP(-LN(2)/25)*AA81+(1-EXP(-LN(2)/25))/(LN(2)/25)*Calculateur!V82*Calculateur!X82*VLOOKUP('Données projet'!$B$9,Paramètres!$A$1:$I$89,3,0)*0.475*44/12</f>
        <v>0.85926606573942299</v>
      </c>
      <c r="AB82" s="23">
        <f>EXP(-LN(2)/2)*AB81+(1-EXP(-LN(2)/2))/(LN(2)/2)*V82*Y82*VLOOKUP('Données projet'!$B$9,Paramètres!$A$1:$I$89,3,0)*0.475*44/12</f>
        <v>4.6425539196753168E-5</v>
      </c>
      <c r="AC82" s="24">
        <f t="shared" si="57"/>
        <v>42.310331271034158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projet'!$B$10,Paramètres!$A$1:$I$89,3,0)*VLOOKUP('Données projet'!$B$10,Paramètres!$A$1:$I$89,5,0)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projet'!$B$10,Paramètres!$A$1:$I$89,3,0)*0.475*44/12</f>
        <v>#N/A</v>
      </c>
      <c r="AV82" s="23" t="e">
        <f>EXP(-LN(2)/25)*AV81+(1-EXP(-LN(2)/25))/(LN(2)/25)*Calculateur!AQ82*Calculateur!AS82*VLOOKUP('Données projet'!$B$10,Paramètres!$A$1:$I$89,3,0)*0.475*44/12</f>
        <v>#N/A</v>
      </c>
      <c r="AW82" s="23" t="e">
        <f>EXP(-LN(2)/2)*AW81+(1-EXP(-LN(2)/2))/(LN(2)/2)*AQ82*AT82*VLOOKUP('Données projet'!$B$10,Paramètres!$A$1:$I$89,3,0)*0.475*44/12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47.839999999999954</v>
      </c>
      <c r="D83" s="12">
        <f t="shared" si="86"/>
        <v>14.054504650394959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477.78214116094318</v>
      </c>
      <c r="H83" s="70">
        <f t="shared" si="56"/>
        <v>401.13292893277111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5.6843418860808015E-14</v>
      </c>
      <c r="O83" s="14">
        <f>N83*VLOOKUP('Données projet'!$B$9,Paramètres!$A$1:$I$89,3,0)*VLOOKUP('Données projet'!$B$9,Paramètres!$A$1:$I$89,5,0)</f>
        <v>3.3992364478763198E-14</v>
      </c>
      <c r="P83" s="14">
        <f t="shared" si="87"/>
        <v>5.790027782444094E-13</v>
      </c>
      <c r="Q83" s="22">
        <f t="shared" si="54"/>
        <v>1.0676332069095257E-12</v>
      </c>
      <c r="R83" s="62">
        <f t="shared" si="55"/>
        <v>293.33333333333439</v>
      </c>
      <c r="S83" s="62">
        <f ca="1">AVERAGE(OFFSET($R$3,0,0,'Données projet'!$E$9+1,1))-AVERAGE(OFFSET($H$3,0,0,'Données projet'!$E$9+1,1))</f>
        <v>157.21429387424644</v>
      </c>
      <c r="T83" s="62">
        <f t="shared" si="88"/>
        <v>264.58225136820056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40.638189584109533</v>
      </c>
      <c r="AA83" s="23">
        <f>EXP(-LN(2)/25)*AA82+(1-EXP(-LN(2)/25))/(LN(2)/25)*Calculateur!V83*Calculateur!X83*VLOOKUP('Données projet'!$B$9,Paramètres!$A$1:$I$89,3,0)*0.475*44/12</f>
        <v>0.83576938998493999</v>
      </c>
      <c r="AB83" s="23">
        <f>EXP(-LN(2)/2)*AB82+(1-EXP(-LN(2)/2))/(LN(2)/2)*V83*Y83*VLOOKUP('Données projet'!$B$9,Paramètres!$A$1:$I$89,3,0)*0.475*44/12</f>
        <v>3.2827813586266028E-5</v>
      </c>
      <c r="AC83" s="24">
        <f t="shared" si="57"/>
        <v>41.473991801908056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projet'!$B$10,Paramètres!$A$1:$I$89,3,0)*VLOOKUP('Données projet'!$B$10,Paramètres!$A$1:$I$89,5,0)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projet'!$B$10,Paramètres!$A$1:$I$89,3,0)*0.475*44/12</f>
        <v>#N/A</v>
      </c>
      <c r="AV83" s="23" t="e">
        <f>EXP(-LN(2)/25)*AV82+(1-EXP(-LN(2)/25))/(LN(2)/25)*Calculateur!AQ83*Calculateur!AS83*VLOOKUP('Données projet'!$B$10,Paramètres!$A$1:$I$89,3,0)*0.475*44/12</f>
        <v>#N/A</v>
      </c>
      <c r="AW83" s="23" t="e">
        <f>EXP(-LN(2)/2)*AW82+(1-EXP(-LN(2)/2))/(LN(2)/2)*AQ83*AT83*VLOOKUP('Données projet'!$B$10,Paramètres!$A$1:$I$89,3,0)*0.475*44/12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48.437999999999953</v>
      </c>
      <c r="D84" s="12">
        <f t="shared" si="86"/>
        <v>14.209624244846959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483.59569592513407</v>
      </c>
      <c r="H84" s="70">
        <f t="shared" si="56"/>
        <v>402.44461222644168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5.6843418860808015E-14</v>
      </c>
      <c r="O84" s="14">
        <f>N84*VLOOKUP('Données projet'!$B$9,Paramètres!$A$1:$I$89,3,0)*VLOOKUP('Données projet'!$B$9,Paramètres!$A$1:$I$89,5,0)</f>
        <v>3.3992364478763198E-14</v>
      </c>
      <c r="P84" s="14">
        <f t="shared" si="87"/>
        <v>5.790027782444094E-13</v>
      </c>
      <c r="Q84" s="22">
        <f t="shared" si="54"/>
        <v>1.0676332069095257E-12</v>
      </c>
      <c r="R84" s="62">
        <f t="shared" si="55"/>
        <v>293.33333333333439</v>
      </c>
      <c r="S84" s="62">
        <f ca="1">AVERAGE(OFFSET($R$3,0,0,'Données projet'!$E$9+1,1))-AVERAGE(OFFSET($H$3,0,0,'Données projet'!$E$9+1,1))</f>
        <v>157.21429387424644</v>
      </c>
      <c r="T84" s="62">
        <f t="shared" si="88"/>
        <v>264.58225136820056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39.84129947321329</v>
      </c>
      <c r="AA84" s="23">
        <f>EXP(-LN(2)/25)*AA83+(1-EXP(-LN(2)/25))/(LN(2)/25)*Calculateur!V84*Calculateur!X84*VLOOKUP('Données projet'!$B$9,Paramètres!$A$1:$I$89,3,0)*0.475*44/12</f>
        <v>0.81291523206459981</v>
      </c>
      <c r="AB84" s="23">
        <f>EXP(-LN(2)/2)*AB83+(1-EXP(-LN(2)/2))/(LN(2)/2)*V84*Y84*VLOOKUP('Données projet'!$B$9,Paramètres!$A$1:$I$89,3,0)*0.475*44/12</f>
        <v>2.3212769598376584E-5</v>
      </c>
      <c r="AC84" s="24">
        <f t="shared" si="57"/>
        <v>40.654237918047485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projet'!$B$10,Paramètres!$A$1:$I$89,3,0)*VLOOKUP('Données projet'!$B$10,Paramètres!$A$1:$I$89,5,0)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projet'!$B$10,Paramètres!$A$1:$I$89,3,0)*0.475*44/12</f>
        <v>#N/A</v>
      </c>
      <c r="AV84" s="23" t="e">
        <f>EXP(-LN(2)/25)*AV83+(1-EXP(-LN(2)/25))/(LN(2)/25)*Calculateur!AQ84*Calculateur!AS84*VLOOKUP('Données projet'!$B$10,Paramètres!$A$1:$I$89,3,0)*0.475*44/12</f>
        <v>#N/A</v>
      </c>
      <c r="AW84" s="23" t="e">
        <f>EXP(-LN(2)/2)*AW83+(1-EXP(-LN(2)/2))/(LN(2)/2)*AQ84*AT84*VLOOKUP('Données projet'!$B$10,Paramètres!$A$1:$I$89,3,0)*0.475*44/12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49.035999999999952</v>
      </c>
      <c r="D85" s="12">
        <f t="shared" si="86"/>
        <v>14.364521080802797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489.40753115005629</v>
      </c>
      <c r="H85" s="70">
        <f t="shared" si="56"/>
        <v>403.75590754906477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5.6843418860808015E-14</v>
      </c>
      <c r="O85" s="14">
        <f>N85*VLOOKUP('Données projet'!$B$9,Paramètres!$A$1:$I$89,3,0)*VLOOKUP('Données projet'!$B$9,Paramètres!$A$1:$I$89,5,0)</f>
        <v>3.3992364478763198E-14</v>
      </c>
      <c r="P85" s="14">
        <f t="shared" si="87"/>
        <v>5.790027782444094E-13</v>
      </c>
      <c r="Q85" s="22">
        <f t="shared" si="54"/>
        <v>1.0676332069095257E-12</v>
      </c>
      <c r="R85" s="62">
        <f t="shared" si="55"/>
        <v>293.33333333333439</v>
      </c>
      <c r="S85" s="62">
        <f ca="1">AVERAGE(OFFSET($R$3,0,0,'Données projet'!$E$9+1,1))-AVERAGE(OFFSET($H$3,0,0,'Données projet'!$E$9+1,1))</f>
        <v>157.21429387424644</v>
      </c>
      <c r="T85" s="62">
        <f t="shared" si="88"/>
        <v>264.58225136820056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39.060035891336753</v>
      </c>
      <c r="AA85" s="23">
        <f>EXP(-LN(2)/25)*AA84+(1-EXP(-LN(2)/25))/(LN(2)/25)*Calculateur!V85*Calculateur!X85*VLOOKUP('Données projet'!$B$9,Paramètres!$A$1:$I$89,3,0)*0.475*44/12</f>
        <v>0.79068602229443918</v>
      </c>
      <c r="AB85" s="23">
        <f>EXP(-LN(2)/2)*AB84+(1-EXP(-LN(2)/2))/(LN(2)/2)*V85*Y85*VLOOKUP('Données projet'!$B$9,Paramètres!$A$1:$I$89,3,0)*0.475*44/12</f>
        <v>1.6413906793133014E-5</v>
      </c>
      <c r="AC85" s="24">
        <f t="shared" si="57"/>
        <v>39.850738327537982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projet'!$B$10,Paramètres!$A$1:$I$89,3,0)*VLOOKUP('Données projet'!$B$10,Paramètres!$A$1:$I$89,5,0)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projet'!$B$10,Paramètres!$A$1:$I$89,3,0)*0.475*44/12</f>
        <v>#N/A</v>
      </c>
      <c r="AV85" s="23" t="e">
        <f>EXP(-LN(2)/25)*AV84+(1-EXP(-LN(2)/25))/(LN(2)/25)*Calculateur!AQ85*Calculateur!AS85*VLOOKUP('Données projet'!$B$10,Paramètres!$A$1:$I$89,3,0)*0.475*44/12</f>
        <v>#N/A</v>
      </c>
      <c r="AW85" s="23" t="e">
        <f>EXP(-LN(2)/2)*AW84+(1-EXP(-LN(2)/2))/(LN(2)/2)*AQ85*AT85*VLOOKUP('Données projet'!$B$10,Paramètres!$A$1:$I$89,3,0)*0.475*44/12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49.633999999999951</v>
      </c>
      <c r="D86" s="12">
        <f t="shared" si="86"/>
        <v>14.519198189037443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495.21767023116581</v>
      </c>
      <c r="H86" s="70">
        <f t="shared" si="56"/>
        <v>405.0668201792401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5.6843418860808015E-14</v>
      </c>
      <c r="O86" s="14">
        <f>N86*VLOOKUP('Données projet'!$B$9,Paramètres!$A$1:$I$89,3,0)*VLOOKUP('Données projet'!$B$9,Paramètres!$A$1:$I$89,5,0)</f>
        <v>3.3992364478763198E-14</v>
      </c>
      <c r="P86" s="14">
        <f t="shared" si="87"/>
        <v>5.790027782444094E-13</v>
      </c>
      <c r="Q86" s="22">
        <f t="shared" si="54"/>
        <v>1.0676332069095257E-12</v>
      </c>
      <c r="R86" s="62">
        <f t="shared" si="55"/>
        <v>293.33333333333439</v>
      </c>
      <c r="S86" s="62">
        <f ca="1">AVERAGE(OFFSET($R$3,0,0,'Données projet'!$E$9+1,1))-AVERAGE(OFFSET($H$3,0,0,'Données projet'!$E$9+1,1))</f>
        <v>157.21429387424644</v>
      </c>
      <c r="T86" s="62">
        <f t="shared" si="88"/>
        <v>264.58225136820056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38.294092411777079</v>
      </c>
      <c r="AA86" s="23">
        <f>EXP(-LN(2)/25)*AA85+(1-EXP(-LN(2)/25))/(LN(2)/25)*Calculateur!V86*Calculateur!X86*VLOOKUP('Données projet'!$B$9,Paramètres!$A$1:$I$89,3,0)*0.475*44/12</f>
        <v>0.76906467143442692</v>
      </c>
      <c r="AB86" s="23">
        <f>EXP(-LN(2)/2)*AB85+(1-EXP(-LN(2)/2))/(LN(2)/2)*V86*Y86*VLOOKUP('Données projet'!$B$9,Paramètres!$A$1:$I$89,3,0)*0.475*44/12</f>
        <v>1.1606384799188292E-5</v>
      </c>
      <c r="AC86" s="24">
        <f t="shared" si="57"/>
        <v>39.06316868959631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projet'!$B$10,Paramètres!$A$1:$I$89,3,0)*VLOOKUP('Données projet'!$B$10,Paramètres!$A$1:$I$89,5,0)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projet'!$B$10,Paramètres!$A$1:$I$89,3,0)*0.475*44/12</f>
        <v>#N/A</v>
      </c>
      <c r="AV86" s="23" t="e">
        <f>EXP(-LN(2)/25)*AV85+(1-EXP(-LN(2)/25))/(LN(2)/25)*Calculateur!AQ86*Calculateur!AS86*VLOOKUP('Données projet'!$B$10,Paramètres!$A$1:$I$89,3,0)*0.475*44/12</f>
        <v>#N/A</v>
      </c>
      <c r="AW86" s="23" t="e">
        <f>EXP(-LN(2)/2)*AW85+(1-EXP(-LN(2)/2))/(LN(2)/2)*AQ86*AT86*VLOOKUP('Données projet'!$B$10,Paramètres!$A$1:$I$89,3,0)*0.475*44/12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</v>
      </c>
      <c r="D87" s="12">
        <f t="shared" si="86"/>
        <v>14.673658523093403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501.02613596773813</v>
      </c>
      <c r="H87" s="70">
        <f t="shared" si="56"/>
        <v>406.37735526105422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5.6843418860808015E-14</v>
      </c>
      <c r="O87" s="14">
        <f>N87*VLOOKUP('Données projet'!$B$9,Paramètres!$A$1:$I$89,3,0)*VLOOKUP('Données projet'!$B$9,Paramètres!$A$1:$I$89,5,0)</f>
        <v>3.3992364478763198E-14</v>
      </c>
      <c r="P87" s="14">
        <f t="shared" si="87"/>
        <v>5.790027782444094E-13</v>
      </c>
      <c r="Q87" s="22">
        <f t="shared" si="54"/>
        <v>1.0676332069095257E-12</v>
      </c>
      <c r="R87" s="62">
        <f t="shared" si="55"/>
        <v>293.33333333333439</v>
      </c>
      <c r="S87" s="62">
        <f ca="1">AVERAGE(OFFSET($R$3,0,0,'Données projet'!$E$9+1,1))-AVERAGE(OFFSET($H$3,0,0,'Données projet'!$E$9+1,1))</f>
        <v>157.21429387424644</v>
      </c>
      <c r="T87" s="62">
        <f t="shared" si="88"/>
        <v>264.58225136820056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37.543168616672183</v>
      </c>
      <c r="AA87" s="23">
        <f>EXP(-LN(2)/25)*AA86+(1-EXP(-LN(2)/25))/(LN(2)/25)*Calculateur!V87*Calculateur!X87*VLOOKUP('Données projet'!$B$9,Paramètres!$A$1:$I$89,3,0)*0.475*44/12</f>
        <v>0.74803455755069914</v>
      </c>
      <c r="AB87" s="23">
        <f>EXP(-LN(2)/2)*AB86+(1-EXP(-LN(2)/2))/(LN(2)/2)*V87*Y87*VLOOKUP('Données projet'!$B$9,Paramètres!$A$1:$I$89,3,0)*0.475*44/12</f>
        <v>8.2069533965665069E-6</v>
      </c>
      <c r="AC87" s="24">
        <f t="shared" si="57"/>
        <v>38.291211381176275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projet'!$B$10,Paramètres!$A$1:$I$89,3,0)*VLOOKUP('Données projet'!$B$10,Paramètres!$A$1:$I$89,5,0)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projet'!$B$10,Paramètres!$A$1:$I$89,3,0)*0.475*44/12</f>
        <v>#N/A</v>
      </c>
      <c r="AV87" s="23" t="e">
        <f>EXP(-LN(2)/25)*AV86+(1-EXP(-LN(2)/25))/(LN(2)/25)*Calculateur!AQ87*Calculateur!AS87*VLOOKUP('Données projet'!$B$10,Paramètres!$A$1:$I$89,3,0)*0.475*44/12</f>
        <v>#N/A</v>
      </c>
      <c r="AW87" s="23" t="e">
        <f>EXP(-LN(2)/2)*AW86+(1-EXP(-LN(2)/2))/(LN(2)/2)*AQ87*AT87*VLOOKUP('Données projet'!$B$10,Paramètres!$A$1:$I$89,3,0)*0.475*44/12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50.829999999999949</v>
      </c>
      <c r="D88" s="12">
        <f t="shared" si="86"/>
        <v>14.827904962144244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506.83295058497271</v>
      </c>
      <c r="H88" s="70">
        <f t="shared" si="56"/>
        <v>407.6875178090678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5.6843418860808015E-14</v>
      </c>
      <c r="O88" s="14">
        <f>N88*VLOOKUP('Données projet'!$B$9,Paramètres!$A$1:$I$89,3,0)*VLOOKUP('Données projet'!$B$9,Paramètres!$A$1:$I$89,5,0)</f>
        <v>3.3992364478763198E-14</v>
      </c>
      <c r="P88" s="14">
        <f t="shared" si="87"/>
        <v>5.790027782444094E-13</v>
      </c>
      <c r="Q88" s="22">
        <f t="shared" si="54"/>
        <v>1.0676332069095257E-12</v>
      </c>
      <c r="R88" s="62">
        <f t="shared" si="55"/>
        <v>293.33333333333439</v>
      </c>
      <c r="S88" s="62">
        <f ca="1">AVERAGE(OFFSET($R$3,0,0,'Données projet'!$E$9+1,1))-AVERAGE(OFFSET($H$3,0,0,'Données projet'!$E$9+1,1))</f>
        <v>157.21429387424644</v>
      </c>
      <c r="T88" s="62">
        <f t="shared" si="88"/>
        <v>264.58225136820056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36.806969979171001</v>
      </c>
      <c r="AA88" s="23">
        <f>EXP(-LN(2)/25)*AA87+(1-EXP(-LN(2)/25))/(LN(2)/25)*Calculateur!V88*Calculateur!X88*VLOOKUP('Données projet'!$B$9,Paramètres!$A$1:$I$89,3,0)*0.475*44/12</f>
        <v>0.7275795132370475</v>
      </c>
      <c r="AB88" s="23">
        <f>EXP(-LN(2)/2)*AB87+(1-EXP(-LN(2)/2))/(LN(2)/2)*V88*Y88*VLOOKUP('Données projet'!$B$9,Paramètres!$A$1:$I$89,3,0)*0.475*44/12</f>
        <v>5.803192399594146E-6</v>
      </c>
      <c r="AC88" s="24">
        <f t="shared" si="57"/>
        <v>37.534555295600448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projet'!$B$10,Paramètres!$A$1:$I$89,3,0)*VLOOKUP('Données projet'!$B$10,Paramètres!$A$1:$I$89,5,0)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projet'!$B$10,Paramètres!$A$1:$I$89,3,0)*0.475*44/12</f>
        <v>#N/A</v>
      </c>
      <c r="AV88" s="23" t="e">
        <f>EXP(-LN(2)/25)*AV87+(1-EXP(-LN(2)/25))/(LN(2)/25)*Calculateur!AQ88*Calculateur!AS88*VLOOKUP('Données projet'!$B$10,Paramètres!$A$1:$I$89,3,0)*0.475*44/12</f>
        <v>#N/A</v>
      </c>
      <c r="AW88" s="23" t="e">
        <f>EXP(-LN(2)/2)*AW87+(1-EXP(-LN(2)/2))/(LN(2)/2)*AQ88*AT88*VLOOKUP('Données projet'!$B$10,Paramètres!$A$1:$I$89,3,0)*0.475*44/12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51.427999999999948</v>
      </c>
      <c r="D89" s="12">
        <f t="shared" si="86"/>
        <v>14.981940313719663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512.63813575502866</v>
      </c>
      <c r="H89" s="70">
        <f t="shared" si="56"/>
        <v>408.99731271306166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5.6843418860808015E-14</v>
      </c>
      <c r="O89" s="14">
        <f>N89*VLOOKUP('Données projet'!$B$9,Paramètres!$A$1:$I$89,3,0)*VLOOKUP('Données projet'!$B$9,Paramètres!$A$1:$I$89,5,0)</f>
        <v>3.3992364478763198E-14</v>
      </c>
      <c r="P89" s="14">
        <f t="shared" si="87"/>
        <v>5.790027782444094E-13</v>
      </c>
      <c r="Q89" s="22">
        <f t="shared" si="54"/>
        <v>1.0676332069095257E-12</v>
      </c>
      <c r="R89" s="62">
        <f t="shared" si="55"/>
        <v>293.33333333333439</v>
      </c>
      <c r="S89" s="62">
        <f ca="1">AVERAGE(OFFSET($R$3,0,0,'Données projet'!$E$9+1,1))-AVERAGE(OFFSET($H$3,0,0,'Données projet'!$E$9+1,1))</f>
        <v>157.21429387424644</v>
      </c>
      <c r="T89" s="62">
        <f t="shared" si="88"/>
        <v>264.58225136820056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36.085207747914389</v>
      </c>
      <c r="AA89" s="23">
        <f>EXP(-LN(2)/25)*AA88+(1-EXP(-LN(2)/25))/(LN(2)/25)*Calculateur!V89*Calculateur!X89*VLOOKUP('Données projet'!$B$9,Paramètres!$A$1:$I$89,3,0)*0.475*44/12</f>
        <v>0.70768381318583673</v>
      </c>
      <c r="AB89" s="23">
        <f>EXP(-LN(2)/2)*AB88+(1-EXP(-LN(2)/2))/(LN(2)/2)*V89*Y89*VLOOKUP('Données projet'!$B$9,Paramètres!$A$1:$I$89,3,0)*0.475*44/12</f>
        <v>4.1034766982832535E-6</v>
      </c>
      <c r="AC89" s="24">
        <f t="shared" si="57"/>
        <v>36.792895664576925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projet'!$B$10,Paramètres!$A$1:$I$89,3,0)*VLOOKUP('Données projet'!$B$10,Paramètres!$A$1:$I$89,5,0)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projet'!$B$10,Paramètres!$A$1:$I$89,3,0)*0.475*44/12</f>
        <v>#N/A</v>
      </c>
      <c r="AV89" s="23" t="e">
        <f>EXP(-LN(2)/25)*AV88+(1-EXP(-LN(2)/25))/(LN(2)/25)*Calculateur!AQ89*Calculateur!AS89*VLOOKUP('Données projet'!$B$10,Paramètres!$A$1:$I$89,3,0)*0.475*44/12</f>
        <v>#N/A</v>
      </c>
      <c r="AW89" s="23" t="e">
        <f>EXP(-LN(2)/2)*AW88+(1-EXP(-LN(2)/2))/(LN(2)/2)*AQ89*AT89*VLOOKUP('Données projet'!$B$10,Paramètres!$A$1:$I$89,3,0)*0.475*44/12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52.025999999999947</v>
      </c>
      <c r="D90" s="12">
        <f t="shared" si="86"/>
        <v>15.135767316300113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518.44171261705321</v>
      </c>
      <c r="H90" s="70">
        <f t="shared" si="56"/>
        <v>410.30674474255591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5.6843418860808015E-14</v>
      </c>
      <c r="O90" s="14">
        <f>N90*VLOOKUP('Données projet'!$B$9,Paramètres!$A$1:$I$89,3,0)*VLOOKUP('Données projet'!$B$9,Paramètres!$A$1:$I$89,5,0)</f>
        <v>3.3992364478763198E-14</v>
      </c>
      <c r="P90" s="14">
        <f t="shared" si="87"/>
        <v>5.790027782444094E-13</v>
      </c>
      <c r="Q90" s="22">
        <f t="shared" si="54"/>
        <v>1.0676332069095257E-12</v>
      </c>
      <c r="R90" s="62">
        <f t="shared" si="55"/>
        <v>293.33333333333439</v>
      </c>
      <c r="S90" s="62">
        <f ca="1">AVERAGE(OFFSET($R$3,0,0,'Données projet'!$E$9+1,1))-AVERAGE(OFFSET($H$3,0,0,'Données projet'!$E$9+1,1))</f>
        <v>157.21429387424644</v>
      </c>
      <c r="T90" s="62">
        <f t="shared" si="88"/>
        <v>264.58225136820056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35.377598833781228</v>
      </c>
      <c r="AA90" s="23">
        <f>EXP(-LN(2)/25)*AA89+(1-EXP(-LN(2)/25))/(LN(2)/25)*Calculateur!V90*Calculateur!X90*VLOOKUP('Données projet'!$B$9,Paramètres!$A$1:$I$89,3,0)*0.475*44/12</f>
        <v>0.68833216209879577</v>
      </c>
      <c r="AB90" s="23">
        <f>EXP(-LN(2)/2)*AB89+(1-EXP(-LN(2)/2))/(LN(2)/2)*V90*Y90*VLOOKUP('Données projet'!$B$9,Paramètres!$A$1:$I$89,3,0)*0.475*44/12</f>
        <v>2.901596199797073E-6</v>
      </c>
      <c r="AC90" s="24">
        <f t="shared" si="57"/>
        <v>36.065933897476221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projet'!$B$10,Paramètres!$A$1:$I$89,3,0)*VLOOKUP('Données projet'!$B$10,Paramètres!$A$1:$I$89,5,0)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projet'!$B$10,Paramètres!$A$1:$I$89,3,0)*0.475*44/12</f>
        <v>#N/A</v>
      </c>
      <c r="AV90" s="23" t="e">
        <f>EXP(-LN(2)/25)*AV89+(1-EXP(-LN(2)/25))/(LN(2)/25)*Calculateur!AQ90*Calculateur!AS90*VLOOKUP('Données projet'!$B$10,Paramètres!$A$1:$I$89,3,0)*0.475*44/12</f>
        <v>#N/A</v>
      </c>
      <c r="AW90" s="23" t="e">
        <f>EXP(-LN(2)/2)*AW89+(1-EXP(-LN(2)/2))/(LN(2)/2)*AQ90*AT90*VLOOKUP('Données projet'!$B$10,Paramètres!$A$1:$I$89,3,0)*0.475*44/12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52.623999999999945</v>
      </c>
      <c r="D91" s="12">
        <f t="shared" si="86"/>
        <v>15.289388641788751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524.24370179626362</v>
      </c>
      <c r="H91" s="70">
        <f t="shared" si="56"/>
        <v>411.6158185511153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5.6843418860808015E-14</v>
      </c>
      <c r="O91" s="14">
        <f>N91*VLOOKUP('Données projet'!$B$9,Paramètres!$A$1:$I$89,3,0)*VLOOKUP('Données projet'!$B$9,Paramètres!$A$1:$I$89,5,0)</f>
        <v>3.3992364478763198E-14</v>
      </c>
      <c r="P91" s="14">
        <f t="shared" si="87"/>
        <v>5.790027782444094E-13</v>
      </c>
      <c r="Q91" s="22">
        <f t="shared" si="54"/>
        <v>1.0676332069095257E-12</v>
      </c>
      <c r="R91" s="62">
        <f t="shared" si="55"/>
        <v>293.33333333333439</v>
      </c>
      <c r="S91" s="62">
        <f ca="1">AVERAGE(OFFSET($R$3,0,0,'Données projet'!$E$9+1,1))-AVERAGE(OFFSET($H$3,0,0,'Données projet'!$E$9+1,1))</f>
        <v>157.21429387424644</v>
      </c>
      <c r="T91" s="62">
        <f t="shared" si="88"/>
        <v>264.58225136820056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34.683865698855399</v>
      </c>
      <c r="AA91" s="23">
        <f>EXP(-LN(2)/25)*AA90+(1-EXP(-LN(2)/25))/(LN(2)/25)*Calculateur!V91*Calculateur!X91*VLOOKUP('Données projet'!$B$9,Paramètres!$A$1:$I$89,3,0)*0.475*44/12</f>
        <v>0.66950968292838897</v>
      </c>
      <c r="AB91" s="23">
        <f>EXP(-LN(2)/2)*AB90+(1-EXP(-LN(2)/2))/(LN(2)/2)*V91*Y91*VLOOKUP('Données projet'!$B$9,Paramètres!$A$1:$I$89,3,0)*0.475*44/12</f>
        <v>2.0517383491416267E-6</v>
      </c>
      <c r="AC91" s="24">
        <f t="shared" si="57"/>
        <v>35.353377433522134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projet'!$B$10,Paramètres!$A$1:$I$89,3,0)*VLOOKUP('Données projet'!$B$10,Paramètres!$A$1:$I$89,5,0)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projet'!$B$10,Paramètres!$A$1:$I$89,3,0)*0.475*44/12</f>
        <v>#N/A</v>
      </c>
      <c r="AV91" s="23" t="e">
        <f>EXP(-LN(2)/25)*AV90+(1-EXP(-LN(2)/25))/(LN(2)/25)*Calculateur!AQ91*Calculateur!AS91*VLOOKUP('Données projet'!$B$10,Paramètres!$A$1:$I$89,3,0)*0.475*44/12</f>
        <v>#N/A</v>
      </c>
      <c r="AW91" s="23" t="e">
        <f>EXP(-LN(2)/2)*AW90+(1-EXP(-LN(2)/2))/(LN(2)/2)*AQ91*AT91*VLOOKUP('Données projet'!$B$10,Paramètres!$A$1:$I$89,3,0)*0.475*44/12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53.221999999999944</v>
      </c>
      <c r="D92" s="12">
        <f t="shared" si="86"/>
        <v>15.442806897867856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530.04412342213755</v>
      </c>
      <c r="H92" s="70">
        <f t="shared" si="56"/>
        <v>412.92453868045305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5.6843418860808015E-14</v>
      </c>
      <c r="O92" s="14">
        <f>N92*VLOOKUP('Données projet'!$B$9,Paramètres!$A$1:$I$89,3,0)*VLOOKUP('Données projet'!$B$9,Paramètres!$A$1:$I$89,5,0)</f>
        <v>3.3992364478763198E-14</v>
      </c>
      <c r="P92" s="14">
        <f t="shared" si="87"/>
        <v>5.790027782444094E-13</v>
      </c>
      <c r="Q92" s="22">
        <f t="shared" si="54"/>
        <v>1.0676332069095257E-12</v>
      </c>
      <c r="R92" s="62">
        <f t="shared" si="55"/>
        <v>293.33333333333439</v>
      </c>
      <c r="S92" s="62">
        <f ca="1">AVERAGE(OFFSET($R$3,0,0,'Données projet'!$E$9+1,1))-AVERAGE(OFFSET($H$3,0,0,'Données projet'!$E$9+1,1))</f>
        <v>157.21429387424644</v>
      </c>
      <c r="T92" s="62">
        <f t="shared" si="88"/>
        <v>264.58225136820056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34.003736247570032</v>
      </c>
      <c r="AA92" s="23">
        <f>EXP(-LN(2)/25)*AA91+(1-EXP(-LN(2)/25))/(LN(2)/25)*Calculateur!V92*Calculateur!X92*VLOOKUP('Données projet'!$B$9,Paramètres!$A$1:$I$89,3,0)*0.475*44/12</f>
        <v>0.65120190544072809</v>
      </c>
      <c r="AB92" s="23">
        <f>EXP(-LN(2)/2)*AB91+(1-EXP(-LN(2)/2))/(LN(2)/2)*V92*Y92*VLOOKUP('Données projet'!$B$9,Paramètres!$A$1:$I$89,3,0)*0.475*44/12</f>
        <v>1.4507980998985365E-6</v>
      </c>
      <c r="AC92" s="24">
        <f t="shared" si="57"/>
        <v>34.654939603808863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projet'!$B$10,Paramètres!$A$1:$I$89,3,0)*VLOOKUP('Données projet'!$B$10,Paramètres!$A$1:$I$89,5,0)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projet'!$B$10,Paramètres!$A$1:$I$89,3,0)*0.475*44/12</f>
        <v>#N/A</v>
      </c>
      <c r="AV92" s="23" t="e">
        <f>EXP(-LN(2)/25)*AV91+(1-EXP(-LN(2)/25))/(LN(2)/25)*Calculateur!AQ92*Calculateur!AS92*VLOOKUP('Données projet'!$B$10,Paramètres!$A$1:$I$89,3,0)*0.475*44/12</f>
        <v>#N/A</v>
      </c>
      <c r="AW92" s="23" t="e">
        <f>EXP(-LN(2)/2)*AW91+(1-EXP(-LN(2)/2))/(LN(2)/2)*AQ92*AT92*VLOOKUP('Données projet'!$B$10,Paramètres!$A$1:$I$89,3,0)*0.475*44/12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53.819999999999943</v>
      </c>
      <c r="D93" s="12">
        <f t="shared" si="86"/>
        <v>15.596024630246252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535.84299714576014</v>
      </c>
      <c r="H93" s="70">
        <f t="shared" si="56"/>
        <v>414.23290956434545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5.6843418860808015E-14</v>
      </c>
      <c r="O93" s="14">
        <f>N93*VLOOKUP('Données projet'!$B$9,Paramètres!$A$1:$I$89,3,0)*VLOOKUP('Données projet'!$B$9,Paramètres!$A$1:$I$89,5,0)</f>
        <v>3.3992364478763198E-14</v>
      </c>
      <c r="P93" s="14">
        <f t="shared" si="87"/>
        <v>5.790027782444094E-13</v>
      </c>
      <c r="Q93" s="22">
        <f t="shared" si="54"/>
        <v>1.0676332069095257E-12</v>
      </c>
      <c r="R93" s="62">
        <f t="shared" si="55"/>
        <v>293.33333333333439</v>
      </c>
      <c r="S93" s="62">
        <f ca="1">AVERAGE(OFFSET($R$3,0,0,'Données projet'!$E$9+1,1))-AVERAGE(OFFSET($H$3,0,0,'Données projet'!$E$9+1,1))</f>
        <v>157.21429387424644</v>
      </c>
      <c r="T93" s="62">
        <f t="shared" si="88"/>
        <v>264.58225136820056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33.336943719986365</v>
      </c>
      <c r="AA93" s="23">
        <f>EXP(-LN(2)/25)*AA92+(1-EXP(-LN(2)/25))/(LN(2)/25)*Calculateur!V93*Calculateur!X93*VLOOKUP('Données projet'!$B$9,Paramètres!$A$1:$I$89,3,0)*0.475*44/12</f>
        <v>0.63339475509123155</v>
      </c>
      <c r="AB93" s="23">
        <f>EXP(-LN(2)/2)*AB92+(1-EXP(-LN(2)/2))/(LN(2)/2)*V93*Y93*VLOOKUP('Données projet'!$B$9,Paramètres!$A$1:$I$89,3,0)*0.475*44/12</f>
        <v>1.0258691745708134E-6</v>
      </c>
      <c r="AC93" s="24">
        <f t="shared" si="57"/>
        <v>33.970339500946771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projet'!$B$10,Paramètres!$A$1:$I$89,3,0)*VLOOKUP('Données projet'!$B$10,Paramètres!$A$1:$I$89,5,0)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projet'!$B$10,Paramètres!$A$1:$I$89,3,0)*0.475*44/12</f>
        <v>#N/A</v>
      </c>
      <c r="AV93" s="23" t="e">
        <f>EXP(-LN(2)/25)*AV92+(1-EXP(-LN(2)/25))/(LN(2)/25)*Calculateur!AQ93*Calculateur!AS93*VLOOKUP('Données projet'!$B$10,Paramètres!$A$1:$I$89,3,0)*0.475*44/12</f>
        <v>#N/A</v>
      </c>
      <c r="AW93" s="23" t="e">
        <f>EXP(-LN(2)/2)*AW92+(1-EXP(-LN(2)/2))/(LN(2)/2)*AQ93*AT93*VLOOKUP('Données projet'!$B$10,Paramètres!$A$1:$I$89,3,0)*0.475*44/12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54.417999999999942</v>
      </c>
      <c r="D94" s="12">
        <f t="shared" si="86"/>
        <v>15.749044324804029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541.64034215638151</v>
      </c>
      <c r="H94" s="70">
        <f t="shared" si="56"/>
        <v>415.54093553236692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5.6843418860808015E-14</v>
      </c>
      <c r="O94" s="14">
        <f>N94*VLOOKUP('Données projet'!$B$9,Paramètres!$A$1:$I$89,3,0)*VLOOKUP('Données projet'!$B$9,Paramètres!$A$1:$I$89,5,0)</f>
        <v>3.3992364478763198E-14</v>
      </c>
      <c r="P94" s="14">
        <f t="shared" si="87"/>
        <v>5.790027782444094E-13</v>
      </c>
      <c r="Q94" s="22">
        <f t="shared" si="54"/>
        <v>1.0676332069095257E-12</v>
      </c>
      <c r="R94" s="62">
        <f t="shared" si="55"/>
        <v>293.33333333333439</v>
      </c>
      <c r="S94" s="62">
        <f ca="1">AVERAGE(OFFSET($R$3,0,0,'Données projet'!$E$9+1,1))-AVERAGE(OFFSET($H$3,0,0,'Données projet'!$E$9+1,1))</f>
        <v>157.21429387424644</v>
      </c>
      <c r="T94" s="62">
        <f t="shared" si="88"/>
        <v>264.58225136820056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32.683226587165336</v>
      </c>
      <c r="AA94" s="23">
        <f>EXP(-LN(2)/25)*AA93+(1-EXP(-LN(2)/25))/(LN(2)/25)*Calculateur!V94*Calculateur!X94*VLOOKUP('Données projet'!$B$9,Paramètres!$A$1:$I$89,3,0)*0.475*44/12</f>
        <v>0.61607454220447933</v>
      </c>
      <c r="AB94" s="23">
        <f>EXP(-LN(2)/2)*AB93+(1-EXP(-LN(2)/2))/(LN(2)/2)*V94*Y94*VLOOKUP('Données projet'!$B$9,Paramètres!$A$1:$I$89,3,0)*0.475*44/12</f>
        <v>7.2539904994926825E-7</v>
      </c>
      <c r="AC94" s="24">
        <f t="shared" si="57"/>
        <v>33.299301854768864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projet'!$B$10,Paramètres!$A$1:$I$89,3,0)*VLOOKUP('Données projet'!$B$10,Paramètres!$A$1:$I$89,5,0)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projet'!$B$10,Paramètres!$A$1:$I$89,3,0)*0.475*44/12</f>
        <v>#N/A</v>
      </c>
      <c r="AV94" s="23" t="e">
        <f>EXP(-LN(2)/25)*AV93+(1-EXP(-LN(2)/25))/(LN(2)/25)*Calculateur!AQ94*Calculateur!AS94*VLOOKUP('Données projet'!$B$10,Paramètres!$A$1:$I$89,3,0)*0.475*44/12</f>
        <v>#N/A</v>
      </c>
      <c r="AW94" s="23" t="e">
        <f>EXP(-LN(2)/2)*AW93+(1-EXP(-LN(2)/2))/(LN(2)/2)*AQ94*AT94*VLOOKUP('Données projet'!$B$10,Paramètres!$A$1:$I$89,3,0)*0.475*44/12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55.015999999999941</v>
      </c>
      <c r="D95" s="12">
        <f t="shared" si="86"/>
        <v>15.901868409640313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547.43617719722295</v>
      </c>
      <c r="H95" s="70">
        <f t="shared" si="56"/>
        <v>416.84862081345676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5.6843418860808015E-14</v>
      </c>
      <c r="O95" s="14">
        <f>N95*VLOOKUP('Données projet'!$B$9,Paramètres!$A$1:$I$89,3,0)*VLOOKUP('Données projet'!$B$9,Paramètres!$A$1:$I$89,5,0)</f>
        <v>3.3992364478763198E-14</v>
      </c>
      <c r="P95" s="14">
        <f t="shared" si="87"/>
        <v>5.790027782444094E-13</v>
      </c>
      <c r="Q95" s="22">
        <f t="shared" si="54"/>
        <v>1.0676332069095257E-12</v>
      </c>
      <c r="R95" s="62">
        <f t="shared" si="55"/>
        <v>293.33333333333439</v>
      </c>
      <c r="S95" s="62">
        <f ca="1">AVERAGE(OFFSET($R$3,0,0,'Données projet'!$E$9+1,1))-AVERAGE(OFFSET($H$3,0,0,'Données projet'!$E$9+1,1))</f>
        <v>157.21429387424644</v>
      </c>
      <c r="T95" s="62">
        <f t="shared" si="88"/>
        <v>264.58225136820056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32.042328448590844</v>
      </c>
      <c r="AA95" s="23">
        <f>EXP(-LN(2)/25)*AA94+(1-EXP(-LN(2)/25))/(LN(2)/25)*Calculateur!V95*Calculateur!X95*VLOOKUP('Données projet'!$B$9,Paramètres!$A$1:$I$89,3,0)*0.475*44/12</f>
        <v>0.59922795144994567</v>
      </c>
      <c r="AB95" s="23">
        <f>EXP(-LN(2)/2)*AB94+(1-EXP(-LN(2)/2))/(LN(2)/2)*V95*Y95*VLOOKUP('Données projet'!$B$9,Paramètres!$A$1:$I$89,3,0)*0.475*44/12</f>
        <v>5.1293458728540668E-7</v>
      </c>
      <c r="AC95" s="24">
        <f t="shared" si="57"/>
        <v>32.641556912975382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projet'!$B$10,Paramètres!$A$1:$I$89,3,0)*VLOOKUP('Données projet'!$B$10,Paramètres!$A$1:$I$89,5,0)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projet'!$B$10,Paramètres!$A$1:$I$89,3,0)*0.475*44/12</f>
        <v>#N/A</v>
      </c>
      <c r="AV95" s="23" t="e">
        <f>EXP(-LN(2)/25)*AV94+(1-EXP(-LN(2)/25))/(LN(2)/25)*Calculateur!AQ95*Calculateur!AS95*VLOOKUP('Données projet'!$B$10,Paramètres!$A$1:$I$89,3,0)*0.475*44/12</f>
        <v>#N/A</v>
      </c>
      <c r="AW95" s="23" t="e">
        <f>EXP(-LN(2)/2)*AW94+(1-EXP(-LN(2)/2))/(LN(2)/2)*AQ95*AT95*VLOOKUP('Données projet'!$B$10,Paramètres!$A$1:$I$89,3,0)*0.475*44/12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55.61399999999994</v>
      </c>
      <c r="D96" s="12">
        <f t="shared" si="86"/>
        <v>16.054499257029473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553.23052058057795</v>
      </c>
      <c r="H96" s="70">
        <f t="shared" si="56"/>
        <v>418.15596953932624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5.6843418860808015E-14</v>
      </c>
      <c r="O96" s="14">
        <f>N96*VLOOKUP('Données projet'!$B$9,Paramètres!$A$1:$I$89,3,0)*VLOOKUP('Données projet'!$B$9,Paramètres!$A$1:$I$89,5,0)</f>
        <v>3.3992364478763198E-14</v>
      </c>
      <c r="P96" s="14">
        <f t="shared" si="87"/>
        <v>5.790027782444094E-13</v>
      </c>
      <c r="Q96" s="22">
        <f t="shared" si="54"/>
        <v>1.0676332069095257E-12</v>
      </c>
      <c r="R96" s="62">
        <f t="shared" si="55"/>
        <v>293.33333333333439</v>
      </c>
      <c r="S96" s="62">
        <f ca="1">AVERAGE(OFFSET($R$3,0,0,'Données projet'!$E$9+1,1))-AVERAGE(OFFSET($H$3,0,0,'Données projet'!$E$9+1,1))</f>
        <v>157.21429387424644</v>
      </c>
      <c r="T96" s="62">
        <f t="shared" si="88"/>
        <v>264.58225136820056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31.413997931604531</v>
      </c>
      <c r="AA96" s="23">
        <f>EXP(-LN(2)/25)*AA95+(1-EXP(-LN(2)/25))/(LN(2)/25)*Calculateur!V96*Calculateur!X96*VLOOKUP('Données projet'!$B$9,Paramètres!$A$1:$I$89,3,0)*0.475*44/12</f>
        <v>0.58284203160551851</v>
      </c>
      <c r="AB96" s="23">
        <f>EXP(-LN(2)/2)*AB95+(1-EXP(-LN(2)/2))/(LN(2)/2)*V96*Y96*VLOOKUP('Données projet'!$B$9,Paramètres!$A$1:$I$89,3,0)*0.475*44/12</f>
        <v>3.6269952497463413E-7</v>
      </c>
      <c r="AC96" s="24">
        <f t="shared" si="57"/>
        <v>31.996840325909574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projet'!$B$10,Paramètres!$A$1:$I$89,3,0)*VLOOKUP('Données projet'!$B$10,Paramètres!$A$1:$I$89,5,0)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projet'!$B$10,Paramètres!$A$1:$I$89,3,0)*0.475*44/12</f>
        <v>#N/A</v>
      </c>
      <c r="AV96" s="23" t="e">
        <f>EXP(-LN(2)/25)*AV95+(1-EXP(-LN(2)/25))/(LN(2)/25)*Calculateur!AQ96*Calculateur!AS96*VLOOKUP('Données projet'!$B$10,Paramètres!$A$1:$I$89,3,0)*0.475*44/12</f>
        <v>#N/A</v>
      </c>
      <c r="AW96" s="23" t="e">
        <f>EXP(-LN(2)/2)*AW95+(1-EXP(-LN(2)/2))/(LN(2)/2)*AQ96*AT96*VLOOKUP('Données projet'!$B$10,Paramètres!$A$1:$I$89,3,0)*0.475*44/12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56.211999999999939</v>
      </c>
      <c r="D97" s="12">
        <f t="shared" si="86"/>
        <v>16.206939185290693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559.0233902022436</v>
      </c>
      <c r="H97" s="70">
        <f t="shared" si="56"/>
        <v>419.46298574771453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5.6843418860808015E-14</v>
      </c>
      <c r="O97" s="14">
        <f>N97*VLOOKUP('Données projet'!$B$9,Paramètres!$A$1:$I$89,3,0)*VLOOKUP('Données projet'!$B$9,Paramètres!$A$1:$I$89,5,0)</f>
        <v>3.3992364478763198E-14</v>
      </c>
      <c r="P97" s="14">
        <f t="shared" si="87"/>
        <v>5.790027782444094E-13</v>
      </c>
      <c r="Q97" s="22">
        <f t="shared" si="54"/>
        <v>1.0676332069095257E-12</v>
      </c>
      <c r="R97" s="62">
        <f t="shared" si="55"/>
        <v>293.33333333333439</v>
      </c>
      <c r="S97" s="62">
        <f ca="1">AVERAGE(OFFSET($R$3,0,0,'Données projet'!$E$9+1,1))-AVERAGE(OFFSET($H$3,0,0,'Données projet'!$E$9+1,1))</f>
        <v>157.21429387424644</v>
      </c>
      <c r="T97" s="62">
        <f t="shared" si="88"/>
        <v>264.58225136820056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30.797988592812548</v>
      </c>
      <c r="AA97" s="23">
        <f>EXP(-LN(2)/25)*AA96+(1-EXP(-LN(2)/25))/(LN(2)/25)*Calculateur!V97*Calculateur!X97*VLOOKUP('Données projet'!$B$9,Paramètres!$A$1:$I$89,3,0)*0.475*44/12</f>
        <v>0.56690418560093525</v>
      </c>
      <c r="AB97" s="23">
        <f>EXP(-LN(2)/2)*AB96+(1-EXP(-LN(2)/2))/(LN(2)/2)*V97*Y97*VLOOKUP('Données projet'!$B$9,Paramètres!$A$1:$I$89,3,0)*0.475*44/12</f>
        <v>2.5646729364270334E-7</v>
      </c>
      <c r="AC97" s="24">
        <f t="shared" si="57"/>
        <v>31.36489303488078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projet'!$B$10,Paramètres!$A$1:$I$89,3,0)*VLOOKUP('Données projet'!$B$10,Paramètres!$A$1:$I$89,5,0)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projet'!$B$10,Paramètres!$A$1:$I$89,3,0)*0.475*44/12</f>
        <v>#N/A</v>
      </c>
      <c r="AV97" s="23" t="e">
        <f>EXP(-LN(2)/25)*AV96+(1-EXP(-LN(2)/25))/(LN(2)/25)*Calculateur!AQ97*Calculateur!AS97*VLOOKUP('Données projet'!$B$10,Paramètres!$A$1:$I$89,3,0)*0.475*44/12</f>
        <v>#N/A</v>
      </c>
      <c r="AW97" s="23" t="e">
        <f>EXP(-LN(2)/2)*AW96+(1-EXP(-LN(2)/2))/(LN(2)/2)*AQ97*AT97*VLOOKUP('Données projet'!$B$10,Paramètres!$A$1:$I$89,3,0)*0.475*44/12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56.809999999999938</v>
      </c>
      <c r="D98" s="12">
        <f t="shared" si="86"/>
        <v>16.359190460575874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564.8148035553221</v>
      </c>
      <c r="H98" s="70">
        <f t="shared" si="56"/>
        <v>420.76967338550281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5.6843418860808015E-14</v>
      </c>
      <c r="O98" s="14">
        <f>N98*VLOOKUP('Données projet'!$B$9,Paramètres!$A$1:$I$89,3,0)*VLOOKUP('Données projet'!$B$9,Paramètres!$A$1:$I$89,5,0)</f>
        <v>3.3992364478763198E-14</v>
      </c>
      <c r="P98" s="14">
        <f t="shared" si="87"/>
        <v>5.790027782444094E-13</v>
      </c>
      <c r="Q98" s="22">
        <f t="shared" si="54"/>
        <v>1.0676332069095257E-12</v>
      </c>
      <c r="R98" s="62">
        <f t="shared" si="55"/>
        <v>293.33333333333439</v>
      </c>
      <c r="S98" s="62">
        <f ca="1">AVERAGE(OFFSET($R$3,0,0,'Données projet'!$E$9+1,1))-AVERAGE(OFFSET($H$3,0,0,'Données projet'!$E$9+1,1))</f>
        <v>157.21429387424644</v>
      </c>
      <c r="T98" s="62">
        <f t="shared" si="88"/>
        <v>264.58225136820056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30.194058821425678</v>
      </c>
      <c r="AA98" s="23">
        <f>EXP(-LN(2)/25)*AA97+(1-EXP(-LN(2)/25))/(LN(2)/25)*Calculateur!V98*Calculateur!X98*VLOOKUP('Données projet'!$B$9,Paramètres!$A$1:$I$89,3,0)*0.475*44/12</f>
        <v>0.55140216083348226</v>
      </c>
      <c r="AB98" s="23">
        <f>EXP(-LN(2)/2)*AB97+(1-EXP(-LN(2)/2))/(LN(2)/2)*V98*Y98*VLOOKUP('Données projet'!$B$9,Paramètres!$A$1:$I$89,3,0)*0.475*44/12</f>
        <v>1.8134976248731706E-7</v>
      </c>
      <c r="AC98" s="24">
        <f t="shared" si="57"/>
        <v>30.745461163608923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projet'!$B$10,Paramètres!$A$1:$I$89,3,0)*VLOOKUP('Données projet'!$B$10,Paramètres!$A$1:$I$89,5,0)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projet'!$B$10,Paramètres!$A$1:$I$89,3,0)*0.475*44/12</f>
        <v>#N/A</v>
      </c>
      <c r="AV98" s="23" t="e">
        <f>EXP(-LN(2)/25)*AV97+(1-EXP(-LN(2)/25))/(LN(2)/25)*Calculateur!AQ98*Calculateur!AS98*VLOOKUP('Données projet'!$B$10,Paramètres!$A$1:$I$89,3,0)*0.475*44/12</f>
        <v>#N/A</v>
      </c>
      <c r="AW98" s="23" t="e">
        <f>EXP(-LN(2)/2)*AW97+(1-EXP(-LN(2)/2))/(LN(2)/2)*AQ98*AT98*VLOOKUP('Données projet'!$B$10,Paramètres!$A$1:$I$89,3,0)*0.475*44/12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57.407999999999937</v>
      </c>
      <c r="D99" s="12">
        <f t="shared" si="86"/>
        <v>16.51125529857994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570.60477774342371</v>
      </c>
      <c r="H99" s="70">
        <f t="shared" si="56"/>
        <v>422.07603631169331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5.6843418860808015E-14</v>
      </c>
      <c r="O99" s="14">
        <f>N99*VLOOKUP('Données projet'!$B$9,Paramètres!$A$1:$I$89,3,0)*VLOOKUP('Données projet'!$B$9,Paramètres!$A$1:$I$89,5,0)</f>
        <v>3.3992364478763198E-14</v>
      </c>
      <c r="P99" s="14">
        <f t="shared" si="87"/>
        <v>5.790027782444094E-13</v>
      </c>
      <c r="Q99" s="22">
        <f t="shared" ref="Q99:Q130" si="107">(O99+P99)*0.475*44/12</f>
        <v>1.0676332069095257E-12</v>
      </c>
      <c r="R99" s="62">
        <f t="shared" si="55"/>
        <v>293.33333333333439</v>
      </c>
      <c r="S99" s="62">
        <f ca="1">AVERAGE(OFFSET($R$3,0,0,'Données projet'!$E$9+1,1))-AVERAGE(OFFSET($H$3,0,0,'Données projet'!$E$9+1,1))</f>
        <v>157.21429387424644</v>
      </c>
      <c r="T99" s="62">
        <f t="shared" si="88"/>
        <v>264.58225136820056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29.601971744494918</v>
      </c>
      <c r="AA99" s="23">
        <f>EXP(-LN(2)/25)*AA98+(1-EXP(-LN(2)/25))/(LN(2)/25)*Calculateur!V99*Calculateur!X99*VLOOKUP('Données projet'!$B$9,Paramètres!$A$1:$I$89,3,0)*0.475*44/12</f>
        <v>0.53632403974851128</v>
      </c>
      <c r="AB99" s="23">
        <f>EXP(-LN(2)/2)*AB98+(1-EXP(-LN(2)/2))/(LN(2)/2)*V99*Y99*VLOOKUP('Données projet'!$B$9,Paramètres!$A$1:$I$89,3,0)*0.475*44/12</f>
        <v>1.2823364682135167E-7</v>
      </c>
      <c r="AC99" s="24">
        <f t="shared" si="57"/>
        <v>30.138295912477076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projet'!$B$10,Paramètres!$A$1:$I$89,3,0)*VLOOKUP('Données projet'!$B$10,Paramètres!$A$1:$I$89,5,0)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projet'!$B$10,Paramètres!$A$1:$I$89,3,0)*0.475*44/12</f>
        <v>#N/A</v>
      </c>
      <c r="AV99" s="23" t="e">
        <f>EXP(-LN(2)/25)*AV98+(1-EXP(-LN(2)/25))/(LN(2)/25)*Calculateur!AQ99*Calculateur!AS99*VLOOKUP('Données projet'!$B$10,Paramètres!$A$1:$I$89,3,0)*0.475*44/12</f>
        <v>#N/A</v>
      </c>
      <c r="AW99" s="23" t="e">
        <f>EXP(-LN(2)/2)*AW98+(1-EXP(-LN(2)/2))/(LN(2)/2)*AQ99*AT99*VLOOKUP('Données projet'!$B$10,Paramètres!$A$1:$I$89,3,0)*0.475*44/12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58.005999999999936</v>
      </c>
      <c r="D100" s="12">
        <f t="shared" si="86"/>
        <v>16.663135866177953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576.3933294933031</v>
      </c>
      <c r="H100" s="70">
        <f t="shared" si="56"/>
        <v>423.38207830025976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5.6843418860808015E-14</v>
      </c>
      <c r="O100" s="14">
        <f>N100*VLOOKUP('Données projet'!$B$9,Paramètres!$A$1:$I$89,3,0)*VLOOKUP('Données projet'!$B$9,Paramètres!$A$1:$I$89,5,0)</f>
        <v>3.3992364478763198E-14</v>
      </c>
      <c r="P100" s="14">
        <f t="shared" si="87"/>
        <v>5.790027782444094E-13</v>
      </c>
      <c r="Q100" s="22">
        <f t="shared" si="107"/>
        <v>1.0676332069095257E-12</v>
      </c>
      <c r="R100" s="62">
        <f t="shared" si="55"/>
        <v>293.33333333333439</v>
      </c>
      <c r="S100" s="62">
        <f ca="1">AVERAGE(OFFSET($R$3,0,0,'Données projet'!$E$9+1,1))-AVERAGE(OFFSET($H$3,0,0,'Données projet'!$E$9+1,1))</f>
        <v>157.21429387424644</v>
      </c>
      <c r="T100" s="62">
        <f t="shared" si="88"/>
        <v>264.58225136820056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29.021495134005313</v>
      </c>
      <c r="AA100" s="23">
        <f>EXP(-LN(2)/25)*AA99+(1-EXP(-LN(2)/25))/(LN(2)/25)*Calculateur!V100*Calculateur!X100*VLOOKUP('Données projet'!$B$9,Paramètres!$A$1:$I$89,3,0)*0.475*44/12</f>
        <v>0.52165823067753281</v>
      </c>
      <c r="AB100" s="23">
        <f>EXP(-LN(2)/2)*AB99+(1-EXP(-LN(2)/2))/(LN(2)/2)*V100*Y100*VLOOKUP('Données projet'!$B$9,Paramètres!$A$1:$I$89,3,0)*0.475*44/12</f>
        <v>9.0674881243658531E-8</v>
      </c>
      <c r="AC100" s="24">
        <f t="shared" si="57"/>
        <v>29.543153455357729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projet'!$B$10,Paramètres!$A$1:$I$89,3,0)*VLOOKUP('Données projet'!$B$10,Paramètres!$A$1:$I$89,5,0)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projet'!$B$10,Paramètres!$A$1:$I$89,3,0)*0.475*44/12</f>
        <v>#N/A</v>
      </c>
      <c r="AV100" s="23" t="e">
        <f>EXP(-LN(2)/25)*AV99+(1-EXP(-LN(2)/25))/(LN(2)/25)*Calculateur!AQ100*Calculateur!AS100*VLOOKUP('Données projet'!$B$10,Paramètres!$A$1:$I$89,3,0)*0.475*44/12</f>
        <v>#N/A</v>
      </c>
      <c r="AW100" s="23" t="e">
        <f>EXP(-LN(2)/2)*AW99+(1-EXP(-LN(2)/2))/(LN(2)/2)*AQ100*AT100*VLOOKUP('Données projet'!$B$10,Paramètres!$A$1:$I$89,3,0)*0.475*44/12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58.603999999999935</v>
      </c>
      <c r="D101" s="12">
        <f t="shared" si="86"/>
        <v>16.81483428299277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582.18047516696117</v>
      </c>
      <c r="H101" s="70">
        <f t="shared" si="56"/>
        <v>424.68780304287895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5.6843418860808015E-14</v>
      </c>
      <c r="O101" s="14">
        <f>N101*VLOOKUP('Données projet'!$B$9,Paramètres!$A$1:$I$89,3,0)*VLOOKUP('Données projet'!$B$9,Paramètres!$A$1:$I$89,5,0)</f>
        <v>3.3992364478763198E-14</v>
      </c>
      <c r="P101" s="14">
        <f t="shared" si="87"/>
        <v>5.790027782444094E-13</v>
      </c>
      <c r="Q101" s="22">
        <f t="shared" si="107"/>
        <v>1.0676332069095257E-12</v>
      </c>
      <c r="R101" s="62">
        <f t="shared" si="55"/>
        <v>293.33333333333439</v>
      </c>
      <c r="S101" s="62">
        <f ca="1">AVERAGE(OFFSET($R$3,0,0,'Données projet'!$E$9+1,1))-AVERAGE(OFFSET($H$3,0,0,'Données projet'!$E$9+1,1))</f>
        <v>157.21429387424644</v>
      </c>
      <c r="T101" s="62">
        <f t="shared" si="88"/>
        <v>264.58225136820056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28.452401315791636</v>
      </c>
      <c r="AA101" s="23">
        <f>EXP(-LN(2)/25)*AA100+(1-EXP(-LN(2)/25))/(LN(2)/25)*Calculateur!V101*Calculateur!X101*VLOOKUP('Données projet'!$B$9,Paramètres!$A$1:$I$89,3,0)*0.475*44/12</f>
        <v>0.50739345892684162</v>
      </c>
      <c r="AB101" s="23">
        <f>EXP(-LN(2)/2)*AB100+(1-EXP(-LN(2)/2))/(LN(2)/2)*V101*Y101*VLOOKUP('Données projet'!$B$9,Paramètres!$A$1:$I$89,3,0)*0.475*44/12</f>
        <v>6.4116823410675835E-8</v>
      </c>
      <c r="AC101" s="24">
        <f t="shared" si="57"/>
        <v>28.9597948388353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projet'!$B$10,Paramètres!$A$1:$I$89,3,0)*VLOOKUP('Données projet'!$B$10,Paramètres!$A$1:$I$89,5,0)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projet'!$B$10,Paramètres!$A$1:$I$89,3,0)*0.475*44/12</f>
        <v>#N/A</v>
      </c>
      <c r="AV101" s="23" t="e">
        <f>EXP(-LN(2)/25)*AV100+(1-EXP(-LN(2)/25))/(LN(2)/25)*Calculateur!AQ101*Calculateur!AS101*VLOOKUP('Données projet'!$B$10,Paramètres!$A$1:$I$89,3,0)*0.475*44/12</f>
        <v>#N/A</v>
      </c>
      <c r="AW101" s="23" t="e">
        <f>EXP(-LN(2)/2)*AW100+(1-EXP(-LN(2)/2))/(LN(2)/2)*AQ101*AT101*VLOOKUP('Données projet'!$B$10,Paramètres!$A$1:$I$89,3,0)*0.475*44/12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59.201999999999934</v>
      </c>
      <c r="D102" s="12">
        <f t="shared" si="86"/>
        <v>16.96635262289686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587.96623077323841</v>
      </c>
      <c r="H102" s="70">
        <f t="shared" si="56"/>
        <v>425.9932141515452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5.6843418860808015E-14</v>
      </c>
      <c r="O102" s="14">
        <f>N102*VLOOKUP('Données projet'!$B$9,Paramètres!$A$1:$I$89,3,0)*VLOOKUP('Données projet'!$B$9,Paramètres!$A$1:$I$89,5,0)</f>
        <v>3.3992364478763198E-14</v>
      </c>
      <c r="P102" s="14">
        <f t="shared" si="87"/>
        <v>5.790027782444094E-13</v>
      </c>
      <c r="Q102" s="22">
        <f t="shared" si="107"/>
        <v>1.0676332069095257E-12</v>
      </c>
      <c r="R102" s="62">
        <f t="shared" si="55"/>
        <v>293.33333333333439</v>
      </c>
      <c r="S102" s="62">
        <f ca="1">AVERAGE(OFFSET($R$3,0,0,'Données projet'!$E$9+1,1))-AVERAGE(OFFSET($H$3,0,0,'Données projet'!$E$9+1,1))</f>
        <v>157.21429387424644</v>
      </c>
      <c r="T102" s="62">
        <f t="shared" si="88"/>
        <v>264.58225136820056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27.894467080240176</v>
      </c>
      <c r="AA102" s="23">
        <f>EXP(-LN(2)/25)*AA101+(1-EXP(-LN(2)/25))/(LN(2)/25)*Calculateur!V102*Calculateur!X102*VLOOKUP('Données projet'!$B$9,Paramètres!$A$1:$I$89,3,0)*0.475*44/12</f>
        <v>0.49351875810982482</v>
      </c>
      <c r="AB102" s="23">
        <f>EXP(-LN(2)/2)*AB101+(1-EXP(-LN(2)/2))/(LN(2)/2)*V102*Y102*VLOOKUP('Données projet'!$B$9,Paramètres!$A$1:$I$89,3,0)*0.475*44/12</f>
        <v>4.5337440621829266E-8</v>
      </c>
      <c r="AC102" s="24">
        <f t="shared" si="57"/>
        <v>28.387985883687442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projet'!$B$10,Paramètres!$A$1:$I$89,3,0)*VLOOKUP('Données projet'!$B$10,Paramètres!$A$1:$I$89,5,0)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projet'!$B$10,Paramètres!$A$1:$I$89,3,0)*0.475*44/12</f>
        <v>#N/A</v>
      </c>
      <c r="AV102" s="23" t="e">
        <f>EXP(-LN(2)/25)*AV101+(1-EXP(-LN(2)/25))/(LN(2)/25)*Calculateur!AQ102*Calculateur!AS102*VLOOKUP('Données projet'!$B$10,Paramètres!$A$1:$I$89,3,0)*0.475*44/12</f>
        <v>#N/A</v>
      </c>
      <c r="AW102" s="23" t="e">
        <f>EXP(-LN(2)/2)*AW101+(1-EXP(-LN(2)/2))/(LN(2)/2)*AQ102*AT102*VLOOKUP('Données projet'!$B$10,Paramètres!$A$1:$I$89,3,0)*0.475*44/12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59.799999999999933</v>
      </c>
      <c r="D103" s="12">
        <f t="shared" si="86"/>
        <v>17.117692915451709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593.75061197892501</v>
      </c>
      <c r="H103" s="70">
        <f t="shared" si="56"/>
        <v>427.29831516107822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5.6843418860808015E-14</v>
      </c>
      <c r="O103" s="14">
        <f>N103*VLOOKUP('Données projet'!$B$9,Paramètres!$A$1:$I$89,3,0)*VLOOKUP('Données projet'!$B$9,Paramètres!$A$1:$I$89,5,0)</f>
        <v>3.3992364478763198E-14</v>
      </c>
      <c r="P103" s="14">
        <f t="shared" si="87"/>
        <v>5.790027782444094E-13</v>
      </c>
      <c r="Q103" s="22">
        <f t="shared" si="107"/>
        <v>1.0676332069095257E-12</v>
      </c>
      <c r="R103" s="62">
        <f t="shared" si="55"/>
        <v>293.33333333333439</v>
      </c>
      <c r="S103" s="62">
        <f ca="1">AVERAGE(OFFSET($R$3,0,0,'Données projet'!$E$9+1,1))-AVERAGE(OFFSET($H$3,0,0,'Données projet'!$E$9+1,1))</f>
        <v>157.21429387424644</v>
      </c>
      <c r="T103" s="62">
        <f t="shared" si="88"/>
        <v>264.58225136820056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27.347473594741597</v>
      </c>
      <c r="AA103" s="23">
        <f>EXP(-LN(2)/25)*AA102+(1-EXP(-LN(2)/25))/(LN(2)/25)*Calculateur!V103*Calculateur!X103*VLOOKUP('Données projet'!$B$9,Paramètres!$A$1:$I$89,3,0)*0.475*44/12</f>
        <v>0.48002346171628812</v>
      </c>
      <c r="AB103" s="23">
        <f>EXP(-LN(2)/2)*AB102+(1-EXP(-LN(2)/2))/(LN(2)/2)*V103*Y103*VLOOKUP('Données projet'!$B$9,Paramètres!$A$1:$I$89,3,0)*0.475*44/12</f>
        <v>3.2058411705337918E-8</v>
      </c>
      <c r="AC103" s="24">
        <f t="shared" si="57"/>
        <v>27.827497088516299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projet'!$B$10,Paramètres!$A$1:$I$89,3,0)*VLOOKUP('Données projet'!$B$10,Paramètres!$A$1:$I$89,5,0)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projet'!$B$10,Paramètres!$A$1:$I$89,3,0)*0.475*44/12</f>
        <v>#N/A</v>
      </c>
      <c r="AV103" s="23" t="e">
        <f>EXP(-LN(2)/25)*AV102+(1-EXP(-LN(2)/25))/(LN(2)/25)*Calculateur!AQ103*Calculateur!AS103*VLOOKUP('Données projet'!$B$10,Paramètres!$A$1:$I$89,3,0)*0.475*44/12</f>
        <v>#N/A</v>
      </c>
      <c r="AW103" s="23" t="e">
        <f>EXP(-LN(2)/2)*AW102+(1-EXP(-LN(2)/2))/(LN(2)/2)*AQ103*AT103*VLOOKUP('Données projet'!$B$10,Paramètres!$A$1:$I$89,3,0)*0.475*44/12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60.397999999999932</v>
      </c>
      <c r="D104" s="12">
        <f t="shared" si="86"/>
        <v>17.268857147288056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599.53363411941609</v>
      </c>
      <c r="H104" s="70">
        <f t="shared" si="56"/>
        <v>428.60310953152657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5.6843418860808015E-14</v>
      </c>
      <c r="O104" s="14">
        <f>N104*VLOOKUP('Données projet'!$B$9,Paramètres!$A$1:$I$89,3,0)*VLOOKUP('Données projet'!$B$9,Paramètres!$A$1:$I$89,5,0)</f>
        <v>3.3992364478763198E-14</v>
      </c>
      <c r="P104" s="14">
        <f t="shared" si="87"/>
        <v>5.790027782444094E-13</v>
      </c>
      <c r="Q104" s="22">
        <f t="shared" si="107"/>
        <v>1.0676332069095257E-12</v>
      </c>
      <c r="R104" s="62">
        <f t="shared" si="55"/>
        <v>293.33333333333439</v>
      </c>
      <c r="S104" s="62">
        <f ca="1">AVERAGE(OFFSET($R$3,0,0,'Données projet'!$E$9+1,1))-AVERAGE(OFFSET($H$3,0,0,'Données projet'!$E$9+1,1))</f>
        <v>157.21429387424644</v>
      </c>
      <c r="T104" s="62">
        <f t="shared" si="88"/>
        <v>264.58225136820056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26.811206317860563</v>
      </c>
      <c r="AA104" s="23">
        <f>EXP(-LN(2)/25)*AA103+(1-EXP(-LN(2)/25))/(LN(2)/25)*Calculateur!V104*Calculateur!X104*VLOOKUP('Données projet'!$B$9,Paramètres!$A$1:$I$89,3,0)*0.475*44/12</f>
        <v>0.46689719491231946</v>
      </c>
      <c r="AB104" s="23">
        <f>EXP(-LN(2)/2)*AB103+(1-EXP(-LN(2)/2))/(LN(2)/2)*V104*Y104*VLOOKUP('Données projet'!$B$9,Paramètres!$A$1:$I$89,3,0)*0.475*44/12</f>
        <v>2.2668720310914633E-8</v>
      </c>
      <c r="AC104" s="24">
        <f t="shared" si="57"/>
        <v>27.278103535441605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projet'!$B$10,Paramètres!$A$1:$I$89,3,0)*VLOOKUP('Données projet'!$B$10,Paramètres!$A$1:$I$89,5,0)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projet'!$B$10,Paramètres!$A$1:$I$89,3,0)*0.475*44/12</f>
        <v>#N/A</v>
      </c>
      <c r="AV104" s="23" t="e">
        <f>EXP(-LN(2)/25)*AV103+(1-EXP(-LN(2)/25))/(LN(2)/25)*Calculateur!AQ104*Calculateur!AS104*VLOOKUP('Données projet'!$B$10,Paramètres!$A$1:$I$89,3,0)*0.475*44/12</f>
        <v>#N/A</v>
      </c>
      <c r="AW104" s="23" t="e">
        <f>EXP(-LN(2)/2)*AW103+(1-EXP(-LN(2)/2))/(LN(2)/2)*AQ104*AT104*VLOOKUP('Données projet'!$B$10,Paramètres!$A$1:$I$89,3,0)*0.475*44/12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60.995999999999931</v>
      </c>
      <c r="D105" s="12">
        <f t="shared" si="86"/>
        <v>17.419847263429784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605.31531220893112</v>
      </c>
      <c r="H105" s="70">
        <f t="shared" si="56"/>
        <v>429.9076006504734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5.6843418860808015E-14</v>
      </c>
      <c r="O105" s="14">
        <f>N105*VLOOKUP('Données projet'!$B$9,Paramètres!$A$1:$I$89,3,0)*VLOOKUP('Données projet'!$B$9,Paramètres!$A$1:$I$89,5,0)</f>
        <v>3.3992364478763198E-14</v>
      </c>
      <c r="P105" s="14">
        <f t="shared" si="87"/>
        <v>5.790027782444094E-13</v>
      </c>
      <c r="Q105" s="22">
        <f t="shared" si="107"/>
        <v>1.0676332069095257E-12</v>
      </c>
      <c r="R105" s="62">
        <f t="shared" si="55"/>
        <v>293.33333333333439</v>
      </c>
      <c r="S105" s="62">
        <f ca="1">AVERAGE(OFFSET($R$3,0,0,'Données projet'!$E$9+1,1))-AVERAGE(OFFSET($H$3,0,0,'Données projet'!$E$9+1,1))</f>
        <v>157.21429387424644</v>
      </c>
      <c r="T105" s="62">
        <f t="shared" si="88"/>
        <v>264.58225136820056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26.285454915188424</v>
      </c>
      <c r="AA105" s="23">
        <f>EXP(-LN(2)/25)*AA104+(1-EXP(-LN(2)/25))/(LN(2)/25)*Calculateur!V105*Calculateur!X105*VLOOKUP('Données projet'!$B$9,Paramètres!$A$1:$I$89,3,0)*0.475*44/12</f>
        <v>0.4541298665643857</v>
      </c>
      <c r="AB105" s="23">
        <f>EXP(-LN(2)/2)*AB104+(1-EXP(-LN(2)/2))/(LN(2)/2)*V105*Y105*VLOOKUP('Données projet'!$B$9,Paramètres!$A$1:$I$89,3,0)*0.475*44/12</f>
        <v>1.6029205852668959E-8</v>
      </c>
      <c r="AC105" s="24">
        <f t="shared" si="57"/>
        <v>26.739584797782015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projet'!$B$10,Paramètres!$A$1:$I$89,3,0)*VLOOKUP('Données projet'!$B$10,Paramètres!$A$1:$I$89,5,0)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projet'!$B$10,Paramètres!$A$1:$I$89,3,0)*0.475*44/12</f>
        <v>#N/A</v>
      </c>
      <c r="AV105" s="23" t="e">
        <f>EXP(-LN(2)/25)*AV104+(1-EXP(-LN(2)/25))/(LN(2)/25)*Calculateur!AQ105*Calculateur!AS105*VLOOKUP('Données projet'!$B$10,Paramètres!$A$1:$I$89,3,0)*0.475*44/12</f>
        <v>#N/A</v>
      </c>
      <c r="AW105" s="23" t="e">
        <f>EXP(-LN(2)/2)*AW104+(1-EXP(-LN(2)/2))/(LN(2)/2)*AQ105*AT105*VLOOKUP('Données projet'!$B$10,Paramètres!$A$1:$I$89,3,0)*0.475*44/12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61.59399999999993</v>
      </c>
      <c r="D106" s="12">
        <f t="shared" si="86"/>
        <v>17.570665168564602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611.09566095032289</v>
      </c>
      <c r="H106" s="70">
        <f t="shared" si="56"/>
        <v>431.21179183524987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5.6843418860808015E-14</v>
      </c>
      <c r="O106" s="14">
        <f>N106*VLOOKUP('Données projet'!$B$9,Paramètres!$A$1:$I$89,3,0)*VLOOKUP('Données projet'!$B$9,Paramètres!$A$1:$I$89,5,0)</f>
        <v>3.3992364478763198E-14</v>
      </c>
      <c r="P106" s="14">
        <f t="shared" si="87"/>
        <v>5.790027782444094E-13</v>
      </c>
      <c r="Q106" s="22">
        <f t="shared" si="107"/>
        <v>1.0676332069095257E-12</v>
      </c>
      <c r="R106" s="62">
        <f t="shared" si="55"/>
        <v>293.33333333333439</v>
      </c>
      <c r="S106" s="62">
        <f ca="1">AVERAGE(OFFSET($R$3,0,0,'Données projet'!$E$9+1,1))-AVERAGE(OFFSET($H$3,0,0,'Données projet'!$E$9+1,1))</f>
        <v>157.21429387424644</v>
      </c>
      <c r="T106" s="62">
        <f t="shared" si="88"/>
        <v>264.58225136820056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25.770013176845996</v>
      </c>
      <c r="AA106" s="23">
        <f>EXP(-LN(2)/25)*AA105+(1-EXP(-LN(2)/25))/(LN(2)/25)*Calculateur!V106*Calculateur!X106*VLOOKUP('Données projet'!$B$9,Paramètres!$A$1:$I$89,3,0)*0.475*44/12</f>
        <v>0.44171166148153079</v>
      </c>
      <c r="AB106" s="23">
        <f>EXP(-LN(2)/2)*AB105+(1-EXP(-LN(2)/2))/(LN(2)/2)*V106*Y106*VLOOKUP('Données projet'!$B$9,Paramètres!$A$1:$I$89,3,0)*0.475*44/12</f>
        <v>1.1334360155457316E-8</v>
      </c>
      <c r="AC106" s="24">
        <f t="shared" si="57"/>
        <v>26.211724849661888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projet'!$B$10,Paramètres!$A$1:$I$89,3,0)*VLOOKUP('Données projet'!$B$10,Paramètres!$A$1:$I$89,5,0)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projet'!$B$10,Paramètres!$A$1:$I$89,3,0)*0.475*44/12</f>
        <v>#N/A</v>
      </c>
      <c r="AV106" s="23" t="e">
        <f>EXP(-LN(2)/25)*AV105+(1-EXP(-LN(2)/25))/(LN(2)/25)*Calculateur!AQ106*Calculateur!AS106*VLOOKUP('Données projet'!$B$10,Paramètres!$A$1:$I$89,3,0)*0.475*44/12</f>
        <v>#N/A</v>
      </c>
      <c r="AW106" s="23" t="e">
        <f>EXP(-LN(2)/2)*AW105+(1-EXP(-LN(2)/2))/(LN(2)/2)*AQ106*AT106*VLOOKUP('Données projet'!$B$10,Paramètres!$A$1:$I$89,3,0)*0.475*44/12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62.191999999999929</v>
      </c>
      <c r="D107" s="12">
        <f t="shared" si="86"/>
        <v>17.721312728263729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616.87469474449142</v>
      </c>
      <c r="H107" s="70">
        <f t="shared" si="56"/>
        <v>432.51568633505917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5.6843418860808015E-14</v>
      </c>
      <c r="O107" s="14">
        <f>N107*VLOOKUP('Données projet'!$B$9,Paramètres!$A$1:$I$89,3,0)*VLOOKUP('Données projet'!$B$9,Paramètres!$A$1:$I$89,5,0)</f>
        <v>3.3992364478763198E-14</v>
      </c>
      <c r="P107" s="14">
        <f t="shared" si="87"/>
        <v>5.790027782444094E-13</v>
      </c>
      <c r="Q107" s="22">
        <f t="shared" si="107"/>
        <v>1.0676332069095257E-12</v>
      </c>
      <c r="R107" s="62">
        <f t="shared" si="55"/>
        <v>293.33333333333439</v>
      </c>
      <c r="S107" s="62">
        <f ca="1">AVERAGE(OFFSET($R$3,0,0,'Données projet'!$E$9+1,1))-AVERAGE(OFFSET($H$3,0,0,'Données projet'!$E$9+1,1))</f>
        <v>157.21429387424644</v>
      </c>
      <c r="T107" s="62">
        <f t="shared" si="88"/>
        <v>264.58225136820056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25.264678936604046</v>
      </c>
      <c r="AA107" s="23">
        <f>EXP(-LN(2)/25)*AA106+(1-EXP(-LN(2)/25))/(LN(2)/25)*Calculateur!V107*Calculateur!X107*VLOOKUP('Données projet'!$B$9,Paramètres!$A$1:$I$89,3,0)*0.475*44/12</f>
        <v>0.42963303286971161</v>
      </c>
      <c r="AB107" s="23">
        <f>EXP(-LN(2)/2)*AB106+(1-EXP(-LN(2)/2))/(LN(2)/2)*V107*Y107*VLOOKUP('Données projet'!$B$9,Paramètres!$A$1:$I$89,3,0)*0.475*44/12</f>
        <v>8.0146029263344794E-9</v>
      </c>
      <c r="AC107" s="24">
        <f t="shared" si="57"/>
        <v>25.694311977488361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projet'!$B$10,Paramètres!$A$1:$I$89,3,0)*VLOOKUP('Données projet'!$B$10,Paramètres!$A$1:$I$89,5,0)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projet'!$B$10,Paramètres!$A$1:$I$89,3,0)*0.475*44/12</f>
        <v>#N/A</v>
      </c>
      <c r="AV107" s="23" t="e">
        <f>EXP(-LN(2)/25)*AV106+(1-EXP(-LN(2)/25))/(LN(2)/25)*Calculateur!AQ107*Calculateur!AS107*VLOOKUP('Données projet'!$B$10,Paramètres!$A$1:$I$89,3,0)*0.475*44/12</f>
        <v>#N/A</v>
      </c>
      <c r="AW107" s="23" t="e">
        <f>EXP(-LN(2)/2)*AW106+(1-EXP(-LN(2)/2))/(LN(2)/2)*AQ107*AT107*VLOOKUP('Données projet'!$B$10,Paramètres!$A$1:$I$89,3,0)*0.475*44/12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62.789999999999928</v>
      </c>
      <c r="D108" s="12">
        <f t="shared" si="86"/>
        <v>17.871791770153557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622.6524276994304</v>
      </c>
      <c r="H108" s="70">
        <f t="shared" si="56"/>
        <v>433.81928733301731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5.6843418860808015E-14</v>
      </c>
      <c r="O108" s="14">
        <f>N108*VLOOKUP('Données projet'!$B$9,Paramètres!$A$1:$I$89,3,0)*VLOOKUP('Données projet'!$B$9,Paramètres!$A$1:$I$89,5,0)</f>
        <v>3.3992364478763198E-14</v>
      </c>
      <c r="P108" s="14">
        <f t="shared" si="87"/>
        <v>5.790027782444094E-13</v>
      </c>
      <c r="Q108" s="22">
        <f t="shared" si="107"/>
        <v>1.0676332069095257E-12</v>
      </c>
      <c r="R108" s="62">
        <f t="shared" si="55"/>
        <v>293.33333333333439</v>
      </c>
      <c r="S108" s="62">
        <f ca="1">AVERAGE(OFFSET($R$3,0,0,'Données projet'!$E$9+1,1))-AVERAGE(OFFSET($H$3,0,0,'Données projet'!$E$9+1,1))</f>
        <v>157.21429387424644</v>
      </c>
      <c r="T108" s="62">
        <f t="shared" si="88"/>
        <v>264.58225136820056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24.769253992589789</v>
      </c>
      <c r="AA108" s="23">
        <f>EXP(-LN(2)/25)*AA107+(1-EXP(-LN(2)/25))/(LN(2)/25)*Calculateur!V108*Calculateur!X108*VLOOKUP('Données projet'!$B$9,Paramètres!$A$1:$I$89,3,0)*0.475*44/12</f>
        <v>0.41788469499247011</v>
      </c>
      <c r="AB108" s="23">
        <f>EXP(-LN(2)/2)*AB107+(1-EXP(-LN(2)/2))/(LN(2)/2)*V108*Y108*VLOOKUP('Données projet'!$B$9,Paramètres!$A$1:$I$89,3,0)*0.475*44/12</f>
        <v>5.6671800777286582E-9</v>
      </c>
      <c r="AC108" s="24">
        <f t="shared" si="57"/>
        <v>25.187138693249437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projet'!$B$10,Paramètres!$A$1:$I$89,3,0)*VLOOKUP('Données projet'!$B$10,Paramètres!$A$1:$I$89,5,0)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projet'!$B$10,Paramètres!$A$1:$I$89,3,0)*0.475*44/12</f>
        <v>#N/A</v>
      </c>
      <c r="AV108" s="23" t="e">
        <f>EXP(-LN(2)/25)*AV107+(1-EXP(-LN(2)/25))/(LN(2)/25)*Calculateur!AQ108*Calculateur!AS108*VLOOKUP('Données projet'!$B$10,Paramètres!$A$1:$I$89,3,0)*0.475*44/12</f>
        <v>#N/A</v>
      </c>
      <c r="AW108" s="23" t="e">
        <f>EXP(-LN(2)/2)*AW107+(1-EXP(-LN(2)/2))/(LN(2)/2)*AQ108*AT108*VLOOKUP('Données projet'!$B$10,Paramètres!$A$1:$I$89,3,0)*0.475*44/12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63.387999999999927</v>
      </c>
      <c r="D109" s="12">
        <f t="shared" si="86"/>
        <v>18.022104085041239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628.4288736389143</v>
      </c>
      <c r="H109" s="70">
        <f t="shared" si="56"/>
        <v>435.12259794811337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5.6843418860808015E-14</v>
      </c>
      <c r="O109" s="14">
        <f>N109*VLOOKUP('Données projet'!$B$9,Paramètres!$A$1:$I$89,3,0)*VLOOKUP('Données projet'!$B$9,Paramètres!$A$1:$I$89,5,0)</f>
        <v>3.3992364478763198E-14</v>
      </c>
      <c r="P109" s="14">
        <f t="shared" si="87"/>
        <v>5.790027782444094E-13</v>
      </c>
      <c r="Q109" s="22">
        <f t="shared" si="107"/>
        <v>1.0676332069095257E-12</v>
      </c>
      <c r="R109" s="62">
        <f t="shared" si="55"/>
        <v>293.33333333333439</v>
      </c>
      <c r="S109" s="62">
        <f ca="1">AVERAGE(OFFSET($R$3,0,0,'Données projet'!$E$9+1,1))-AVERAGE(OFFSET($H$3,0,0,'Données projet'!$E$9+1,1))</f>
        <v>157.21429387424644</v>
      </c>
      <c r="T109" s="62">
        <f t="shared" si="88"/>
        <v>264.58225136820056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24.283544029548271</v>
      </c>
      <c r="AA109" s="23">
        <f>EXP(-LN(2)/25)*AA108+(1-EXP(-LN(2)/25))/(LN(2)/25)*Calculateur!V109*Calculateur!X109*VLOOKUP('Données projet'!$B$9,Paramètres!$A$1:$I$89,3,0)*0.475*44/12</f>
        <v>0.40645761603230002</v>
      </c>
      <c r="AB109" s="23">
        <f>EXP(-LN(2)/2)*AB108+(1-EXP(-LN(2)/2))/(LN(2)/2)*V109*Y109*VLOOKUP('Données projet'!$B$9,Paramètres!$A$1:$I$89,3,0)*0.475*44/12</f>
        <v>4.0073014631672397E-9</v>
      </c>
      <c r="AC109" s="24">
        <f t="shared" si="57"/>
        <v>24.69000164958787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projet'!$B$10,Paramètres!$A$1:$I$89,3,0)*VLOOKUP('Données projet'!$B$10,Paramètres!$A$1:$I$89,5,0)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projet'!$B$10,Paramètres!$A$1:$I$89,3,0)*0.475*44/12</f>
        <v>#N/A</v>
      </c>
      <c r="AV109" s="23" t="e">
        <f>EXP(-LN(2)/25)*AV108+(1-EXP(-LN(2)/25))/(LN(2)/25)*Calculateur!AQ109*Calculateur!AS109*VLOOKUP('Données projet'!$B$10,Paramètres!$A$1:$I$89,3,0)*0.475*44/12</f>
        <v>#N/A</v>
      </c>
      <c r="AW109" s="23" t="e">
        <f>EXP(-LN(2)/2)*AW108+(1-EXP(-LN(2)/2))/(LN(2)/2)*AQ109*AT109*VLOOKUP('Données projet'!$B$10,Paramètres!$A$1:$I$89,3,0)*0.475*44/12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63.985999999999926</v>
      </c>
      <c r="D110" s="12">
        <f t="shared" si="86"/>
        <v>18.172251427996631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634.20404611085064</v>
      </c>
      <c r="H110" s="70">
        <f t="shared" si="56"/>
        <v>436.42562123709399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5.6843418860808015E-14</v>
      </c>
      <c r="O110" s="14">
        <f>N110*VLOOKUP('Données projet'!$B$9,Paramètres!$A$1:$I$89,3,0)*VLOOKUP('Données projet'!$B$9,Paramètres!$A$1:$I$89,5,0)</f>
        <v>3.3992364478763198E-14</v>
      </c>
      <c r="P110" s="14">
        <f t="shared" si="87"/>
        <v>5.790027782444094E-13</v>
      </c>
      <c r="Q110" s="22">
        <f t="shared" si="107"/>
        <v>1.0676332069095257E-12</v>
      </c>
      <c r="R110" s="62">
        <f t="shared" si="55"/>
        <v>293.33333333333439</v>
      </c>
      <c r="S110" s="62">
        <f ca="1">AVERAGE(OFFSET($R$3,0,0,'Données projet'!$E$9+1,1))-AVERAGE(OFFSET($H$3,0,0,'Données projet'!$E$9+1,1))</f>
        <v>157.21429387424644</v>
      </c>
      <c r="T110" s="62">
        <f t="shared" si="88"/>
        <v>264.58225136820056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23.807358542628172</v>
      </c>
      <c r="AA110" s="23">
        <f>EXP(-LN(2)/25)*AA109+(1-EXP(-LN(2)/25))/(LN(2)/25)*Calculateur!V110*Calculateur!X110*VLOOKUP('Données projet'!$B$9,Paramètres!$A$1:$I$89,3,0)*0.475*44/12</f>
        <v>0.3953430111472197</v>
      </c>
      <c r="AB110" s="23">
        <f>EXP(-LN(2)/2)*AB109+(1-EXP(-LN(2)/2))/(LN(2)/2)*V110*Y110*VLOOKUP('Données projet'!$B$9,Paramètres!$A$1:$I$89,3,0)*0.475*44/12</f>
        <v>2.8335900388643291E-9</v>
      </c>
      <c r="AC110" s="24">
        <f t="shared" si="57"/>
        <v>24.202701556608982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projet'!$B$10,Paramètres!$A$1:$I$89,3,0)*VLOOKUP('Données projet'!$B$10,Paramètres!$A$1:$I$89,5,0)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projet'!$B$10,Paramètres!$A$1:$I$89,3,0)*0.475*44/12</f>
        <v>#N/A</v>
      </c>
      <c r="AV110" s="23" t="e">
        <f>EXP(-LN(2)/25)*AV109+(1-EXP(-LN(2)/25))/(LN(2)/25)*Calculateur!AQ110*Calculateur!AS110*VLOOKUP('Données projet'!$B$10,Paramètres!$A$1:$I$89,3,0)*0.475*44/12</f>
        <v>#N/A</v>
      </c>
      <c r="AW110" s="23" t="e">
        <f>EXP(-LN(2)/2)*AW109+(1-EXP(-LN(2)/2))/(LN(2)/2)*AQ110*AT110*VLOOKUP('Données projet'!$B$10,Paramètres!$A$1:$I$89,3,0)*0.475*44/12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64.583999999999932</v>
      </c>
      <c r="D111" s="12">
        <f t="shared" si="86"/>
        <v>18.322235519392716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639.9779583953117</v>
      </c>
      <c r="H111" s="70">
        <f t="shared" si="56"/>
        <v>437.7283601962755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5.6843418860808015E-14</v>
      </c>
      <c r="O111" s="14">
        <f>N111*VLOOKUP('Données projet'!$B$9,Paramètres!$A$1:$I$89,3,0)*VLOOKUP('Données projet'!$B$9,Paramètres!$A$1:$I$89,5,0)</f>
        <v>3.3992364478763198E-14</v>
      </c>
      <c r="P111" s="14">
        <f t="shared" si="87"/>
        <v>5.790027782444094E-13</v>
      </c>
      <c r="Q111" s="22">
        <f t="shared" si="107"/>
        <v>1.0676332069095257E-12</v>
      </c>
      <c r="R111" s="62">
        <f t="shared" si="55"/>
        <v>293.33333333333439</v>
      </c>
      <c r="S111" s="62">
        <f ca="1">AVERAGE(OFFSET($R$3,0,0,'Données projet'!$E$9+1,1))-AVERAGE(OFFSET($H$3,0,0,'Données projet'!$E$9+1,1))</f>
        <v>157.21429387424644</v>
      </c>
      <c r="T111" s="62">
        <f t="shared" si="88"/>
        <v>264.58225136820056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23.34051076266211</v>
      </c>
      <c r="AA111" s="23">
        <f>EXP(-LN(2)/25)*AA110+(1-EXP(-LN(2)/25))/(LN(2)/25)*Calculateur!V111*Calculateur!X111*VLOOKUP('Données projet'!$B$9,Paramètres!$A$1:$I$89,3,0)*0.475*44/12</f>
        <v>0.38453233571721357</v>
      </c>
      <c r="AB111" s="23">
        <f>EXP(-LN(2)/2)*AB110+(1-EXP(-LN(2)/2))/(LN(2)/2)*V111*Y111*VLOOKUP('Données projet'!$B$9,Paramètres!$A$1:$I$89,3,0)*0.475*44/12</f>
        <v>2.0036507315836199E-9</v>
      </c>
      <c r="AC111" s="24">
        <f t="shared" si="57"/>
        <v>23.725043100382976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projet'!$B$10,Paramètres!$A$1:$I$89,3,0)*VLOOKUP('Données projet'!$B$10,Paramètres!$A$1:$I$89,5,0)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projet'!$B$10,Paramètres!$A$1:$I$89,3,0)*0.475*44/12</f>
        <v>#N/A</v>
      </c>
      <c r="AV111" s="23" t="e">
        <f>EXP(-LN(2)/25)*AV110+(1-EXP(-LN(2)/25))/(LN(2)/25)*Calculateur!AQ111*Calculateur!AS111*VLOOKUP('Données projet'!$B$10,Paramètres!$A$1:$I$89,3,0)*0.475*44/12</f>
        <v>#N/A</v>
      </c>
      <c r="AW111" s="23" t="e">
        <f>EXP(-LN(2)/2)*AW110+(1-EXP(-LN(2)/2))/(LN(2)/2)*AQ111*AT111*VLOOKUP('Données projet'!$B$10,Paramètres!$A$1:$I$89,3,0)*0.475*44/12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65.181999999999931</v>
      </c>
      <c r="D112" s="12">
        <f t="shared" si="86"/>
        <v>18.472058045906209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645.7506235122579</v>
      </c>
      <c r="H112" s="70">
        <f t="shared" si="56"/>
        <v>439.03081776328651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5.6843418860808015E-14</v>
      </c>
      <c r="O112" s="14">
        <f>N112*VLOOKUP('Données projet'!$B$9,Paramètres!$A$1:$I$89,3,0)*VLOOKUP('Données projet'!$B$9,Paramètres!$A$1:$I$89,5,0)</f>
        <v>3.3992364478763198E-14</v>
      </c>
      <c r="P112" s="14">
        <f t="shared" si="87"/>
        <v>5.790027782444094E-13</v>
      </c>
      <c r="Q112" s="22">
        <f t="shared" si="107"/>
        <v>1.0676332069095257E-12</v>
      </c>
      <c r="R112" s="62">
        <f t="shared" si="55"/>
        <v>293.33333333333439</v>
      </c>
      <c r="S112" s="62">
        <f ca="1">AVERAGE(OFFSET($R$3,0,0,'Données projet'!$E$9+1,1))-AVERAGE(OFFSET($H$3,0,0,'Données projet'!$E$9+1,1))</f>
        <v>157.21429387424644</v>
      </c>
      <c r="T112" s="62">
        <f t="shared" si="88"/>
        <v>264.58225136820056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22.882817582912153</v>
      </c>
      <c r="AA112" s="23">
        <f>EXP(-LN(2)/25)*AA111+(1-EXP(-LN(2)/25))/(LN(2)/25)*Calculateur!V112*Calculateur!X112*VLOOKUP('Données projet'!$B$9,Paramètres!$A$1:$I$89,3,0)*0.475*44/12</f>
        <v>0.37401727877534968</v>
      </c>
      <c r="AB112" s="23">
        <f>EXP(-LN(2)/2)*AB111+(1-EXP(-LN(2)/2))/(LN(2)/2)*V112*Y112*VLOOKUP('Données projet'!$B$9,Paramètres!$A$1:$I$89,3,0)*0.475*44/12</f>
        <v>1.4167950194321646E-9</v>
      </c>
      <c r="AC112" s="24">
        <f t="shared" si="57"/>
        <v>23.256834863104295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projet'!$B$10,Paramètres!$A$1:$I$89,3,0)*VLOOKUP('Données projet'!$B$10,Paramètres!$A$1:$I$89,5,0)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projet'!$B$10,Paramètres!$A$1:$I$89,3,0)*0.475*44/12</f>
        <v>#N/A</v>
      </c>
      <c r="AV112" s="23" t="e">
        <f>EXP(-LN(2)/25)*AV111+(1-EXP(-LN(2)/25))/(LN(2)/25)*Calculateur!AQ112*Calculateur!AS112*VLOOKUP('Données projet'!$B$10,Paramètres!$A$1:$I$89,3,0)*0.475*44/12</f>
        <v>#N/A</v>
      </c>
      <c r="AW112" s="23" t="e">
        <f>EXP(-LN(2)/2)*AW111+(1-EXP(-LN(2)/2))/(LN(2)/2)*AQ112*AT112*VLOOKUP('Données projet'!$B$10,Paramètres!$A$1:$I$89,3,0)*0.475*44/12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65.77999999999993</v>
      </c>
      <c r="D113" s="12">
        <f t="shared" si="86"/>
        <v>18.621720661480627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651.52205422897271</v>
      </c>
      <c r="H113" s="70">
        <f t="shared" si="56"/>
        <v>440.3329968187453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5.6843418860808015E-14</v>
      </c>
      <c r="O113" s="14">
        <f>N113*VLOOKUP('Données projet'!$B$9,Paramètres!$A$1:$I$89,3,0)*VLOOKUP('Données projet'!$B$9,Paramètres!$A$1:$I$89,5,0)</f>
        <v>3.3992364478763198E-14</v>
      </c>
      <c r="P113" s="14">
        <f t="shared" si="87"/>
        <v>5.790027782444094E-13</v>
      </c>
      <c r="Q113" s="22">
        <f t="shared" si="107"/>
        <v>1.0676332069095257E-12</v>
      </c>
      <c r="R113" s="62">
        <f t="shared" si="55"/>
        <v>293.33333333333439</v>
      </c>
      <c r="S113" s="62">
        <f ca="1">AVERAGE(OFFSET($R$3,0,0,'Données projet'!$E$9+1,1))-AVERAGE(OFFSET($H$3,0,0,'Données projet'!$E$9+1,1))</f>
        <v>157.21429387424644</v>
      </c>
      <c r="T113" s="62">
        <f t="shared" si="88"/>
        <v>264.58225136820056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22.434099487251817</v>
      </c>
      <c r="AA113" s="23">
        <f>EXP(-LN(2)/25)*AA112+(1-EXP(-LN(2)/25))/(LN(2)/25)*Calculateur!V113*Calculateur!X113*VLOOKUP('Données projet'!$B$9,Paramètres!$A$1:$I$89,3,0)*0.475*44/12</f>
        <v>0.36378975661852386</v>
      </c>
      <c r="AB113" s="23">
        <f>EXP(-LN(2)/2)*AB112+(1-EXP(-LN(2)/2))/(LN(2)/2)*V113*Y113*VLOOKUP('Données projet'!$B$9,Paramètres!$A$1:$I$89,3,0)*0.475*44/12</f>
        <v>1.0018253657918099E-9</v>
      </c>
      <c r="AC113" s="24">
        <f t="shared" si="57"/>
        <v>22.797889244872167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projet'!$B$10,Paramètres!$A$1:$I$89,3,0)*VLOOKUP('Données projet'!$B$10,Paramètres!$A$1:$I$89,5,0)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projet'!$B$10,Paramètres!$A$1:$I$89,3,0)*0.475*44/12</f>
        <v>#N/A</v>
      </c>
      <c r="AV113" s="23" t="e">
        <f>EXP(-LN(2)/25)*AV112+(1-EXP(-LN(2)/25))/(LN(2)/25)*Calculateur!AQ113*Calculateur!AS113*VLOOKUP('Données projet'!$B$10,Paramètres!$A$1:$I$89,3,0)*0.475*44/12</f>
        <v>#N/A</v>
      </c>
      <c r="AW113" s="23" t="e">
        <f>EXP(-LN(2)/2)*AW112+(1-EXP(-LN(2)/2))/(LN(2)/2)*AQ113*AT113*VLOOKUP('Données projet'!$B$10,Paramètres!$A$1:$I$89,3,0)*0.475*44/12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66.377999999999929</v>
      </c>
      <c r="D114" s="12">
        <f t="shared" si="86"/>
        <v>18.771224988253078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657.29226306721625</v>
      </c>
      <c r="H114" s="70">
        <f t="shared" si="56"/>
        <v>441.634900187874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5.6843418860808015E-14</v>
      </c>
      <c r="O114" s="14">
        <f>N114*VLOOKUP('Données projet'!$B$9,Paramètres!$A$1:$I$89,3,0)*VLOOKUP('Données projet'!$B$9,Paramètres!$A$1:$I$89,5,0)</f>
        <v>3.3992364478763198E-14</v>
      </c>
      <c r="P114" s="14">
        <f t="shared" si="87"/>
        <v>5.790027782444094E-13</v>
      </c>
      <c r="Q114" s="22">
        <f t="shared" si="107"/>
        <v>1.0676332069095257E-12</v>
      </c>
      <c r="R114" s="62">
        <f t="shared" si="55"/>
        <v>293.33333333333439</v>
      </c>
      <c r="S114" s="62">
        <f ca="1">AVERAGE(OFFSET($R$3,0,0,'Données projet'!$E$9+1,1))-AVERAGE(OFFSET($H$3,0,0,'Données projet'!$E$9+1,1))</f>
        <v>157.21429387424644</v>
      </c>
      <c r="T114" s="62">
        <f t="shared" si="88"/>
        <v>264.58225136820056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21.994180479756366</v>
      </c>
      <c r="AA114" s="23">
        <f>EXP(-LN(2)/25)*AA113+(1-EXP(-LN(2)/25))/(LN(2)/25)*Calculateur!V114*Calculateur!X114*VLOOKUP('Données projet'!$B$9,Paramètres!$A$1:$I$89,3,0)*0.475*44/12</f>
        <v>0.35384190659291848</v>
      </c>
      <c r="AB114" s="23">
        <f>EXP(-LN(2)/2)*AB113+(1-EXP(-LN(2)/2))/(LN(2)/2)*V114*Y114*VLOOKUP('Données projet'!$B$9,Paramètres!$A$1:$I$89,3,0)*0.475*44/12</f>
        <v>7.0839750971608228E-10</v>
      </c>
      <c r="AC114" s="24">
        <f t="shared" si="57"/>
        <v>22.348022387057682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projet'!$B$10,Paramètres!$A$1:$I$89,3,0)*VLOOKUP('Données projet'!$B$10,Paramètres!$A$1:$I$89,5,0)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projet'!$B$10,Paramètres!$A$1:$I$89,3,0)*0.475*44/12</f>
        <v>#N/A</v>
      </c>
      <c r="AV114" s="23" t="e">
        <f>EXP(-LN(2)/25)*AV113+(1-EXP(-LN(2)/25))/(LN(2)/25)*Calculateur!AQ114*Calculateur!AS114*VLOOKUP('Données projet'!$B$10,Paramètres!$A$1:$I$89,3,0)*0.475*44/12</f>
        <v>#N/A</v>
      </c>
      <c r="AW114" s="23" t="e">
        <f>EXP(-LN(2)/2)*AW113+(1-EXP(-LN(2)/2))/(LN(2)/2)*AQ114*AT114*VLOOKUP('Données projet'!$B$10,Paramètres!$A$1:$I$89,3,0)*0.475*44/12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66.975999999999928</v>
      </c>
      <c r="D115" s="12">
        <f t="shared" si="86"/>
        <v>18.92057261744694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663.06126231011615</v>
      </c>
      <c r="H115" s="70">
        <f t="shared" si="56"/>
        <v>442.9365306420533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5.6843418860808015E-14</v>
      </c>
      <c r="O115" s="14">
        <f>N115*VLOOKUP('Données projet'!$B$9,Paramètres!$A$1:$I$89,3,0)*VLOOKUP('Données projet'!$B$9,Paramètres!$A$1:$I$89,5,0)</f>
        <v>3.3992364478763198E-14</v>
      </c>
      <c r="P115" s="14">
        <f t="shared" si="87"/>
        <v>5.790027782444094E-13</v>
      </c>
      <c r="Q115" s="22">
        <f t="shared" si="107"/>
        <v>1.0676332069095257E-12</v>
      </c>
      <c r="R115" s="62">
        <f t="shared" si="55"/>
        <v>293.33333333333439</v>
      </c>
      <c r="S115" s="62">
        <f ca="1">AVERAGE(OFFSET($R$3,0,0,'Données projet'!$E$9+1,1))-AVERAGE(OFFSET($H$3,0,0,'Données projet'!$E$9+1,1))</f>
        <v>157.21429387424644</v>
      </c>
      <c r="T115" s="62">
        <f t="shared" si="88"/>
        <v>264.58225136820056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21.562888015673803</v>
      </c>
      <c r="AA115" s="23">
        <f>EXP(-LN(2)/25)*AA114+(1-EXP(-LN(2)/25))/(LN(2)/25)*Calculateur!V115*Calculateur!X115*VLOOKUP('Données projet'!$B$9,Paramètres!$A$1:$I$89,3,0)*0.475*44/12</f>
        <v>0.34416608104939794</v>
      </c>
      <c r="AB115" s="23">
        <f>EXP(-LN(2)/2)*AB114+(1-EXP(-LN(2)/2))/(LN(2)/2)*V115*Y115*VLOOKUP('Données projet'!$B$9,Paramètres!$A$1:$I$89,3,0)*0.475*44/12</f>
        <v>5.0091268289590496E-10</v>
      </c>
      <c r="AC115" s="24">
        <f t="shared" si="57"/>
        <v>21.907054097224112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projet'!$B$10,Paramètres!$A$1:$I$89,3,0)*VLOOKUP('Données projet'!$B$10,Paramètres!$A$1:$I$89,5,0)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projet'!$B$10,Paramètres!$A$1:$I$89,3,0)*0.475*44/12</f>
        <v>#N/A</v>
      </c>
      <c r="AV115" s="23" t="e">
        <f>EXP(-LN(2)/25)*AV114+(1-EXP(-LN(2)/25))/(LN(2)/25)*Calculateur!AQ115*Calculateur!AS115*VLOOKUP('Données projet'!$B$10,Paramètres!$A$1:$I$89,3,0)*0.475*44/12</f>
        <v>#N/A</v>
      </c>
      <c r="AW115" s="23" t="e">
        <f>EXP(-LN(2)/2)*AW114+(1-EXP(-LN(2)/2))/(LN(2)/2)*AQ115*AT115*VLOOKUP('Données projet'!$B$10,Paramètres!$A$1:$I$89,3,0)*0.475*44/12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67.573999999999927</v>
      </c>
      <c r="D116" s="12">
        <f t="shared" si="86"/>
        <v>19.069765110231589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668.82906400880472</v>
      </c>
      <c r="H116" s="70">
        <f t="shared" si="56"/>
        <v>444.23789090031983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5.6843418860808015E-14</v>
      </c>
      <c r="O116" s="14">
        <f>N116*VLOOKUP('Données projet'!$B$9,Paramètres!$A$1:$I$89,3,0)*VLOOKUP('Données projet'!$B$9,Paramètres!$A$1:$I$89,5,0)</f>
        <v>3.3992364478763198E-14</v>
      </c>
      <c r="P116" s="14">
        <f t="shared" si="87"/>
        <v>5.790027782444094E-13</v>
      </c>
      <c r="Q116" s="22">
        <f t="shared" si="107"/>
        <v>1.0676332069095257E-12</v>
      </c>
      <c r="R116" s="62">
        <f t="shared" si="55"/>
        <v>293.33333333333439</v>
      </c>
      <c r="S116" s="62">
        <f ca="1">AVERAGE(OFFSET($R$3,0,0,'Données projet'!$E$9+1,1))-AVERAGE(OFFSET($H$3,0,0,'Données projet'!$E$9+1,1))</f>
        <v>157.21429387424644</v>
      </c>
      <c r="T116" s="62">
        <f t="shared" si="88"/>
        <v>264.58225136820056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21.14005293374947</v>
      </c>
      <c r="AA116" s="23">
        <f>EXP(-LN(2)/25)*AA115+(1-EXP(-LN(2)/25))/(LN(2)/25)*Calculateur!V116*Calculateur!X116*VLOOKUP('Données projet'!$B$9,Paramètres!$A$1:$I$89,3,0)*0.475*44/12</f>
        <v>0.33475484146419454</v>
      </c>
      <c r="AB116" s="23">
        <f>EXP(-LN(2)/2)*AB115+(1-EXP(-LN(2)/2))/(LN(2)/2)*V116*Y116*VLOOKUP('Données projet'!$B$9,Paramètres!$A$1:$I$89,3,0)*0.475*44/12</f>
        <v>3.5419875485804114E-10</v>
      </c>
      <c r="AC116" s="24">
        <f t="shared" si="57"/>
        <v>21.474807775567861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projet'!$B$10,Paramètres!$A$1:$I$89,3,0)*VLOOKUP('Données projet'!$B$10,Paramètres!$A$1:$I$89,5,0)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projet'!$B$10,Paramètres!$A$1:$I$89,3,0)*0.475*44/12</f>
        <v>#N/A</v>
      </c>
      <c r="AV116" s="23" t="e">
        <f>EXP(-LN(2)/25)*AV115+(1-EXP(-LN(2)/25))/(LN(2)/25)*Calculateur!AQ116*Calculateur!AS116*VLOOKUP('Données projet'!$B$10,Paramètres!$A$1:$I$89,3,0)*0.475*44/12</f>
        <v>#N/A</v>
      </c>
      <c r="AW116" s="23" t="e">
        <f>EXP(-LN(2)/2)*AW115+(1-EXP(-LN(2)/2))/(LN(2)/2)*AQ116*AT116*VLOOKUP('Données projet'!$B$10,Paramètres!$A$1:$I$89,3,0)*0.475*44/12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68.171999999999926</v>
      </c>
      <c r="D117" s="12">
        <f t="shared" si="86"/>
        <v>19.218803998550822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674.59567998881278</v>
      </c>
      <c r="H117" s="70">
        <f t="shared" si="56"/>
        <v>445.53898363080918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5.6843418860808015E-14</v>
      </c>
      <c r="O117" s="14">
        <f>N117*VLOOKUP('Données projet'!$B$9,Paramètres!$A$1:$I$89,3,0)*VLOOKUP('Données projet'!$B$9,Paramètres!$A$1:$I$89,5,0)</f>
        <v>3.3992364478763198E-14</v>
      </c>
      <c r="P117" s="14">
        <f t="shared" si="87"/>
        <v>5.790027782444094E-13</v>
      </c>
      <c r="Q117" s="22">
        <f t="shared" si="107"/>
        <v>1.0676332069095257E-12</v>
      </c>
      <c r="R117" s="62">
        <f t="shared" si="55"/>
        <v>293.33333333333439</v>
      </c>
      <c r="S117" s="62">
        <f ca="1">AVERAGE(OFFSET($R$3,0,0,'Données projet'!$E$9+1,1))-AVERAGE(OFFSET($H$3,0,0,'Données projet'!$E$9+1,1))</f>
        <v>157.21429387424644</v>
      </c>
      <c r="T117" s="62">
        <f t="shared" si="88"/>
        <v>264.58225136820056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20.72550938987774</v>
      </c>
      <c r="AA117" s="23">
        <f>EXP(-LN(2)/25)*AA116+(1-EXP(-LN(2)/25))/(LN(2)/25)*Calculateur!V117*Calculateur!X117*VLOOKUP('Données projet'!$B$9,Paramètres!$A$1:$I$89,3,0)*0.475*44/12</f>
        <v>0.3256009527203641</v>
      </c>
      <c r="AB117" s="23">
        <f>EXP(-LN(2)/2)*AB116+(1-EXP(-LN(2)/2))/(LN(2)/2)*V117*Y117*VLOOKUP('Données projet'!$B$9,Paramètres!$A$1:$I$89,3,0)*0.475*44/12</f>
        <v>2.5045634144795248E-10</v>
      </c>
      <c r="AC117" s="24">
        <f t="shared" si="57"/>
        <v>21.05111034284856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projet'!$B$10,Paramètres!$A$1:$I$89,3,0)*VLOOKUP('Données projet'!$B$10,Paramètres!$A$1:$I$89,5,0)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projet'!$B$10,Paramètres!$A$1:$I$89,3,0)*0.475*44/12</f>
        <v>#N/A</v>
      </c>
      <c r="AV117" s="23" t="e">
        <f>EXP(-LN(2)/25)*AV116+(1-EXP(-LN(2)/25))/(LN(2)/25)*Calculateur!AQ117*Calculateur!AS117*VLOOKUP('Données projet'!$B$10,Paramètres!$A$1:$I$89,3,0)*0.475*44/12</f>
        <v>#N/A</v>
      </c>
      <c r="AW117" s="23" t="e">
        <f>EXP(-LN(2)/2)*AW116+(1-EXP(-LN(2)/2))/(LN(2)/2)*AQ117*AT117*VLOOKUP('Données projet'!$B$10,Paramètres!$A$1:$I$89,3,0)*0.475*44/12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68.769999999999925</v>
      </c>
      <c r="D118" s="12">
        <f t="shared" si="86"/>
        <v>19.367690785921507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680.36112185623563</v>
      </c>
      <c r="H118" s="70">
        <f t="shared" si="56"/>
        <v>446.83981145214648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5.6843418860808015E-14</v>
      </c>
      <c r="O118" s="14">
        <f>N118*VLOOKUP('Données projet'!$B$9,Paramètres!$A$1:$I$89,3,0)*VLOOKUP('Données projet'!$B$9,Paramètres!$A$1:$I$89,5,0)</f>
        <v>3.3992364478763198E-14</v>
      </c>
      <c r="P118" s="14">
        <f t="shared" si="87"/>
        <v>5.790027782444094E-13</v>
      </c>
      <c r="Q118" s="22">
        <f t="shared" si="107"/>
        <v>1.0676332069095257E-12</v>
      </c>
      <c r="R118" s="62">
        <f t="shared" si="55"/>
        <v>293.33333333333439</v>
      </c>
      <c r="S118" s="62">
        <f ca="1">AVERAGE(OFFSET($R$3,0,0,'Données projet'!$E$9+1,1))-AVERAGE(OFFSET($H$3,0,0,'Données projet'!$E$9+1,1))</f>
        <v>157.21429387424644</v>
      </c>
      <c r="T118" s="62">
        <f t="shared" si="88"/>
        <v>264.58225136820056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20.319094792054738</v>
      </c>
      <c r="AA118" s="23">
        <f>EXP(-LN(2)/25)*AA117+(1-EXP(-LN(2)/25))/(LN(2)/25)*Calculateur!V118*Calculateur!X118*VLOOKUP('Données projet'!$B$9,Paramètres!$A$1:$I$89,3,0)*0.475*44/12</f>
        <v>0.31669737754561583</v>
      </c>
      <c r="AB118" s="23">
        <f>EXP(-LN(2)/2)*AB117+(1-EXP(-LN(2)/2))/(LN(2)/2)*V118*Y118*VLOOKUP('Données projet'!$B$9,Paramètres!$A$1:$I$89,3,0)*0.475*44/12</f>
        <v>1.7709937742902057E-10</v>
      </c>
      <c r="AC118" s="24">
        <f t="shared" si="57"/>
        <v>20.635792169777453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projet'!$B$10,Paramètres!$A$1:$I$89,3,0)*VLOOKUP('Données projet'!$B$10,Paramètres!$A$1:$I$89,5,0)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projet'!$B$10,Paramètres!$A$1:$I$89,3,0)*0.475*44/12</f>
        <v>#N/A</v>
      </c>
      <c r="AV118" s="23" t="e">
        <f>EXP(-LN(2)/25)*AV117+(1-EXP(-LN(2)/25))/(LN(2)/25)*Calculateur!AQ118*Calculateur!AS118*VLOOKUP('Données projet'!$B$10,Paramètres!$A$1:$I$89,3,0)*0.475*44/12</f>
        <v>#N/A</v>
      </c>
      <c r="AW118" s="23" t="e">
        <f>EXP(-LN(2)/2)*AW117+(1-EXP(-LN(2)/2))/(LN(2)/2)*AQ118*AT118*VLOOKUP('Données projet'!$B$10,Paramètres!$A$1:$I$89,3,0)*0.475*44/12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69.367999999999924</v>
      </c>
      <c r="D119" s="12">
        <f t="shared" si="86"/>
        <v>19.516426948203513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686.12540100367562</v>
      </c>
      <c r="H119" s="70">
        <f t="shared" si="56"/>
        <v>448.14037693478764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5.6843418860808015E-14</v>
      </c>
      <c r="O119" s="14">
        <f>N119*VLOOKUP('Données projet'!$B$9,Paramètres!$A$1:$I$89,3,0)*VLOOKUP('Données projet'!$B$9,Paramètres!$A$1:$I$89,5,0)</f>
        <v>3.3992364478763198E-14</v>
      </c>
      <c r="P119" s="14">
        <f t="shared" si="87"/>
        <v>5.790027782444094E-13</v>
      </c>
      <c r="Q119" s="22">
        <f t="shared" si="107"/>
        <v>1.0676332069095257E-12</v>
      </c>
      <c r="R119" s="62">
        <f t="shared" si="55"/>
        <v>293.33333333333439</v>
      </c>
      <c r="S119" s="62">
        <f ca="1">AVERAGE(OFFSET($R$3,0,0,'Données projet'!$E$9+1,1))-AVERAGE(OFFSET($H$3,0,0,'Données projet'!$E$9+1,1))</f>
        <v>157.21429387424644</v>
      </c>
      <c r="T119" s="62">
        <f t="shared" si="88"/>
        <v>264.58225136820056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19.92064973660662</v>
      </c>
      <c r="AA119" s="23">
        <f>EXP(-LN(2)/25)*AA118+(1-EXP(-LN(2)/25))/(LN(2)/25)*Calculateur!V119*Calculateur!X119*VLOOKUP('Données projet'!$B$9,Paramètres!$A$1:$I$89,3,0)*0.475*44/12</f>
        <v>0.30803727110223972</v>
      </c>
      <c r="AB119" s="23">
        <f>EXP(-LN(2)/2)*AB118+(1-EXP(-LN(2)/2))/(LN(2)/2)*V119*Y119*VLOOKUP('Données projet'!$B$9,Paramètres!$A$1:$I$89,3,0)*0.475*44/12</f>
        <v>1.2522817072397624E-10</v>
      </c>
      <c r="AC119" s="24">
        <f t="shared" si="57"/>
        <v>20.22868700783409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projet'!$B$10,Paramètres!$A$1:$I$89,3,0)*VLOOKUP('Données projet'!$B$10,Paramètres!$A$1:$I$89,5,0)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projet'!$B$10,Paramètres!$A$1:$I$89,3,0)*0.475*44/12</f>
        <v>#N/A</v>
      </c>
      <c r="AV119" s="23" t="e">
        <f>EXP(-LN(2)/25)*AV118+(1-EXP(-LN(2)/25))/(LN(2)/25)*Calculateur!AQ119*Calculateur!AS119*VLOOKUP('Données projet'!$B$10,Paramètres!$A$1:$I$89,3,0)*0.475*44/12</f>
        <v>#N/A</v>
      </c>
      <c r="AW119" s="23" t="e">
        <f>EXP(-LN(2)/2)*AW118+(1-EXP(-LN(2)/2))/(LN(2)/2)*AQ119*AT119*VLOOKUP('Données projet'!$B$10,Paramètres!$A$1:$I$89,3,0)*0.475*44/12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69.965999999999923</v>
      </c>
      <c r="D120" s="12">
        <f t="shared" si="86"/>
        <v>19.665013934342443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691.88852861597616</v>
      </c>
      <c r="H120" s="70">
        <f t="shared" si="56"/>
        <v>449.4406826023129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5.6843418860808015E-14</v>
      </c>
      <c r="O120" s="14">
        <f>N120*VLOOKUP('Données projet'!$B$9,Paramètres!$A$1:$I$89,3,0)*VLOOKUP('Données projet'!$B$9,Paramètres!$A$1:$I$89,5,0)</f>
        <v>3.3992364478763198E-14</v>
      </c>
      <c r="P120" s="14">
        <f t="shared" si="87"/>
        <v>5.790027782444094E-13</v>
      </c>
      <c r="Q120" s="22">
        <f t="shared" si="107"/>
        <v>1.0676332069095257E-12</v>
      </c>
      <c r="R120" s="62">
        <f t="shared" si="55"/>
        <v>293.33333333333439</v>
      </c>
      <c r="S120" s="62">
        <f ca="1">AVERAGE(OFFSET($R$3,0,0,'Données projet'!$E$9+1,1))-AVERAGE(OFFSET($H$3,0,0,'Données projet'!$E$9+1,1))</f>
        <v>157.21429387424644</v>
      </c>
      <c r="T120" s="62">
        <f t="shared" si="88"/>
        <v>264.58225136820056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19.530017945668352</v>
      </c>
      <c r="AA120" s="23">
        <f>EXP(-LN(2)/25)*AA119+(1-EXP(-LN(2)/25))/(LN(2)/25)*Calculateur!V120*Calculateur!X120*VLOOKUP('Données projet'!$B$9,Paramètres!$A$1:$I$89,3,0)*0.475*44/12</f>
        <v>0.29961397572497289</v>
      </c>
      <c r="AB120" s="23">
        <f>EXP(-LN(2)/2)*AB119+(1-EXP(-LN(2)/2))/(LN(2)/2)*V120*Y120*VLOOKUP('Données projet'!$B$9,Paramètres!$A$1:$I$89,3,0)*0.475*44/12</f>
        <v>8.8549688714510285E-11</v>
      </c>
      <c r="AC120" s="24">
        <f t="shared" si="57"/>
        <v>19.829631921481877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projet'!$B$10,Paramètres!$A$1:$I$89,3,0)*VLOOKUP('Données projet'!$B$10,Paramètres!$A$1:$I$89,5,0)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projet'!$B$10,Paramètres!$A$1:$I$89,3,0)*0.475*44/12</f>
        <v>#N/A</v>
      </c>
      <c r="AV120" s="23" t="e">
        <f>EXP(-LN(2)/25)*AV119+(1-EXP(-LN(2)/25))/(LN(2)/25)*Calculateur!AQ120*Calculateur!AS120*VLOOKUP('Données projet'!$B$10,Paramètres!$A$1:$I$89,3,0)*0.475*44/12</f>
        <v>#N/A</v>
      </c>
      <c r="AW120" s="23" t="e">
        <f>EXP(-LN(2)/2)*AW119+(1-EXP(-LN(2)/2))/(LN(2)/2)*AQ120*AT120*VLOOKUP('Données projet'!$B$10,Paramètres!$A$1:$I$89,3,0)*0.475*44/12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70.563999999999922</v>
      </c>
      <c r="D121" s="12">
        <f t="shared" si="86"/>
        <v>19.813453167086145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697.6505156757521</v>
      </c>
      <c r="H121" s="70">
        <f t="shared" si="56"/>
        <v>450.74073093267486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5.6843418860808015E-14</v>
      </c>
      <c r="O121" s="14">
        <f>N121*VLOOKUP('Données projet'!$B$9,Paramètres!$A$1:$I$89,3,0)*VLOOKUP('Données projet'!$B$9,Paramètres!$A$1:$I$89,5,0)</f>
        <v>3.3992364478763198E-14</v>
      </c>
      <c r="P121" s="14">
        <f t="shared" si="87"/>
        <v>5.790027782444094E-13</v>
      </c>
      <c r="Q121" s="22">
        <f t="shared" si="107"/>
        <v>1.0676332069095257E-12</v>
      </c>
      <c r="R121" s="62">
        <f t="shared" si="55"/>
        <v>293.33333333333439</v>
      </c>
      <c r="S121" s="62">
        <f ca="1">AVERAGE(OFFSET($R$3,0,0,'Données projet'!$E$9+1,1))-AVERAGE(OFFSET($H$3,0,0,'Données projet'!$E$9+1,1))</f>
        <v>157.21429387424644</v>
      </c>
      <c r="T121" s="62">
        <f t="shared" si="88"/>
        <v>264.58225136820056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19.147046205888515</v>
      </c>
      <c r="AA121" s="23">
        <f>EXP(-LN(2)/25)*AA120+(1-EXP(-LN(2)/25))/(LN(2)/25)*Calculateur!V121*Calculateur!X121*VLOOKUP('Données projet'!$B$9,Paramètres!$A$1:$I$89,3,0)*0.475*44/12</f>
        <v>0.29142101580275931</v>
      </c>
      <c r="AB121" s="23">
        <f>EXP(-LN(2)/2)*AB120+(1-EXP(-LN(2)/2))/(LN(2)/2)*V121*Y121*VLOOKUP('Données projet'!$B$9,Paramètres!$A$1:$I$89,3,0)*0.475*44/12</f>
        <v>6.2614085361988121E-11</v>
      </c>
      <c r="AC121" s="24">
        <f t="shared" si="57"/>
        <v>19.438467221753886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projet'!$B$10,Paramètres!$A$1:$I$89,3,0)*VLOOKUP('Données projet'!$B$10,Paramètres!$A$1:$I$89,5,0)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projet'!$B$10,Paramètres!$A$1:$I$89,3,0)*0.475*44/12</f>
        <v>#N/A</v>
      </c>
      <c r="AV121" s="23" t="e">
        <f>EXP(-LN(2)/25)*AV120+(1-EXP(-LN(2)/25))/(LN(2)/25)*Calculateur!AQ121*Calculateur!AS121*VLOOKUP('Données projet'!$B$10,Paramètres!$A$1:$I$89,3,0)*0.475*44/12</f>
        <v>#N/A</v>
      </c>
      <c r="AW121" s="23" t="e">
        <f>EXP(-LN(2)/2)*AW120+(1-EXP(-LN(2)/2))/(LN(2)/2)*AQ121*AT121*VLOOKUP('Données projet'!$B$10,Paramètres!$A$1:$I$89,3,0)*0.475*44/12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71.161999999999921</v>
      </c>
      <c r="D122" s="12">
        <f t="shared" si="86"/>
        <v>19.961746043676328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703.4113729687291</v>
      </c>
      <c r="H122" s="70">
        <f t="shared" si="56"/>
        <v>452.04052435940275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5.6843418860808015E-14</v>
      </c>
      <c r="O122" s="14">
        <f>N122*VLOOKUP('Données projet'!$B$9,Paramètres!$A$1:$I$89,3,0)*VLOOKUP('Données projet'!$B$9,Paramètres!$A$1:$I$89,5,0)</f>
        <v>3.3992364478763198E-14</v>
      </c>
      <c r="P122" s="14">
        <f t="shared" si="87"/>
        <v>5.790027782444094E-13</v>
      </c>
      <c r="Q122" s="22">
        <f t="shared" si="107"/>
        <v>1.0676332069095257E-12</v>
      </c>
      <c r="R122" s="62">
        <f t="shared" si="55"/>
        <v>293.33333333333439</v>
      </c>
      <c r="S122" s="62">
        <f ca="1">AVERAGE(OFFSET($R$3,0,0,'Données projet'!$E$9+1,1))-AVERAGE(OFFSET($H$3,0,0,'Données projet'!$E$9+1,1))</f>
        <v>157.21429387424644</v>
      </c>
      <c r="T122" s="62">
        <f t="shared" si="88"/>
        <v>264.58225136820056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18.771584308336067</v>
      </c>
      <c r="AA122" s="23">
        <f>EXP(-LN(2)/25)*AA121+(1-EXP(-LN(2)/25))/(LN(2)/25)*Calculateur!V122*Calculateur!X122*VLOOKUP('Données projet'!$B$9,Paramètres!$A$1:$I$89,3,0)*0.475*44/12</f>
        <v>0.28345209280046768</v>
      </c>
      <c r="AB122" s="23">
        <f>EXP(-LN(2)/2)*AB121+(1-EXP(-LN(2)/2))/(LN(2)/2)*V122*Y122*VLOOKUP('Données projet'!$B$9,Paramètres!$A$1:$I$89,3,0)*0.475*44/12</f>
        <v>4.4274844357255142E-11</v>
      </c>
      <c r="AC122" s="24">
        <f t="shared" si="57"/>
        <v>19.055036401180807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projet'!$B$10,Paramètres!$A$1:$I$89,3,0)*VLOOKUP('Données projet'!$B$10,Paramètres!$A$1:$I$89,5,0)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projet'!$B$10,Paramètres!$A$1:$I$89,3,0)*0.475*44/12</f>
        <v>#N/A</v>
      </c>
      <c r="AV122" s="23" t="e">
        <f>EXP(-LN(2)/25)*AV121+(1-EXP(-LN(2)/25))/(LN(2)/25)*Calculateur!AQ122*Calculateur!AS122*VLOOKUP('Données projet'!$B$10,Paramètres!$A$1:$I$89,3,0)*0.475*44/12</f>
        <v>#N/A</v>
      </c>
      <c r="AW122" s="23" t="e">
        <f>EXP(-LN(2)/2)*AW121+(1-EXP(-LN(2)/2))/(LN(2)/2)*AQ122*AT122*VLOOKUP('Données projet'!$B$10,Paramètres!$A$1:$I$89,3,0)*0.475*44/12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71.75999999999992</v>
      </c>
      <c r="D123" s="12">
        <f t="shared" si="86"/>
        <v>20.109893936516197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709.1711110888964</v>
      </c>
      <c r="H123" s="70">
        <f t="shared" si="56"/>
        <v>453.34006527276551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5.6843418860808015E-14</v>
      </c>
      <c r="O123" s="14">
        <f>N123*VLOOKUP('Données projet'!$B$9,Paramètres!$A$1:$I$89,3,0)*VLOOKUP('Données projet'!$B$9,Paramètres!$A$1:$I$89,5,0)</f>
        <v>3.3992364478763198E-14</v>
      </c>
      <c r="P123" s="14">
        <f t="shared" si="87"/>
        <v>5.790027782444094E-13</v>
      </c>
      <c r="Q123" s="22">
        <f t="shared" si="107"/>
        <v>1.0676332069095257E-12</v>
      </c>
      <c r="R123" s="62">
        <f t="shared" si="55"/>
        <v>293.33333333333439</v>
      </c>
      <c r="S123" s="62">
        <f ca="1">AVERAGE(OFFSET($R$3,0,0,'Données projet'!$E$9+1,1))-AVERAGE(OFFSET($H$3,0,0,'Données projet'!$E$9+1,1))</f>
        <v>157.21429387424644</v>
      </c>
      <c r="T123" s="62">
        <f t="shared" si="88"/>
        <v>264.58225136820056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18.403484989585476</v>
      </c>
      <c r="AA123" s="23">
        <f>EXP(-LN(2)/25)*AA122+(1-EXP(-LN(2)/25))/(LN(2)/25)*Calculateur!V123*Calculateur!X123*VLOOKUP('Données projet'!$B$9,Paramètres!$A$1:$I$89,3,0)*0.475*44/12</f>
        <v>0.27570108041674118</v>
      </c>
      <c r="AB123" s="23">
        <f>EXP(-LN(2)/2)*AB122+(1-EXP(-LN(2)/2))/(LN(2)/2)*V123*Y123*VLOOKUP('Données projet'!$B$9,Paramètres!$A$1:$I$89,3,0)*0.475*44/12</f>
        <v>3.130704268099406E-11</v>
      </c>
      <c r="AC123" s="24">
        <f t="shared" si="57"/>
        <v>18.679186070033523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projet'!$B$10,Paramètres!$A$1:$I$89,3,0)*VLOOKUP('Données projet'!$B$10,Paramètres!$A$1:$I$89,5,0)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projet'!$B$10,Paramètres!$A$1:$I$89,3,0)*0.475*44/12</f>
        <v>#N/A</v>
      </c>
      <c r="AV123" s="23" t="e">
        <f>EXP(-LN(2)/25)*AV122+(1-EXP(-LN(2)/25))/(LN(2)/25)*Calculateur!AQ123*Calculateur!AS123*VLOOKUP('Données projet'!$B$10,Paramètres!$A$1:$I$89,3,0)*0.475*44/12</f>
        <v>#N/A</v>
      </c>
      <c r="AW123" s="23" t="e">
        <f>EXP(-LN(2)/2)*AW122+(1-EXP(-LN(2)/2))/(LN(2)/2)*AQ123*AT123*VLOOKUP('Données projet'!$B$10,Paramètres!$A$1:$I$89,3,0)*0.475*44/12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72.357999999999919</v>
      </c>
      <c r="D124" s="12">
        <f t="shared" si="86"/>
        <v>20.257898193815301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714.92974044348591</v>
      </c>
      <c r="H124" s="70">
        <f t="shared" si="56"/>
        <v>454.63935602089481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5.6843418860808015E-14</v>
      </c>
      <c r="O124" s="14">
        <f>N124*VLOOKUP('Données projet'!$B$9,Paramètres!$A$1:$I$89,3,0)*VLOOKUP('Données projet'!$B$9,Paramètres!$A$1:$I$89,5,0)</f>
        <v>3.3992364478763198E-14</v>
      </c>
      <c r="P124" s="14">
        <f t="shared" si="87"/>
        <v>5.790027782444094E-13</v>
      </c>
      <c r="Q124" s="22">
        <f t="shared" si="107"/>
        <v>1.0676332069095257E-12</v>
      </c>
      <c r="R124" s="62">
        <f t="shared" si="55"/>
        <v>293.33333333333439</v>
      </c>
      <c r="S124" s="62">
        <f ca="1">AVERAGE(OFFSET($R$3,0,0,'Données projet'!$E$9+1,1))-AVERAGE(OFFSET($H$3,0,0,'Données projet'!$E$9+1,1))</f>
        <v>157.21429387424644</v>
      </c>
      <c r="T124" s="62">
        <f t="shared" si="88"/>
        <v>264.58225136820056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18.042603873957169</v>
      </c>
      <c r="AA124" s="23">
        <f>EXP(-LN(2)/25)*AA123+(1-EXP(-LN(2)/25))/(LN(2)/25)*Calculateur!V124*Calculateur!X124*VLOOKUP('Données projet'!$B$9,Paramètres!$A$1:$I$89,3,0)*0.475*44/12</f>
        <v>0.2681620198742557</v>
      </c>
      <c r="AB124" s="23">
        <f>EXP(-LN(2)/2)*AB123+(1-EXP(-LN(2)/2))/(LN(2)/2)*V124*Y124*VLOOKUP('Données projet'!$B$9,Paramètres!$A$1:$I$89,3,0)*0.475*44/12</f>
        <v>2.2137422178627571E-11</v>
      </c>
      <c r="AC124" s="24">
        <f t="shared" si="57"/>
        <v>18.310765893853564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projet'!$B$10,Paramètres!$A$1:$I$89,3,0)*VLOOKUP('Données projet'!$B$10,Paramètres!$A$1:$I$89,5,0)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projet'!$B$10,Paramètres!$A$1:$I$89,3,0)*0.475*44/12</f>
        <v>#N/A</v>
      </c>
      <c r="AV124" s="23" t="e">
        <f>EXP(-LN(2)/25)*AV123+(1-EXP(-LN(2)/25))/(LN(2)/25)*Calculateur!AQ124*Calculateur!AS124*VLOOKUP('Données projet'!$B$10,Paramètres!$A$1:$I$89,3,0)*0.475*44/12</f>
        <v>#N/A</v>
      </c>
      <c r="AW124" s="23" t="e">
        <f>EXP(-LN(2)/2)*AW123+(1-EXP(-LN(2)/2))/(LN(2)/2)*AQ124*AT124*VLOOKUP('Données projet'!$B$10,Paramètres!$A$1:$I$89,3,0)*0.475*44/12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72.955999999999918</v>
      </c>
      <c r="D125" s="12">
        <f t="shared" si="86"/>
        <v>20.405760140212255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720.68727125777821</v>
      </c>
      <c r="H125" s="70">
        <f t="shared" si="56"/>
        <v>455.93839891086952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5.6843418860808015E-14</v>
      </c>
      <c r="O125" s="14">
        <f>N125*VLOOKUP('Données projet'!$B$9,Paramètres!$A$1:$I$89,3,0)*VLOOKUP('Données projet'!$B$9,Paramètres!$A$1:$I$89,5,0)</f>
        <v>3.3992364478763198E-14</v>
      </c>
      <c r="P125" s="14">
        <f t="shared" si="87"/>
        <v>5.790027782444094E-13</v>
      </c>
      <c r="Q125" s="22">
        <f t="shared" si="107"/>
        <v>1.0676332069095257E-12</v>
      </c>
      <c r="R125" s="62">
        <f t="shared" si="55"/>
        <v>293.33333333333439</v>
      </c>
      <c r="S125" s="62">
        <f ca="1">AVERAGE(OFFSET($R$3,0,0,'Données projet'!$E$9+1,1))-AVERAGE(OFFSET($H$3,0,0,'Données projet'!$E$9+1,1))</f>
        <v>157.21429387424644</v>
      </c>
      <c r="T125" s="62">
        <f t="shared" si="88"/>
        <v>264.58225136820056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17.688799416890589</v>
      </c>
      <c r="AA125" s="23">
        <f>EXP(-LN(2)/25)*AA124+(1-EXP(-LN(2)/25))/(LN(2)/25)*Calculateur!V125*Calculateur!X125*VLOOKUP('Données projet'!$B$9,Paramètres!$A$1:$I$89,3,0)*0.475*44/12</f>
        <v>0.26082911533876646</v>
      </c>
      <c r="AB125" s="23">
        <f>EXP(-LN(2)/2)*AB124+(1-EXP(-LN(2)/2))/(LN(2)/2)*V125*Y125*VLOOKUP('Données projet'!$B$9,Paramètres!$A$1:$I$89,3,0)*0.475*44/12</f>
        <v>1.565352134049703E-11</v>
      </c>
      <c r="AC125" s="24">
        <f t="shared" si="57"/>
        <v>17.949628532245008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projet'!$B$10,Paramètres!$A$1:$I$89,3,0)*VLOOKUP('Données projet'!$B$10,Paramètres!$A$1:$I$89,5,0)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projet'!$B$10,Paramètres!$A$1:$I$89,3,0)*0.475*44/12</f>
        <v>#N/A</v>
      </c>
      <c r="AV125" s="23" t="e">
        <f>EXP(-LN(2)/25)*AV124+(1-EXP(-LN(2)/25))/(LN(2)/25)*Calculateur!AQ125*Calculateur!AS125*VLOOKUP('Données projet'!$B$10,Paramètres!$A$1:$I$89,3,0)*0.475*44/12</f>
        <v>#N/A</v>
      </c>
      <c r="AW125" s="23" t="e">
        <f>EXP(-LN(2)/2)*AW124+(1-EXP(-LN(2)/2))/(LN(2)/2)*AQ125*AT125*VLOOKUP('Données projet'!$B$10,Paramètres!$A$1:$I$89,3,0)*0.475*44/12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73.553999999999917</v>
      </c>
      <c r="D126" s="12">
        <f t="shared" si="86"/>
        <v>20.553481077376667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726.44371357974899</v>
      </c>
      <c r="H126" s="70">
        <f t="shared" si="56"/>
        <v>457.23719620976419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5.6843418860808015E-14</v>
      </c>
      <c r="O126" s="14">
        <f>N126*VLOOKUP('Données projet'!$B$9,Paramètres!$A$1:$I$89,3,0)*VLOOKUP('Données projet'!$B$9,Paramètres!$A$1:$I$89,5,0)</f>
        <v>3.3992364478763198E-14</v>
      </c>
      <c r="P126" s="14">
        <f t="shared" si="87"/>
        <v>5.790027782444094E-13</v>
      </c>
      <c r="Q126" s="22">
        <f t="shared" si="107"/>
        <v>1.0676332069095257E-12</v>
      </c>
      <c r="R126" s="62">
        <f t="shared" si="55"/>
        <v>293.33333333333439</v>
      </c>
      <c r="S126" s="62">
        <f ca="1">AVERAGE(OFFSET($R$3,0,0,'Données projet'!$E$9+1,1))-AVERAGE(OFFSET($H$3,0,0,'Données projet'!$E$9+1,1))</f>
        <v>157.21429387424644</v>
      </c>
      <c r="T126" s="62">
        <f t="shared" si="88"/>
        <v>264.58225136820056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17.341932849427675</v>
      </c>
      <c r="AA126" s="23">
        <f>EXP(-LN(2)/25)*AA125+(1-EXP(-LN(2)/25))/(LN(2)/25)*Calculateur!V126*Calculateur!X126*VLOOKUP('Données projet'!$B$9,Paramètres!$A$1:$I$89,3,0)*0.475*44/12</f>
        <v>0.25369672946342087</v>
      </c>
      <c r="AB126" s="23">
        <f>EXP(-LN(2)/2)*AB125+(1-EXP(-LN(2)/2))/(LN(2)/2)*V126*Y126*VLOOKUP('Données projet'!$B$9,Paramètres!$A$1:$I$89,3,0)*0.475*44/12</f>
        <v>1.1068711089313786E-11</v>
      </c>
      <c r="AC126" s="24">
        <f t="shared" si="57"/>
        <v>17.595629578902166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projet'!$B$10,Paramètres!$A$1:$I$89,3,0)*VLOOKUP('Données projet'!$B$10,Paramètres!$A$1:$I$89,5,0)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projet'!$B$10,Paramètres!$A$1:$I$89,3,0)*0.475*44/12</f>
        <v>#N/A</v>
      </c>
      <c r="AV126" s="23" t="e">
        <f>EXP(-LN(2)/25)*AV125+(1-EXP(-LN(2)/25))/(LN(2)/25)*Calculateur!AQ126*Calculateur!AS126*VLOOKUP('Données projet'!$B$10,Paramètres!$A$1:$I$89,3,0)*0.475*44/12</f>
        <v>#N/A</v>
      </c>
      <c r="AW126" s="23" t="e">
        <f>EXP(-LN(2)/2)*AW125+(1-EXP(-LN(2)/2))/(LN(2)/2)*AQ126*AT126*VLOOKUP('Données projet'!$B$10,Paramètres!$A$1:$I$89,3,0)*0.475*44/12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74.151999999999916</v>
      </c>
      <c r="D127" s="12">
        <f t="shared" si="86"/>
        <v>20.701062284590861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732.19907728456053</v>
      </c>
      <c r="H127" s="70">
        <f t="shared" si="56"/>
        <v>458.53575014566229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5.6843418860808015E-14</v>
      </c>
      <c r="O127" s="14">
        <f>N127*VLOOKUP('Données projet'!$B$9,Paramètres!$A$1:$I$89,3,0)*VLOOKUP('Données projet'!$B$9,Paramètres!$A$1:$I$89,5,0)</f>
        <v>3.3992364478763198E-14</v>
      </c>
      <c r="P127" s="14">
        <f t="shared" si="87"/>
        <v>5.790027782444094E-13</v>
      </c>
      <c r="Q127" s="22">
        <f t="shared" si="107"/>
        <v>1.0676332069095257E-12</v>
      </c>
      <c r="R127" s="62">
        <f t="shared" si="55"/>
        <v>293.33333333333439</v>
      </c>
      <c r="S127" s="62">
        <f ca="1">AVERAGE(OFFSET($R$3,0,0,'Données projet'!$E$9+1,1))-AVERAGE(OFFSET($H$3,0,0,'Données projet'!$E$9+1,1))</f>
        <v>157.21429387424644</v>
      </c>
      <c r="T127" s="62">
        <f t="shared" si="88"/>
        <v>264.58225136820056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17.001868123784991</v>
      </c>
      <c r="AA127" s="23">
        <f>EXP(-LN(2)/25)*AA126+(1-EXP(-LN(2)/25))/(LN(2)/25)*Calculateur!V127*Calculateur!X127*VLOOKUP('Données projet'!$B$9,Paramètres!$A$1:$I$89,3,0)*0.475*44/12</f>
        <v>0.24675937905491246</v>
      </c>
      <c r="AB127" s="23">
        <f>EXP(-LN(2)/2)*AB126+(1-EXP(-LN(2)/2))/(LN(2)/2)*V127*Y127*VLOOKUP('Données projet'!$B$9,Paramètres!$A$1:$I$89,3,0)*0.475*44/12</f>
        <v>7.8267606702485151E-12</v>
      </c>
      <c r="AC127" s="24">
        <f t="shared" si="57"/>
        <v>17.248627502847729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projet'!$B$10,Paramètres!$A$1:$I$89,3,0)*VLOOKUP('Données projet'!$B$10,Paramètres!$A$1:$I$89,5,0)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projet'!$B$10,Paramètres!$A$1:$I$89,3,0)*0.475*44/12</f>
        <v>#N/A</v>
      </c>
      <c r="AV127" s="23" t="e">
        <f>EXP(-LN(2)/25)*AV126+(1-EXP(-LN(2)/25))/(LN(2)/25)*Calculateur!AQ127*Calculateur!AS127*VLOOKUP('Données projet'!$B$10,Paramètres!$A$1:$I$89,3,0)*0.475*44/12</f>
        <v>#N/A</v>
      </c>
      <c r="AW127" s="23" t="e">
        <f>EXP(-LN(2)/2)*AW126+(1-EXP(-LN(2)/2))/(LN(2)/2)*AQ127*AT127*VLOOKUP('Données projet'!$B$10,Paramètres!$A$1:$I$89,3,0)*0.475*44/12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74.749999999999915</v>
      </c>
      <c r="D128" s="12">
        <f t="shared" si="86"/>
        <v>20.848505019312185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737.95337207890043</v>
      </c>
      <c r="H128" s="70">
        <f t="shared" si="56"/>
        <v>459.83406290863525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5.6843418860808015E-14</v>
      </c>
      <c r="O128" s="14">
        <f>N128*VLOOKUP('Données projet'!$B$9,Paramètres!$A$1:$I$89,3,0)*VLOOKUP('Données projet'!$B$9,Paramètres!$A$1:$I$89,5,0)</f>
        <v>3.3992364478763198E-14</v>
      </c>
      <c r="P128" s="14">
        <f t="shared" si="87"/>
        <v>5.790027782444094E-13</v>
      </c>
      <c r="Q128" s="22">
        <f t="shared" si="107"/>
        <v>1.0676332069095257E-12</v>
      </c>
      <c r="R128" s="62">
        <f t="shared" si="55"/>
        <v>293.33333333333439</v>
      </c>
      <c r="S128" s="62">
        <f ca="1">AVERAGE(OFFSET($R$3,0,0,'Données projet'!$E$9+1,1))-AVERAGE(OFFSET($H$3,0,0,'Données projet'!$E$9+1,1))</f>
        <v>157.21429387424644</v>
      </c>
      <c r="T128" s="62">
        <f t="shared" si="88"/>
        <v>264.58225136820056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16.668471859993158</v>
      </c>
      <c r="AA128" s="23">
        <f>EXP(-LN(2)/25)*AA127+(1-EXP(-LN(2)/25))/(LN(2)/25)*Calculateur!V128*Calculateur!X128*VLOOKUP('Données projet'!$B$9,Paramètres!$A$1:$I$89,3,0)*0.475*44/12</f>
        <v>0.24001173085814412</v>
      </c>
      <c r="AB128" s="23">
        <f>EXP(-LN(2)/2)*AB127+(1-EXP(-LN(2)/2))/(LN(2)/2)*V128*Y128*VLOOKUP('Données projet'!$B$9,Paramètres!$A$1:$I$89,3,0)*0.475*44/12</f>
        <v>5.5343555446568928E-12</v>
      </c>
      <c r="AC128" s="24">
        <f t="shared" si="57"/>
        <v>16.908483590856836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projet'!$B$10,Paramètres!$A$1:$I$89,3,0)*VLOOKUP('Données projet'!$B$10,Paramètres!$A$1:$I$89,5,0)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projet'!$B$10,Paramètres!$A$1:$I$89,3,0)*0.475*44/12</f>
        <v>#N/A</v>
      </c>
      <c r="AV128" s="23" t="e">
        <f>EXP(-LN(2)/25)*AV127+(1-EXP(-LN(2)/25))/(LN(2)/25)*Calculateur!AQ128*Calculateur!AS128*VLOOKUP('Données projet'!$B$10,Paramètres!$A$1:$I$89,3,0)*0.475*44/12</f>
        <v>#N/A</v>
      </c>
      <c r="AW128" s="23" t="e">
        <f>EXP(-LN(2)/2)*AW127+(1-EXP(-LN(2)/2))/(LN(2)/2)*AQ128*AT128*VLOOKUP('Données projet'!$B$10,Paramètres!$A$1:$I$89,3,0)*0.475*44/12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75.347999999999914</v>
      </c>
      <c r="D129" s="12">
        <f t="shared" si="86"/>
        <v>20.995810517717022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743.70660750518334</v>
      </c>
      <c r="H129" s="70">
        <f t="shared" si="56"/>
        <v>461.1321366516903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5.6843418860808015E-14</v>
      </c>
      <c r="O129" s="14">
        <f>N129*VLOOKUP('Données projet'!$B$9,Paramètres!$A$1:$I$89,3,0)*VLOOKUP('Données projet'!$B$9,Paramètres!$A$1:$I$89,5,0)</f>
        <v>3.3992364478763198E-14</v>
      </c>
      <c r="P129" s="14">
        <f t="shared" si="87"/>
        <v>5.790027782444094E-13</v>
      </c>
      <c r="Q129" s="22">
        <f t="shared" si="107"/>
        <v>1.0676332069095257E-12</v>
      </c>
      <c r="R129" s="62">
        <f t="shared" si="55"/>
        <v>293.33333333333439</v>
      </c>
      <c r="S129" s="62">
        <f ca="1">AVERAGE(OFFSET($R$3,0,0,'Données projet'!$E$9+1,1))-AVERAGE(OFFSET($H$3,0,0,'Données projet'!$E$9+1,1))</f>
        <v>157.21429387424644</v>
      </c>
      <c r="T129" s="62">
        <f t="shared" si="88"/>
        <v>264.58225136820056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16.341613293582643</v>
      </c>
      <c r="AA129" s="23">
        <f>EXP(-LN(2)/25)*AA128+(1-EXP(-LN(2)/25))/(LN(2)/25)*Calculateur!V129*Calculateur!X129*VLOOKUP('Données projet'!$B$9,Paramètres!$A$1:$I$89,3,0)*0.475*44/12</f>
        <v>0.23344859745615978</v>
      </c>
      <c r="AB129" s="23">
        <f>EXP(-LN(2)/2)*AB128+(1-EXP(-LN(2)/2))/(LN(2)/2)*V129*Y129*VLOOKUP('Données projet'!$B$9,Paramètres!$A$1:$I$89,3,0)*0.475*44/12</f>
        <v>3.9133803351242575E-12</v>
      </c>
      <c r="AC129" s="24">
        <f t="shared" si="57"/>
        <v>16.575061891042719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projet'!$B$10,Paramètres!$A$1:$I$89,3,0)*VLOOKUP('Données projet'!$B$10,Paramètres!$A$1:$I$89,5,0)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projet'!$B$10,Paramètres!$A$1:$I$89,3,0)*0.475*44/12</f>
        <v>#N/A</v>
      </c>
      <c r="AV129" s="23" t="e">
        <f>EXP(-LN(2)/25)*AV128+(1-EXP(-LN(2)/25))/(LN(2)/25)*Calculateur!AQ129*Calculateur!AS129*VLOOKUP('Données projet'!$B$10,Paramètres!$A$1:$I$89,3,0)*0.475*44/12</f>
        <v>#N/A</v>
      </c>
      <c r="AW129" s="23" t="e">
        <f>EXP(-LN(2)/2)*AW128+(1-EXP(-LN(2)/2))/(LN(2)/2)*AQ129*AT129*VLOOKUP('Données projet'!$B$10,Paramètres!$A$1:$I$89,3,0)*0.475*44/12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75.945999999999913</v>
      </c>
      <c r="D130" s="12">
        <f t="shared" si="86"/>
        <v>21.142979995226813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749.45879294560984</v>
      </c>
      <c r="H130" s="70">
        <f t="shared" si="56"/>
        <v>462.4299734916865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5.6843418860808015E-14</v>
      </c>
      <c r="O130" s="14">
        <f>N130*VLOOKUP('Données projet'!$B$9,Paramètres!$A$1:$I$89,3,0)*VLOOKUP('Données projet'!$B$9,Paramètres!$A$1:$I$89,5,0)</f>
        <v>3.3992364478763198E-14</v>
      </c>
      <c r="P130" s="14">
        <f t="shared" si="87"/>
        <v>5.790027782444094E-13</v>
      </c>
      <c r="Q130" s="22">
        <f t="shared" si="107"/>
        <v>1.0676332069095257E-12</v>
      </c>
      <c r="R130" s="62">
        <f t="shared" si="55"/>
        <v>293.33333333333439</v>
      </c>
      <c r="S130" s="62">
        <f ca="1">AVERAGE(OFFSET($R$3,0,0,'Données projet'!$E$9+1,1))-AVERAGE(OFFSET($H$3,0,0,'Données projet'!$E$9+1,1))</f>
        <v>157.21429387424644</v>
      </c>
      <c r="T130" s="62">
        <f t="shared" si="88"/>
        <v>264.58225136820056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16.021164224295397</v>
      </c>
      <c r="AA130" s="23">
        <f>EXP(-LN(2)/25)*AA129+(1-EXP(-LN(2)/25))/(LN(2)/25)*Calculateur!V130*Calculateur!X130*VLOOKUP('Données projet'!$B$9,Paramètres!$A$1:$I$89,3,0)*0.475*44/12</f>
        <v>0.2270649332821929</v>
      </c>
      <c r="AB130" s="23">
        <f>EXP(-LN(2)/2)*AB129+(1-EXP(-LN(2)/2))/(LN(2)/2)*V130*Y130*VLOOKUP('Données projet'!$B$9,Paramètres!$A$1:$I$89,3,0)*0.475*44/12</f>
        <v>2.7671777723284464E-12</v>
      </c>
      <c r="AC130" s="24">
        <f t="shared" si="57"/>
        <v>16.248229157580358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projet'!$B$10,Paramètres!$A$1:$I$89,3,0)*VLOOKUP('Données projet'!$B$10,Paramètres!$A$1:$I$89,5,0)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projet'!$B$10,Paramètres!$A$1:$I$89,3,0)*0.475*44/12</f>
        <v>#N/A</v>
      </c>
      <c r="AV130" s="23" t="e">
        <f>EXP(-LN(2)/25)*AV129+(1-EXP(-LN(2)/25))/(LN(2)/25)*Calculateur!AQ130*Calculateur!AS130*VLOOKUP('Données projet'!$B$10,Paramètres!$A$1:$I$89,3,0)*0.475*44/12</f>
        <v>#N/A</v>
      </c>
      <c r="AW130" s="23" t="e">
        <f>EXP(-LN(2)/2)*AW129+(1-EXP(-LN(2)/2))/(LN(2)/2)*AQ130*AT130*VLOOKUP('Données projet'!$B$10,Paramètres!$A$1:$I$89,3,0)*0.475*44/12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76.543999999999912</v>
      </c>
      <c r="D131" s="12">
        <f t="shared" si="86"/>
        <v>21.290014647017198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755.20993762609703</v>
      </c>
      <c r="H131" s="70">
        <f t="shared" si="56"/>
        <v>463.72757551022141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5.6843418860808015E-14</v>
      </c>
      <c r="O131" s="14">
        <f>N131*VLOOKUP('Données projet'!$B$9,Paramètres!$A$1:$I$89,3,0)*VLOOKUP('Données projet'!$B$9,Paramètres!$A$1:$I$89,5,0)</f>
        <v>3.3992364478763198E-14</v>
      </c>
      <c r="P131" s="14">
        <f t="shared" si="87"/>
        <v>5.790027782444094E-13</v>
      </c>
      <c r="Q131" s="22">
        <f t="shared" ref="Q131:Q153" si="108">(O131+P131)*0.475*44/12</f>
        <v>1.0676332069095257E-12</v>
      </c>
      <c r="R131" s="62">
        <f t="shared" ref="R131:R194" si="109">Q131+(I131+J131)*44/12</f>
        <v>293.33333333333439</v>
      </c>
      <c r="S131" s="62">
        <f ca="1">AVERAGE(OFFSET($R$3,0,0,'Données projet'!$E$9+1,1))-AVERAGE(OFFSET($H$3,0,0,'Données projet'!$E$9+1,1))</f>
        <v>157.21429387424644</v>
      </c>
      <c r="T131" s="62">
        <f t="shared" si="88"/>
        <v>264.58225136820056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15.706998965802242</v>
      </c>
      <c r="AA131" s="23">
        <f>EXP(-LN(2)/25)*AA130+(1-EXP(-LN(2)/25))/(LN(2)/25)*Calculateur!V131*Calculateur!X131*VLOOKUP('Données projet'!$B$9,Paramètres!$A$1:$I$89,3,0)*0.475*44/12</f>
        <v>0.22085583074076545</v>
      </c>
      <c r="AB131" s="23">
        <f>EXP(-LN(2)/2)*AB130+(1-EXP(-LN(2)/2))/(LN(2)/2)*V131*Y131*VLOOKUP('Données projet'!$B$9,Paramètres!$A$1:$I$89,3,0)*0.475*44/12</f>
        <v>1.9566901675621288E-12</v>
      </c>
      <c r="AC131" s="24">
        <f t="shared" si="57"/>
        <v>15.927854796544965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projet'!$B$10,Paramètres!$A$1:$I$89,3,0)*VLOOKUP('Données projet'!$B$10,Paramètres!$A$1:$I$89,5,0)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projet'!$B$10,Paramètres!$A$1:$I$89,3,0)*0.475*44/12</f>
        <v>#N/A</v>
      </c>
      <c r="AV131" s="23" t="e">
        <f>EXP(-LN(2)/25)*AV130+(1-EXP(-LN(2)/25))/(LN(2)/25)*Calculateur!AQ131*Calculateur!AS131*VLOOKUP('Données projet'!$B$10,Paramètres!$A$1:$I$89,3,0)*0.475*44/12</f>
        <v>#N/A</v>
      </c>
      <c r="AW131" s="23" t="e">
        <f>EXP(-LN(2)/2)*AW130+(1-EXP(-LN(2)/2))/(LN(2)/2)*AQ131*AT131*VLOOKUP('Données projet'!$B$10,Paramètres!$A$1:$I$89,3,0)*0.475*44/12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77.141999999999911</v>
      </c>
      <c r="D132" s="12">
        <f t="shared" si="86"/>
        <v>21.436915648510737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760.96005062008214</v>
      </c>
      <c r="H132" s="70">
        <f t="shared" ref="H132:H195" si="110">(B132+E132+F132)*44/12+(C132+D132)*0.475*44/12</f>
        <v>465.0249447544893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5.6843418860808015E-14</v>
      </c>
      <c r="O132" s="14">
        <f>N132*VLOOKUP('Données projet'!$B$9,Paramètres!$A$1:$I$89,3,0)*VLOOKUP('Données projet'!$B$9,Paramètres!$A$1:$I$89,5,0)</f>
        <v>3.3992364478763198E-14</v>
      </c>
      <c r="P132" s="14">
        <f t="shared" si="87"/>
        <v>5.790027782444094E-13</v>
      </c>
      <c r="Q132" s="22">
        <f t="shared" si="108"/>
        <v>1.0676332069095257E-12</v>
      </c>
      <c r="R132" s="62">
        <f t="shared" si="109"/>
        <v>293.33333333333439</v>
      </c>
      <c r="S132" s="62">
        <f ca="1">AVERAGE(OFFSET($R$3,0,0,'Données projet'!$E$9+1,1))-AVERAGE(OFFSET($H$3,0,0,'Données projet'!$E$9+1,1))</f>
        <v>157.21429387424644</v>
      </c>
      <c r="T132" s="62">
        <f t="shared" si="88"/>
        <v>264.58225136820056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15.398994296406251</v>
      </c>
      <c r="AA132" s="23">
        <f>EXP(-LN(2)/25)*AA131+(1-EXP(-LN(2)/25))/(LN(2)/25)*Calculateur!V132*Calculateur!X132*VLOOKUP('Données projet'!$B$9,Paramètres!$A$1:$I$89,3,0)*0.475*44/12</f>
        <v>0.21481651643485586</v>
      </c>
      <c r="AB132" s="23">
        <f>EXP(-LN(2)/2)*AB131+(1-EXP(-LN(2)/2))/(LN(2)/2)*V132*Y132*VLOOKUP('Données projet'!$B$9,Paramètres!$A$1:$I$89,3,0)*0.475*44/12</f>
        <v>1.3835888861642232E-12</v>
      </c>
      <c r="AC132" s="24">
        <f t="shared" ref="AC132:AC153" si="111">SUM(Z132:AB132)</f>
        <v>15.613810812842491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projet'!$B$10,Paramètres!$A$1:$I$89,3,0)*VLOOKUP('Données projet'!$B$10,Paramètres!$A$1:$I$89,5,0)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projet'!$B$10,Paramètres!$A$1:$I$89,3,0)*0.475*44/12</f>
        <v>#N/A</v>
      </c>
      <c r="AV132" s="23" t="e">
        <f>EXP(-LN(2)/25)*AV131+(1-EXP(-LN(2)/25))/(LN(2)/25)*Calculateur!AQ132*Calculateur!AS132*VLOOKUP('Données projet'!$B$10,Paramètres!$A$1:$I$89,3,0)*0.475*44/12</f>
        <v>#N/A</v>
      </c>
      <c r="AW132" s="23" t="e">
        <f>EXP(-LN(2)/2)*AW131+(1-EXP(-LN(2)/2))/(LN(2)/2)*AQ132*AT132*VLOOKUP('Données projet'!$B$10,Paramètres!$A$1:$I$89,3,0)*0.475*44/12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77.73999999999991</v>
      </c>
      <c r="D133" s="12">
        <f t="shared" ref="D133:D196" si="140">IFERROR(EXP(-1.0587+0.8836*LN(C133)+0.284),0)</f>
        <v>21.583684155853874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766.70914085220465</v>
      </c>
      <c r="H133" s="70">
        <f t="shared" si="110"/>
        <v>466.32208323811199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5.6843418860808015E-14</v>
      </c>
      <c r="O133" s="14">
        <f>N133*VLOOKUP('Données projet'!$B$9,Paramètres!$A$1:$I$89,3,0)*VLOOKUP('Données projet'!$B$9,Paramètres!$A$1:$I$89,5,0)</f>
        <v>3.3992364478763198E-14</v>
      </c>
      <c r="P133" s="14">
        <f t="shared" ref="P133:P196" si="141">EXP(-1.0587+0.8836*LN(O133)+0.284)</f>
        <v>5.790027782444094E-13</v>
      </c>
      <c r="Q133" s="22">
        <f t="shared" si="108"/>
        <v>1.0676332069095257E-12</v>
      </c>
      <c r="R133" s="62">
        <f t="shared" si="109"/>
        <v>293.33333333333439</v>
      </c>
      <c r="S133" s="62">
        <f ca="1">AVERAGE(OFFSET($R$3,0,0,'Données projet'!$E$9+1,1))-AVERAGE(OFFSET($H$3,0,0,'Données projet'!$E$9+1,1))</f>
        <v>157.21429387424644</v>
      </c>
      <c r="T133" s="62">
        <f t="shared" ref="T133:T196" si="142">$T$3</f>
        <v>264.58225136820056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15.097029410712816</v>
      </c>
      <c r="AA133" s="23">
        <f>EXP(-LN(2)/25)*AA132+(1-EXP(-LN(2)/25))/(LN(2)/25)*Calculateur!V133*Calculateur!X133*VLOOKUP('Données projet'!$B$9,Paramètres!$A$1:$I$89,3,0)*0.475*44/12</f>
        <v>0.20894234749623511</v>
      </c>
      <c r="AB133" s="23">
        <f>EXP(-LN(2)/2)*AB132+(1-EXP(-LN(2)/2))/(LN(2)/2)*V133*Y133*VLOOKUP('Données projet'!$B$9,Paramètres!$A$1:$I$89,3,0)*0.475*44/12</f>
        <v>9.7834508378106438E-13</v>
      </c>
      <c r="AC133" s="24">
        <f t="shared" si="111"/>
        <v>15.305971758210029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projet'!$B$10,Paramètres!$A$1:$I$89,3,0)*VLOOKUP('Données projet'!$B$10,Paramètres!$A$1:$I$89,5,0)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projet'!$B$10,Paramètres!$A$1:$I$89,3,0)*0.475*44/12</f>
        <v>#N/A</v>
      </c>
      <c r="AV133" s="23" t="e">
        <f>EXP(-LN(2)/25)*AV132+(1-EXP(-LN(2)/25))/(LN(2)/25)*Calculateur!AQ133*Calculateur!AS133*VLOOKUP('Données projet'!$B$10,Paramètres!$A$1:$I$89,3,0)*0.475*44/12</f>
        <v>#N/A</v>
      </c>
      <c r="AW133" s="23" t="e">
        <f>EXP(-LN(2)/2)*AW132+(1-EXP(-LN(2)/2))/(LN(2)/2)*AQ133*AT133*VLOOKUP('Données projet'!$B$10,Paramètres!$A$1:$I$89,3,0)*0.475*44/12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78.337999999999909</v>
      </c>
      <c r="D134" s="12">
        <f t="shared" si="140"/>
        <v>21.730321306378883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772.45721710187138</v>
      </c>
      <c r="H134" s="70">
        <f t="shared" si="110"/>
        <v>467.61899294194302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5.6843418860808015E-14</v>
      </c>
      <c r="O134" s="14">
        <f>N134*VLOOKUP('Données projet'!$B$9,Paramètres!$A$1:$I$89,3,0)*VLOOKUP('Données projet'!$B$9,Paramètres!$A$1:$I$89,5,0)</f>
        <v>3.3992364478763198E-14</v>
      </c>
      <c r="P134" s="14">
        <f t="shared" si="141"/>
        <v>5.790027782444094E-13</v>
      </c>
      <c r="Q134" s="22">
        <f t="shared" si="108"/>
        <v>1.0676332069095257E-12</v>
      </c>
      <c r="R134" s="62">
        <f t="shared" si="109"/>
        <v>293.33333333333439</v>
      </c>
      <c r="S134" s="62">
        <f ca="1">AVERAGE(OFFSET($R$3,0,0,'Données projet'!$E$9+1,1))-AVERAGE(OFFSET($H$3,0,0,'Données projet'!$E$9+1,1))</f>
        <v>157.21429387424644</v>
      </c>
      <c r="T134" s="62">
        <f t="shared" si="142"/>
        <v>264.58225136820056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14.800985872247436</v>
      </c>
      <c r="AA134" s="23">
        <f>EXP(-LN(2)/25)*AA133+(1-EXP(-LN(2)/25))/(LN(2)/25)*Calculateur!V134*Calculateur!X134*VLOOKUP('Données projet'!$B$9,Paramètres!$A$1:$I$89,3,0)*0.475*44/12</f>
        <v>0.20322880801615004</v>
      </c>
      <c r="AB134" s="23">
        <f>EXP(-LN(2)/2)*AB133+(1-EXP(-LN(2)/2))/(LN(2)/2)*V134*Y134*VLOOKUP('Données projet'!$B$9,Paramètres!$A$1:$I$89,3,0)*0.475*44/12</f>
        <v>6.917944430821116E-13</v>
      </c>
      <c r="AC134" s="24">
        <f t="shared" si="111"/>
        <v>15.004214680264276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projet'!$B$10,Paramètres!$A$1:$I$89,3,0)*VLOOKUP('Données projet'!$B$10,Paramètres!$A$1:$I$89,5,0)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projet'!$B$10,Paramètres!$A$1:$I$89,3,0)*0.475*44/12</f>
        <v>#N/A</v>
      </c>
      <c r="AV134" s="23" t="e">
        <f>EXP(-LN(2)/25)*AV133+(1-EXP(-LN(2)/25))/(LN(2)/25)*Calculateur!AQ134*Calculateur!AS134*VLOOKUP('Données projet'!$B$10,Paramètres!$A$1:$I$89,3,0)*0.475*44/12</f>
        <v>#N/A</v>
      </c>
      <c r="AW134" s="23" t="e">
        <f>EXP(-LN(2)/2)*AW133+(1-EXP(-LN(2)/2))/(LN(2)/2)*AQ134*AT134*VLOOKUP('Données projet'!$B$10,Paramètres!$A$1:$I$89,3,0)*0.475*44/12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78.935999999999908</v>
      </c>
      <c r="D135" s="12">
        <f t="shared" si="140"/>
        <v>21.876828219051234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778.20428800671061</v>
      </c>
      <c r="H135" s="70">
        <f t="shared" si="110"/>
        <v>468.91567581484742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5.6843418860808015E-14</v>
      </c>
      <c r="O135" s="14">
        <f>N135*VLOOKUP('Données projet'!$B$9,Paramètres!$A$1:$I$89,3,0)*VLOOKUP('Données projet'!$B$9,Paramètres!$A$1:$I$89,5,0)</f>
        <v>3.3992364478763198E-14</v>
      </c>
      <c r="P135" s="14">
        <f t="shared" si="141"/>
        <v>5.790027782444094E-13</v>
      </c>
      <c r="Q135" s="22">
        <f t="shared" si="108"/>
        <v>1.0676332069095257E-12</v>
      </c>
      <c r="R135" s="62">
        <f t="shared" si="109"/>
        <v>293.33333333333439</v>
      </c>
      <c r="S135" s="62">
        <f ca="1">AVERAGE(OFFSET($R$3,0,0,'Données projet'!$E$9+1,1))-AVERAGE(OFFSET($H$3,0,0,'Données projet'!$E$9+1,1))</f>
        <v>157.21429387424644</v>
      </c>
      <c r="T135" s="62">
        <f t="shared" si="142"/>
        <v>264.58225136820056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14.510747567002634</v>
      </c>
      <c r="AA135" s="23">
        <f>EXP(-LN(2)/25)*AA134+(1-EXP(-LN(2)/25))/(LN(2)/25)*Calculateur!V135*Calculateur!X135*VLOOKUP('Données projet'!$B$9,Paramètres!$A$1:$I$89,3,0)*0.475*44/12</f>
        <v>0.19767150557360988</v>
      </c>
      <c r="AB135" s="23">
        <f>EXP(-LN(2)/2)*AB134+(1-EXP(-LN(2)/2))/(LN(2)/2)*V135*Y135*VLOOKUP('Données projet'!$B$9,Paramètres!$A$1:$I$89,3,0)*0.475*44/12</f>
        <v>4.8917254189053219E-13</v>
      </c>
      <c r="AC135" s="24">
        <f t="shared" si="111"/>
        <v>14.708419072576731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projet'!$B$10,Paramètres!$A$1:$I$89,3,0)*VLOOKUP('Données projet'!$B$10,Paramètres!$A$1:$I$89,5,0)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projet'!$B$10,Paramètres!$A$1:$I$89,3,0)*0.475*44/12</f>
        <v>#N/A</v>
      </c>
      <c r="AV135" s="23" t="e">
        <f>EXP(-LN(2)/25)*AV134+(1-EXP(-LN(2)/25))/(LN(2)/25)*Calculateur!AQ135*Calculateur!AS135*VLOOKUP('Données projet'!$B$10,Paramètres!$A$1:$I$89,3,0)*0.475*44/12</f>
        <v>#N/A</v>
      </c>
      <c r="AW135" s="23" t="e">
        <f>EXP(-LN(2)/2)*AW134+(1-EXP(-LN(2)/2))/(LN(2)/2)*AQ135*AT135*VLOOKUP('Données projet'!$B$10,Paramètres!$A$1:$I$89,3,0)*0.475*44/12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79.533999999999907</v>
      </c>
      <c r="D136" s="12">
        <f t="shared" si="140"/>
        <v>22.023205994903051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783.9503620659176</v>
      </c>
      <c r="H136" s="70">
        <f t="shared" si="110"/>
        <v>470.21213377445594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5.6843418860808015E-14</v>
      </c>
      <c r="O136" s="14">
        <f>N136*VLOOKUP('Données projet'!$B$9,Paramètres!$A$1:$I$89,3,0)*VLOOKUP('Données projet'!$B$9,Paramètres!$A$1:$I$89,5,0)</f>
        <v>3.3992364478763198E-14</v>
      </c>
      <c r="P136" s="14">
        <f t="shared" si="141"/>
        <v>5.790027782444094E-13</v>
      </c>
      <c r="Q136" s="22">
        <f t="shared" si="108"/>
        <v>1.0676332069095257E-12</v>
      </c>
      <c r="R136" s="62">
        <f t="shared" si="109"/>
        <v>293.33333333333439</v>
      </c>
      <c r="S136" s="62">
        <f ca="1">AVERAGE(OFFSET($R$3,0,0,'Données projet'!$E$9+1,1))-AVERAGE(OFFSET($H$3,0,0,'Données projet'!$E$9+1,1))</f>
        <v>157.21429387424644</v>
      </c>
      <c r="T136" s="62">
        <f t="shared" si="142"/>
        <v>264.58225136820056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14.226200657895795</v>
      </c>
      <c r="AA136" s="23">
        <f>EXP(-LN(2)/25)*AA135+(1-EXP(-LN(2)/25))/(LN(2)/25)*Calculateur!V136*Calculateur!X136*VLOOKUP('Données projet'!$B$9,Paramètres!$A$1:$I$89,3,0)*0.475*44/12</f>
        <v>0.19226616785860681</v>
      </c>
      <c r="AB136" s="23">
        <f>EXP(-LN(2)/2)*AB135+(1-EXP(-LN(2)/2))/(LN(2)/2)*V136*Y136*VLOOKUP('Données projet'!$B$9,Paramètres!$A$1:$I$89,3,0)*0.475*44/12</f>
        <v>3.458972215410558E-13</v>
      </c>
      <c r="AC136" s="24">
        <f t="shared" si="111"/>
        <v>14.418466825754749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projet'!$B$10,Paramètres!$A$1:$I$89,3,0)*VLOOKUP('Données projet'!$B$10,Paramètres!$A$1:$I$89,5,0)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projet'!$B$10,Paramètres!$A$1:$I$89,3,0)*0.475*44/12</f>
        <v>#N/A</v>
      </c>
      <c r="AV136" s="23" t="e">
        <f>EXP(-LN(2)/25)*AV135+(1-EXP(-LN(2)/25))/(LN(2)/25)*Calculateur!AQ136*Calculateur!AS136*VLOOKUP('Données projet'!$B$10,Paramètres!$A$1:$I$89,3,0)*0.475*44/12</f>
        <v>#N/A</v>
      </c>
      <c r="AW136" s="23" t="e">
        <f>EXP(-LN(2)/2)*AW135+(1-EXP(-LN(2)/2))/(LN(2)/2)*AQ136*AT136*VLOOKUP('Données projet'!$B$10,Paramètres!$A$1:$I$89,3,0)*0.475*44/12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80.131999999999906</v>
      </c>
      <c r="D137" s="12">
        <f t="shared" si="140"/>
        <v>22.16945571745314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789.69544764349723</v>
      </c>
      <c r="H137" s="70">
        <f t="shared" si="110"/>
        <v>471.50836870789738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5.6843418860808015E-14</v>
      </c>
      <c r="O137" s="14">
        <f>N137*VLOOKUP('Données projet'!$B$9,Paramètres!$A$1:$I$89,3,0)*VLOOKUP('Données projet'!$B$9,Paramètres!$A$1:$I$89,5,0)</f>
        <v>3.3992364478763198E-14</v>
      </c>
      <c r="P137" s="14">
        <f t="shared" si="141"/>
        <v>5.790027782444094E-13</v>
      </c>
      <c r="Q137" s="22">
        <f t="shared" si="108"/>
        <v>1.0676332069095257E-12</v>
      </c>
      <c r="R137" s="62">
        <f t="shared" si="109"/>
        <v>293.33333333333439</v>
      </c>
      <c r="S137" s="62">
        <f ca="1">AVERAGE(OFFSET($R$3,0,0,'Données projet'!$E$9+1,1))-AVERAGE(OFFSET($H$3,0,0,'Données projet'!$E$9+1,1))</f>
        <v>157.21429387424644</v>
      </c>
      <c r="T137" s="62">
        <f t="shared" si="142"/>
        <v>264.58225136820056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13.947233540120065</v>
      </c>
      <c r="AA137" s="23">
        <f>EXP(-LN(2)/25)*AA136+(1-EXP(-LN(2)/25))/(LN(2)/25)*Calculateur!V137*Calculateur!X137*VLOOKUP('Données projet'!$B$9,Paramètres!$A$1:$I$89,3,0)*0.475*44/12</f>
        <v>0.18700863938767487</v>
      </c>
      <c r="AB137" s="23">
        <f>EXP(-LN(2)/2)*AB136+(1-EXP(-LN(2)/2))/(LN(2)/2)*V137*Y137*VLOOKUP('Données projet'!$B$9,Paramètres!$A$1:$I$89,3,0)*0.475*44/12</f>
        <v>2.445862709452661E-13</v>
      </c>
      <c r="AC137" s="24">
        <f t="shared" si="111"/>
        <v>14.134242179507986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projet'!$B$10,Paramètres!$A$1:$I$89,3,0)*VLOOKUP('Données projet'!$B$10,Paramètres!$A$1:$I$89,5,0)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projet'!$B$10,Paramètres!$A$1:$I$89,3,0)*0.475*44/12</f>
        <v>#N/A</v>
      </c>
      <c r="AV137" s="23" t="e">
        <f>EXP(-LN(2)/25)*AV136+(1-EXP(-LN(2)/25))/(LN(2)/25)*Calculateur!AQ137*Calculateur!AS137*VLOOKUP('Données projet'!$B$10,Paramètres!$A$1:$I$89,3,0)*0.475*44/12</f>
        <v>#N/A</v>
      </c>
      <c r="AW137" s="23" t="e">
        <f>EXP(-LN(2)/2)*AW136+(1-EXP(-LN(2)/2))/(LN(2)/2)*AQ137*AT137*VLOOKUP('Données projet'!$B$10,Paramètres!$A$1:$I$89,3,0)*0.475*44/12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80.729999999999905</v>
      </c>
      <c r="D138" s="12">
        <f t="shared" si="140"/>
        <v>22.31557845311416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795.4395529714069</v>
      </c>
      <c r="H138" s="70">
        <f t="shared" si="110"/>
        <v>472.80438247250697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5.6843418860808015E-14</v>
      </c>
      <c r="O138" s="14">
        <f>N138*VLOOKUP('Données projet'!$B$9,Paramètres!$A$1:$I$89,3,0)*VLOOKUP('Données projet'!$B$9,Paramètres!$A$1:$I$89,5,0)</f>
        <v>3.3992364478763198E-14</v>
      </c>
      <c r="P138" s="14">
        <f t="shared" si="141"/>
        <v>5.790027782444094E-13</v>
      </c>
      <c r="Q138" s="22">
        <f t="shared" si="108"/>
        <v>1.0676332069095257E-12</v>
      </c>
      <c r="R138" s="62">
        <f t="shared" si="109"/>
        <v>293.33333333333439</v>
      </c>
      <c r="S138" s="62">
        <f ca="1">AVERAGE(OFFSET($R$3,0,0,'Données projet'!$E$9+1,1))-AVERAGE(OFFSET($H$3,0,0,'Données projet'!$E$9+1,1))</f>
        <v>157.21429387424644</v>
      </c>
      <c r="T138" s="62">
        <f t="shared" si="142"/>
        <v>264.58225136820056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13.673736797370776</v>
      </c>
      <c r="AA138" s="23">
        <f>EXP(-LN(2)/25)*AA137+(1-EXP(-LN(2)/25))/(LN(2)/25)*Calculateur!V138*Calculateur!X138*VLOOKUP('Données projet'!$B$9,Paramètres!$A$1:$I$89,3,0)*0.475*44/12</f>
        <v>0.18189487830926196</v>
      </c>
      <c r="AB138" s="23">
        <f>EXP(-LN(2)/2)*AB137+(1-EXP(-LN(2)/2))/(LN(2)/2)*V138*Y138*VLOOKUP('Données projet'!$B$9,Paramètres!$A$1:$I$89,3,0)*0.475*44/12</f>
        <v>1.729486107705279E-13</v>
      </c>
      <c r="AC138" s="24">
        <f t="shared" si="111"/>
        <v>13.855631675680209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projet'!$B$10,Paramètres!$A$1:$I$89,3,0)*VLOOKUP('Données projet'!$B$10,Paramètres!$A$1:$I$89,5,0)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projet'!$B$10,Paramètres!$A$1:$I$89,3,0)*0.475*44/12</f>
        <v>#N/A</v>
      </c>
      <c r="AV138" s="23" t="e">
        <f>EXP(-LN(2)/25)*AV137+(1-EXP(-LN(2)/25))/(LN(2)/25)*Calculateur!AQ138*Calculateur!AS138*VLOOKUP('Données projet'!$B$10,Paramètres!$A$1:$I$89,3,0)*0.475*44/12</f>
        <v>#N/A</v>
      </c>
      <c r="AW138" s="23" t="e">
        <f>EXP(-LN(2)/2)*AW137+(1-EXP(-LN(2)/2))/(LN(2)/2)*AQ138*AT138*VLOOKUP('Données projet'!$B$10,Paramètres!$A$1:$I$89,3,0)*0.475*44/12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81.327999999999903</v>
      </c>
      <c r="D139" s="12">
        <f t="shared" si="140"/>
        <v>22.461575251587284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801.18268615260297</v>
      </c>
      <c r="H139" s="70">
        <f t="shared" si="110"/>
        <v>474.10017689651431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5.6843418860808015E-14</v>
      </c>
      <c r="O139" s="14">
        <f>N139*VLOOKUP('Données projet'!$B$9,Paramètres!$A$1:$I$89,3,0)*VLOOKUP('Données projet'!$B$9,Paramètres!$A$1:$I$89,5,0)</f>
        <v>3.3992364478763198E-14</v>
      </c>
      <c r="P139" s="14">
        <f t="shared" si="141"/>
        <v>5.790027782444094E-13</v>
      </c>
      <c r="Q139" s="22">
        <f t="shared" si="108"/>
        <v>1.0676332069095257E-12</v>
      </c>
      <c r="R139" s="62">
        <f t="shared" si="109"/>
        <v>293.33333333333439</v>
      </c>
      <c r="S139" s="62">
        <f ca="1">AVERAGE(OFFSET($R$3,0,0,'Données projet'!$E$9+1,1))-AVERAGE(OFFSET($H$3,0,0,'Données projet'!$E$9+1,1))</f>
        <v>157.21429387424644</v>
      </c>
      <c r="T139" s="62">
        <f t="shared" si="142"/>
        <v>264.58225136820056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13.405603158930258</v>
      </c>
      <c r="AA139" s="23">
        <f>EXP(-LN(2)/25)*AA138+(1-EXP(-LN(2)/25))/(LN(2)/25)*Calculateur!V139*Calculateur!X139*VLOOKUP('Données projet'!$B$9,Paramètres!$A$1:$I$89,3,0)*0.475*44/12</f>
        <v>0.17692095329645927</v>
      </c>
      <c r="AB139" s="23">
        <f>EXP(-LN(2)/2)*AB138+(1-EXP(-LN(2)/2))/(LN(2)/2)*V139*Y139*VLOOKUP('Données projet'!$B$9,Paramètres!$A$1:$I$89,3,0)*0.475*44/12</f>
        <v>1.2229313547263305E-13</v>
      </c>
      <c r="AC139" s="24">
        <f t="shared" si="111"/>
        <v>13.582524112226841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projet'!$B$10,Paramètres!$A$1:$I$89,3,0)*VLOOKUP('Données projet'!$B$10,Paramètres!$A$1:$I$89,5,0)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projet'!$B$10,Paramètres!$A$1:$I$89,3,0)*0.475*44/12</f>
        <v>#N/A</v>
      </c>
      <c r="AV139" s="23" t="e">
        <f>EXP(-LN(2)/25)*AV138+(1-EXP(-LN(2)/25))/(LN(2)/25)*Calculateur!AQ139*Calculateur!AS139*VLOOKUP('Données projet'!$B$10,Paramètres!$A$1:$I$89,3,0)*0.475*44/12</f>
        <v>#N/A</v>
      </c>
      <c r="AW139" s="23" t="e">
        <f>EXP(-LN(2)/2)*AW138+(1-EXP(-LN(2)/2))/(LN(2)/2)*AQ139*AT139*VLOOKUP('Données projet'!$B$10,Paramètres!$A$1:$I$89,3,0)*0.475*44/12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81.925999999999902</v>
      </c>
      <c r="D140" s="12">
        <f t="shared" si="140"/>
        <v>22.607447146245129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806.92485516399677</v>
      </c>
      <c r="H140" s="70">
        <f t="shared" si="110"/>
        <v>475.39575377971011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5.6843418860808015E-14</v>
      </c>
      <c r="O140" s="14">
        <f>N140*VLOOKUP('Données projet'!$B$9,Paramètres!$A$1:$I$89,3,0)*VLOOKUP('Données projet'!$B$9,Paramètres!$A$1:$I$89,5,0)</f>
        <v>3.3992364478763198E-14</v>
      </c>
      <c r="P140" s="14">
        <f t="shared" si="141"/>
        <v>5.790027782444094E-13</v>
      </c>
      <c r="Q140" s="22">
        <f t="shared" si="108"/>
        <v>1.0676332069095257E-12</v>
      </c>
      <c r="R140" s="62">
        <f t="shared" si="109"/>
        <v>293.33333333333439</v>
      </c>
      <c r="S140" s="62">
        <f ca="1">AVERAGE(OFFSET($R$3,0,0,'Données projet'!$E$9+1,1))-AVERAGE(OFFSET($H$3,0,0,'Données projet'!$E$9+1,1))</f>
        <v>157.21429387424644</v>
      </c>
      <c r="T140" s="62">
        <f t="shared" si="142"/>
        <v>264.58225136820056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13.142727457594189</v>
      </c>
      <c r="AA140" s="23">
        <f>EXP(-LN(2)/25)*AA139+(1-EXP(-LN(2)/25))/(LN(2)/25)*Calculateur!V140*Calculateur!X140*VLOOKUP('Données projet'!$B$9,Paramètres!$A$1:$I$89,3,0)*0.475*44/12</f>
        <v>0.172083040524699</v>
      </c>
      <c r="AB140" s="23">
        <f>EXP(-LN(2)/2)*AB139+(1-EXP(-LN(2)/2))/(LN(2)/2)*V140*Y140*VLOOKUP('Données projet'!$B$9,Paramètres!$A$1:$I$89,3,0)*0.475*44/12</f>
        <v>8.647430538526395E-14</v>
      </c>
      <c r="AC140" s="24">
        <f t="shared" si="111"/>
        <v>13.314810498118975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projet'!$B$10,Paramètres!$A$1:$I$89,3,0)*VLOOKUP('Données projet'!$B$10,Paramètres!$A$1:$I$89,5,0)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projet'!$B$10,Paramètres!$A$1:$I$89,3,0)*0.475*44/12</f>
        <v>#N/A</v>
      </c>
      <c r="AV140" s="23" t="e">
        <f>EXP(-LN(2)/25)*AV139+(1-EXP(-LN(2)/25))/(LN(2)/25)*Calculateur!AQ140*Calculateur!AS140*VLOOKUP('Données projet'!$B$10,Paramètres!$A$1:$I$89,3,0)*0.475*44/12</f>
        <v>#N/A</v>
      </c>
      <c r="AW140" s="23" t="e">
        <f>EXP(-LN(2)/2)*AW139+(1-EXP(-LN(2)/2))/(LN(2)/2)*AQ140*AT140*VLOOKUP('Données projet'!$B$10,Paramètres!$A$1:$I$89,3,0)*0.475*44/12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82.523999999999901</v>
      </c>
      <c r="D141" s="12">
        <f t="shared" si="140"/>
        <v>22.75319515450283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812.66606785931936</v>
      </c>
      <c r="H141" s="70">
        <f t="shared" si="110"/>
        <v>476.69111489409227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5.6843418860808015E-14</v>
      </c>
      <c r="O141" s="14">
        <f>N141*VLOOKUP('Données projet'!$B$9,Paramètres!$A$1:$I$89,3,0)*VLOOKUP('Données projet'!$B$9,Paramètres!$A$1:$I$89,5,0)</f>
        <v>3.3992364478763198E-14</v>
      </c>
      <c r="P141" s="14">
        <f t="shared" si="141"/>
        <v>5.790027782444094E-13</v>
      </c>
      <c r="Q141" s="22">
        <f t="shared" si="108"/>
        <v>1.0676332069095257E-12</v>
      </c>
      <c r="R141" s="62">
        <f t="shared" si="109"/>
        <v>293.33333333333439</v>
      </c>
      <c r="S141" s="62">
        <f ca="1">AVERAGE(OFFSET($R$3,0,0,'Données projet'!$E$9+1,1))-AVERAGE(OFFSET($H$3,0,0,'Données projet'!$E$9+1,1))</f>
        <v>157.21429387424644</v>
      </c>
      <c r="T141" s="62">
        <f t="shared" si="142"/>
        <v>264.58225136820056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12.885006588422975</v>
      </c>
      <c r="AA141" s="23">
        <f>EXP(-LN(2)/25)*AA140+(1-EXP(-LN(2)/25))/(LN(2)/25)*Calculateur!V141*Calculateur!X141*VLOOKUP('Données projet'!$B$9,Paramètres!$A$1:$I$89,3,0)*0.475*44/12</f>
        <v>0.1673774207320973</v>
      </c>
      <c r="AB141" s="23">
        <f>EXP(-LN(2)/2)*AB140+(1-EXP(-LN(2)/2))/(LN(2)/2)*V141*Y141*VLOOKUP('Données projet'!$B$9,Paramètres!$A$1:$I$89,3,0)*0.475*44/12</f>
        <v>6.1146567736316524E-14</v>
      </c>
      <c r="AC141" s="24">
        <f t="shared" si="111"/>
        <v>13.052384009155134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projet'!$B$10,Paramètres!$A$1:$I$89,3,0)*VLOOKUP('Données projet'!$B$10,Paramètres!$A$1:$I$89,5,0)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projet'!$B$10,Paramètres!$A$1:$I$89,3,0)*0.475*44/12</f>
        <v>#N/A</v>
      </c>
      <c r="AV141" s="23" t="e">
        <f>EXP(-LN(2)/25)*AV140+(1-EXP(-LN(2)/25))/(LN(2)/25)*Calculateur!AQ141*Calculateur!AS141*VLOOKUP('Données projet'!$B$10,Paramètres!$A$1:$I$89,3,0)*0.475*44/12</f>
        <v>#N/A</v>
      </c>
      <c r="AW141" s="23" t="e">
        <f>EXP(-LN(2)/2)*AW140+(1-EXP(-LN(2)/2))/(LN(2)/2)*AQ141*AT141*VLOOKUP('Données projet'!$B$10,Paramètres!$A$1:$I$89,3,0)*0.475*44/12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83.1219999999999</v>
      </c>
      <c r="D142" s="12">
        <f t="shared" si="140"/>
        <v>22.898820278178491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818.40633197190346</v>
      </c>
      <c r="H142" s="70">
        <f t="shared" si="110"/>
        <v>477.98626198449398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5.6843418860808015E-14</v>
      </c>
      <c r="O142" s="14">
        <f>N142*VLOOKUP('Données projet'!$B$9,Paramètres!$A$1:$I$89,3,0)*VLOOKUP('Données projet'!$B$9,Paramètres!$A$1:$I$89,5,0)</f>
        <v>3.3992364478763198E-14</v>
      </c>
      <c r="P142" s="14">
        <f t="shared" si="141"/>
        <v>5.790027782444094E-13</v>
      </c>
      <c r="Q142" s="22">
        <f t="shared" si="108"/>
        <v>1.0676332069095257E-12</v>
      </c>
      <c r="R142" s="62">
        <f t="shared" si="109"/>
        <v>293.33333333333439</v>
      </c>
      <c r="S142" s="62">
        <f ca="1">AVERAGE(OFFSET($R$3,0,0,'Données projet'!$E$9+1,1))-AVERAGE(OFFSET($H$3,0,0,'Données projet'!$E$9+1,1))</f>
        <v>157.21429387424644</v>
      </c>
      <c r="T142" s="62">
        <f t="shared" si="142"/>
        <v>264.58225136820056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12.632339468302</v>
      </c>
      <c r="AA142" s="23">
        <f>EXP(-LN(2)/25)*AA141+(1-EXP(-LN(2)/25))/(LN(2)/25)*Calculateur!V142*Calculateur!X142*VLOOKUP('Données projet'!$B$9,Paramètres!$A$1:$I$89,3,0)*0.475*44/12</f>
        <v>0.16280047636018208</v>
      </c>
      <c r="AB142" s="23">
        <f>EXP(-LN(2)/2)*AB141+(1-EXP(-LN(2)/2))/(LN(2)/2)*V142*Y142*VLOOKUP('Données projet'!$B$9,Paramètres!$A$1:$I$89,3,0)*0.475*44/12</f>
        <v>4.3237152692631975E-14</v>
      </c>
      <c r="AC142" s="24">
        <f t="shared" si="111"/>
        <v>12.795139944662225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projet'!$B$10,Paramètres!$A$1:$I$89,3,0)*VLOOKUP('Données projet'!$B$10,Paramètres!$A$1:$I$89,5,0)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projet'!$B$10,Paramètres!$A$1:$I$89,3,0)*0.475*44/12</f>
        <v>#N/A</v>
      </c>
      <c r="AV142" s="23" t="e">
        <f>EXP(-LN(2)/25)*AV141+(1-EXP(-LN(2)/25))/(LN(2)/25)*Calculateur!AQ142*Calculateur!AS142*VLOOKUP('Données projet'!$B$10,Paramètres!$A$1:$I$89,3,0)*0.475*44/12</f>
        <v>#N/A</v>
      </c>
      <c r="AW142" s="23" t="e">
        <f>EXP(-LN(2)/2)*AW141+(1-EXP(-LN(2)/2))/(LN(2)/2)*AQ142*AT142*VLOOKUP('Données projet'!$B$10,Paramètres!$A$1:$I$89,3,0)*0.475*44/12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83.719999999999899</v>
      </c>
      <c r="D143" s="12">
        <f t="shared" si="140"/>
        <v>23.044323503842559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824.14565511738044</v>
      </c>
      <c r="H143" s="70">
        <f t="shared" si="110"/>
        <v>479.28119676919226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5.6843418860808015E-14</v>
      </c>
      <c r="O143" s="14">
        <f>N143*VLOOKUP('Données projet'!$B$9,Paramètres!$A$1:$I$89,3,0)*VLOOKUP('Données projet'!$B$9,Paramètres!$A$1:$I$89,5,0)</f>
        <v>3.3992364478763198E-14</v>
      </c>
      <c r="P143" s="14">
        <f t="shared" si="141"/>
        <v>5.790027782444094E-13</v>
      </c>
      <c r="Q143" s="22">
        <f t="shared" si="108"/>
        <v>1.0676332069095257E-12</v>
      </c>
      <c r="R143" s="62">
        <f t="shared" si="109"/>
        <v>293.33333333333439</v>
      </c>
      <c r="S143" s="62">
        <f ca="1">AVERAGE(OFFSET($R$3,0,0,'Données projet'!$E$9+1,1))-AVERAGE(OFFSET($H$3,0,0,'Données projet'!$E$9+1,1))</f>
        <v>157.21429387424644</v>
      </c>
      <c r="T143" s="62">
        <f t="shared" si="142"/>
        <v>264.58225136820056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12.384626996294871</v>
      </c>
      <c r="AA143" s="23">
        <f>EXP(-LN(2)/25)*AA142+(1-EXP(-LN(2)/25))/(LN(2)/25)*Calculateur!V143*Calculateur!X143*VLOOKUP('Données projet'!$B$9,Paramètres!$A$1:$I$89,3,0)*0.475*44/12</f>
        <v>0.15834868877280794</v>
      </c>
      <c r="AB143" s="23">
        <f>EXP(-LN(2)/2)*AB142+(1-EXP(-LN(2)/2))/(LN(2)/2)*V143*Y143*VLOOKUP('Données projet'!$B$9,Paramètres!$A$1:$I$89,3,0)*0.475*44/12</f>
        <v>3.0573283868158262E-14</v>
      </c>
      <c r="AC143" s="24">
        <f t="shared" si="111"/>
        <v>12.542975685067709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projet'!$B$10,Paramètres!$A$1:$I$89,3,0)*VLOOKUP('Données projet'!$B$10,Paramètres!$A$1:$I$89,5,0)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projet'!$B$10,Paramètres!$A$1:$I$89,3,0)*0.475*44/12</f>
        <v>#N/A</v>
      </c>
      <c r="AV143" s="23" t="e">
        <f>EXP(-LN(2)/25)*AV142+(1-EXP(-LN(2)/25))/(LN(2)/25)*Calculateur!AQ143*Calculateur!AS143*VLOOKUP('Données projet'!$B$10,Paramètres!$A$1:$I$89,3,0)*0.475*44/12</f>
        <v>#N/A</v>
      </c>
      <c r="AW143" s="23" t="e">
        <f>EXP(-LN(2)/2)*AW142+(1-EXP(-LN(2)/2))/(LN(2)/2)*AQ143*AT143*VLOOKUP('Données projet'!$B$10,Paramètres!$A$1:$I$89,3,0)*0.475*44/12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84.317999999999898</v>
      </c>
      <c r="D144" s="12">
        <f t="shared" si="140"/>
        <v>23.189705803157228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829.8840447963006</v>
      </c>
      <c r="H144" s="70">
        <f t="shared" si="110"/>
        <v>480.57592094049863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5.6843418860808015E-14</v>
      </c>
      <c r="O144" s="14">
        <f>N144*VLOOKUP('Données projet'!$B$9,Paramètres!$A$1:$I$89,3,0)*VLOOKUP('Données projet'!$B$9,Paramètres!$A$1:$I$89,5,0)</f>
        <v>3.3992364478763198E-14</v>
      </c>
      <c r="P144" s="14">
        <f t="shared" si="141"/>
        <v>5.790027782444094E-13</v>
      </c>
      <c r="Q144" s="22">
        <f t="shared" si="108"/>
        <v>1.0676332069095257E-12</v>
      </c>
      <c r="R144" s="62">
        <f t="shared" si="109"/>
        <v>293.33333333333439</v>
      </c>
      <c r="S144" s="62">
        <f ca="1">AVERAGE(OFFSET($R$3,0,0,'Données projet'!$E$9+1,1))-AVERAGE(OFFSET($H$3,0,0,'Données projet'!$E$9+1,1))</f>
        <v>157.21429387424644</v>
      </c>
      <c r="T144" s="62">
        <f t="shared" si="142"/>
        <v>264.58225136820056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12.141772014774114</v>
      </c>
      <c r="AA144" s="23">
        <f>EXP(-LN(2)/25)*AA143+(1-EXP(-LN(2)/25))/(LN(2)/25)*Calculateur!V144*Calculateur!X144*VLOOKUP('Données projet'!$B$9,Paramètres!$A$1:$I$89,3,0)*0.475*44/12</f>
        <v>0.15401863555111989</v>
      </c>
      <c r="AB144" s="23">
        <f>EXP(-LN(2)/2)*AB143+(1-EXP(-LN(2)/2))/(LN(2)/2)*V144*Y144*VLOOKUP('Données projet'!$B$9,Paramètres!$A$1:$I$89,3,0)*0.475*44/12</f>
        <v>2.1618576346315987E-14</v>
      </c>
      <c r="AC144" s="24">
        <f t="shared" si="111"/>
        <v>12.295790650325255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projet'!$B$10,Paramètres!$A$1:$I$89,3,0)*VLOOKUP('Données projet'!$B$10,Paramètres!$A$1:$I$89,5,0)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projet'!$B$10,Paramètres!$A$1:$I$89,3,0)*0.475*44/12</f>
        <v>#N/A</v>
      </c>
      <c r="AV144" s="23" t="e">
        <f>EXP(-LN(2)/25)*AV143+(1-EXP(-LN(2)/25))/(LN(2)/25)*Calculateur!AQ144*Calculateur!AS144*VLOOKUP('Données projet'!$B$10,Paramètres!$A$1:$I$89,3,0)*0.475*44/12</f>
        <v>#N/A</v>
      </c>
      <c r="AW144" s="23" t="e">
        <f>EXP(-LN(2)/2)*AW143+(1-EXP(-LN(2)/2))/(LN(2)/2)*AQ144*AT144*VLOOKUP('Données projet'!$B$10,Paramètres!$A$1:$I$89,3,0)*0.475*44/12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84.915999999999897</v>
      </c>
      <c r="D145" s="12">
        <f t="shared" si="140"/>
        <v>23.334968133205699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835.62150839667481</v>
      </c>
      <c r="H145" s="70">
        <f t="shared" si="110"/>
        <v>481.87043616533305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5.6843418860808015E-14</v>
      </c>
      <c r="O145" s="14">
        <f>N145*VLOOKUP('Données projet'!$B$9,Paramètres!$A$1:$I$89,3,0)*VLOOKUP('Données projet'!$B$9,Paramètres!$A$1:$I$89,5,0)</f>
        <v>3.3992364478763198E-14</v>
      </c>
      <c r="P145" s="14">
        <f t="shared" si="141"/>
        <v>5.790027782444094E-13</v>
      </c>
      <c r="Q145" s="22">
        <f t="shared" si="108"/>
        <v>1.0676332069095257E-12</v>
      </c>
      <c r="R145" s="62">
        <f t="shared" si="109"/>
        <v>293.33333333333439</v>
      </c>
      <c r="S145" s="62">
        <f ca="1">AVERAGE(OFFSET($R$3,0,0,'Données projet'!$E$9+1,1))-AVERAGE(OFFSET($H$3,0,0,'Données projet'!$E$9+1,1))</f>
        <v>157.21429387424644</v>
      </c>
      <c r="T145" s="62">
        <f t="shared" si="142"/>
        <v>264.58225136820056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11.903679271314065</v>
      </c>
      <c r="AA145" s="23">
        <f>EXP(-LN(2)/25)*AA144+(1-EXP(-LN(2)/25))/(LN(2)/25)*Calculateur!V145*Calculateur!X145*VLOOKUP('Données projet'!$B$9,Paramètres!$A$1:$I$89,3,0)*0.475*44/12</f>
        <v>0.14980698786248647</v>
      </c>
      <c r="AB145" s="23">
        <f>EXP(-LN(2)/2)*AB144+(1-EXP(-LN(2)/2))/(LN(2)/2)*V145*Y145*VLOOKUP('Données projet'!$B$9,Paramètres!$A$1:$I$89,3,0)*0.475*44/12</f>
        <v>1.5286641934079131E-14</v>
      </c>
      <c r="AC145" s="24">
        <f t="shared" si="111"/>
        <v>12.053486259176568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projet'!$B$10,Paramètres!$A$1:$I$89,3,0)*VLOOKUP('Données projet'!$B$10,Paramètres!$A$1:$I$89,5,0)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projet'!$B$10,Paramètres!$A$1:$I$89,3,0)*0.475*44/12</f>
        <v>#N/A</v>
      </c>
      <c r="AV145" s="23" t="e">
        <f>EXP(-LN(2)/25)*AV144+(1-EXP(-LN(2)/25))/(LN(2)/25)*Calculateur!AQ145*Calculateur!AS145*VLOOKUP('Données projet'!$B$10,Paramètres!$A$1:$I$89,3,0)*0.475*44/12</f>
        <v>#N/A</v>
      </c>
      <c r="AW145" s="23" t="e">
        <f>EXP(-LN(2)/2)*AW144+(1-EXP(-LN(2)/2))/(LN(2)/2)*AQ145*AT145*VLOOKUP('Données projet'!$B$10,Paramètres!$A$1:$I$89,3,0)*0.475*44/12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85.513999999999896</v>
      </c>
      <c r="D146" s="12">
        <f t="shared" si="140"/>
        <v>23.480111436812148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841.35805319644396</v>
      </c>
      <c r="H146" s="70">
        <f t="shared" si="110"/>
        <v>483.16474408578097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5.6843418860808015E-14</v>
      </c>
      <c r="O146" s="14">
        <f>N146*VLOOKUP('Données projet'!$B$9,Paramètres!$A$1:$I$89,3,0)*VLOOKUP('Données projet'!$B$9,Paramètres!$A$1:$I$89,5,0)</f>
        <v>3.3992364478763198E-14</v>
      </c>
      <c r="P146" s="14">
        <f t="shared" si="141"/>
        <v>5.790027782444094E-13</v>
      </c>
      <c r="Q146" s="22">
        <f t="shared" si="108"/>
        <v>1.0676332069095257E-12</v>
      </c>
      <c r="R146" s="62">
        <f t="shared" si="109"/>
        <v>293.33333333333439</v>
      </c>
      <c r="S146" s="62">
        <f ca="1">AVERAGE(OFFSET($R$3,0,0,'Données projet'!$E$9+1,1))-AVERAGE(OFFSET($H$3,0,0,'Données projet'!$E$9+1,1))</f>
        <v>157.21429387424644</v>
      </c>
      <c r="T146" s="62">
        <f t="shared" si="142"/>
        <v>264.58225136820056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11.670255381331033</v>
      </c>
      <c r="AA146" s="23">
        <f>EXP(-LN(2)/25)*AA145+(1-EXP(-LN(2)/25))/(LN(2)/25)*Calculateur!V146*Calculateur!X146*VLOOKUP('Données projet'!$B$9,Paramètres!$A$1:$I$89,3,0)*0.475*44/12</f>
        <v>0.14571050790137968</v>
      </c>
      <c r="AB146" s="23">
        <f>EXP(-LN(2)/2)*AB145+(1-EXP(-LN(2)/2))/(LN(2)/2)*V146*Y146*VLOOKUP('Données projet'!$B$9,Paramètres!$A$1:$I$89,3,0)*0.475*44/12</f>
        <v>1.0809288173157994E-14</v>
      </c>
      <c r="AC146" s="24">
        <f t="shared" si="111"/>
        <v>11.815965889232423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projet'!$B$10,Paramètres!$A$1:$I$89,3,0)*VLOOKUP('Données projet'!$B$10,Paramètres!$A$1:$I$89,5,0)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projet'!$B$10,Paramètres!$A$1:$I$89,3,0)*0.475*44/12</f>
        <v>#N/A</v>
      </c>
      <c r="AV146" s="23" t="e">
        <f>EXP(-LN(2)/25)*AV145+(1-EXP(-LN(2)/25))/(LN(2)/25)*Calculateur!AQ146*Calculateur!AS146*VLOOKUP('Données projet'!$B$10,Paramètres!$A$1:$I$89,3,0)*0.475*44/12</f>
        <v>#N/A</v>
      </c>
      <c r="AW146" s="23" t="e">
        <f>EXP(-LN(2)/2)*AW145+(1-EXP(-LN(2)/2))/(LN(2)/2)*AQ146*AT146*VLOOKUP('Données projet'!$B$10,Paramètres!$A$1:$I$89,3,0)*0.475*44/12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86.111999999999895</v>
      </c>
      <c r="D147" s="12">
        <f t="shared" si="140"/>
        <v>23.625136642852276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847.09368636587635</v>
      </c>
      <c r="H147" s="70">
        <f t="shared" si="110"/>
        <v>484.45884631963418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5.6843418860808015E-14</v>
      </c>
      <c r="O147" s="14">
        <f>N147*VLOOKUP('Données projet'!$B$9,Paramètres!$A$1:$I$89,3,0)*VLOOKUP('Données projet'!$B$9,Paramètres!$A$1:$I$89,5,0)</f>
        <v>3.3992364478763198E-14</v>
      </c>
      <c r="P147" s="14">
        <f t="shared" si="141"/>
        <v>5.790027782444094E-13</v>
      </c>
      <c r="Q147" s="22">
        <f t="shared" si="108"/>
        <v>1.0676332069095257E-12</v>
      </c>
      <c r="R147" s="62">
        <f t="shared" si="109"/>
        <v>293.33333333333439</v>
      </c>
      <c r="S147" s="62">
        <f ca="1">AVERAGE(OFFSET($R$3,0,0,'Données projet'!$E$9+1,1))-AVERAGE(OFFSET($H$3,0,0,'Données projet'!$E$9+1,1))</f>
        <v>157.21429387424644</v>
      </c>
      <c r="T147" s="62">
        <f t="shared" si="142"/>
        <v>264.58225136820056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11.441408791456055</v>
      </c>
      <c r="AA147" s="23">
        <f>EXP(-LN(2)/25)*AA146+(1-EXP(-LN(2)/25))/(LN(2)/25)*Calculateur!V147*Calculateur!X147*VLOOKUP('Données projet'!$B$9,Paramètres!$A$1:$I$89,3,0)*0.475*44/12</f>
        <v>0.14172604640023387</v>
      </c>
      <c r="AB147" s="23">
        <f>EXP(-LN(2)/2)*AB146+(1-EXP(-LN(2)/2))/(LN(2)/2)*V147*Y147*VLOOKUP('Données projet'!$B$9,Paramètres!$A$1:$I$89,3,0)*0.475*44/12</f>
        <v>7.6433209670395655E-15</v>
      </c>
      <c r="AC147" s="24">
        <f t="shared" si="111"/>
        <v>11.583134837856296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projet'!$B$10,Paramètres!$A$1:$I$89,3,0)*VLOOKUP('Données projet'!$B$10,Paramètres!$A$1:$I$89,5,0)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projet'!$B$10,Paramètres!$A$1:$I$89,3,0)*0.475*44/12</f>
        <v>#N/A</v>
      </c>
      <c r="AV147" s="23" t="e">
        <f>EXP(-LN(2)/25)*AV146+(1-EXP(-LN(2)/25))/(LN(2)/25)*Calculateur!AQ147*Calculateur!AS147*VLOOKUP('Données projet'!$B$10,Paramètres!$A$1:$I$89,3,0)*0.475*44/12</f>
        <v>#N/A</v>
      </c>
      <c r="AW147" s="23" t="e">
        <f>EXP(-LN(2)/2)*AW146+(1-EXP(-LN(2)/2))/(LN(2)/2)*AQ147*AT147*VLOOKUP('Données projet'!$B$10,Paramètres!$A$1:$I$89,3,0)*0.475*44/12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86.709999999999894</v>
      </c>
      <c r="D148" s="12">
        <f t="shared" si="140"/>
        <v>23.770044666555076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852.82841496989806</v>
      </c>
      <c r="H148" s="70">
        <f t="shared" si="110"/>
        <v>485.75274446091657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5.6843418860808015E-14</v>
      </c>
      <c r="O148" s="14">
        <f>N148*VLOOKUP('Données projet'!$B$9,Paramètres!$A$1:$I$89,3,0)*VLOOKUP('Données projet'!$B$9,Paramètres!$A$1:$I$89,5,0)</f>
        <v>3.3992364478763198E-14</v>
      </c>
      <c r="P148" s="14">
        <f t="shared" si="141"/>
        <v>5.790027782444094E-13</v>
      </c>
      <c r="Q148" s="22">
        <f t="shared" si="108"/>
        <v>1.0676332069095257E-12</v>
      </c>
      <c r="R148" s="62">
        <f t="shared" si="109"/>
        <v>293.33333333333439</v>
      </c>
      <c r="S148" s="62">
        <f ca="1">AVERAGE(OFFSET($R$3,0,0,'Données projet'!$E$9+1,1))-AVERAGE(OFFSET($H$3,0,0,'Données projet'!$E$9+1,1))</f>
        <v>157.21429387424644</v>
      </c>
      <c r="T148" s="62">
        <f t="shared" si="142"/>
        <v>264.58225136820056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11.217049743625889</v>
      </c>
      <c r="AA148" s="23">
        <f>EXP(-LN(2)/25)*AA147+(1-EXP(-LN(2)/25))/(LN(2)/25)*Calculateur!V148*Calculateur!X148*VLOOKUP('Données projet'!$B$9,Paramètres!$A$1:$I$89,3,0)*0.475*44/12</f>
        <v>0.13785054020837062</v>
      </c>
      <c r="AB148" s="23">
        <f>EXP(-LN(2)/2)*AB147+(1-EXP(-LN(2)/2))/(LN(2)/2)*V148*Y148*VLOOKUP('Données projet'!$B$9,Paramètres!$A$1:$I$89,3,0)*0.475*44/12</f>
        <v>5.4046440865789969E-15</v>
      </c>
      <c r="AC148" s="24">
        <f t="shared" si="111"/>
        <v>11.354900283834265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projet'!$B$10,Paramètres!$A$1:$I$89,3,0)*VLOOKUP('Données projet'!$B$10,Paramètres!$A$1:$I$89,5,0)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projet'!$B$10,Paramètres!$A$1:$I$89,3,0)*0.475*44/12</f>
        <v>#N/A</v>
      </c>
      <c r="AV148" s="23" t="e">
        <f>EXP(-LN(2)/25)*AV147+(1-EXP(-LN(2)/25))/(LN(2)/25)*Calculateur!AQ148*Calculateur!AS148*VLOOKUP('Données projet'!$B$10,Paramètres!$A$1:$I$89,3,0)*0.475*44/12</f>
        <v>#N/A</v>
      </c>
      <c r="AW148" s="23" t="e">
        <f>EXP(-LN(2)/2)*AW147+(1-EXP(-LN(2)/2))/(LN(2)/2)*AQ148*AT148*VLOOKUP('Données projet'!$B$10,Paramètres!$A$1:$I$89,3,0)*0.475*44/12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87.307999999999893</v>
      </c>
      <c r="D149" s="12">
        <f t="shared" si="140"/>
        <v>23.914836409796042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858.56224597035452</v>
      </c>
      <c r="H149" s="70">
        <f t="shared" si="110"/>
        <v>487.04644008039458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5.6843418860808015E-14</v>
      </c>
      <c r="O149" s="14">
        <f>N149*VLOOKUP('Données projet'!$B$9,Paramètres!$A$1:$I$89,3,0)*VLOOKUP('Données projet'!$B$9,Paramètres!$A$1:$I$89,5,0)</f>
        <v>3.3992364478763198E-14</v>
      </c>
      <c r="P149" s="14">
        <f t="shared" si="141"/>
        <v>5.790027782444094E-13</v>
      </c>
      <c r="Q149" s="22">
        <f t="shared" si="108"/>
        <v>1.0676332069095257E-12</v>
      </c>
      <c r="R149" s="62">
        <f t="shared" si="109"/>
        <v>293.33333333333439</v>
      </c>
      <c r="S149" s="62">
        <f ca="1">AVERAGE(OFFSET($R$3,0,0,'Données projet'!$E$9+1,1))-AVERAGE(OFFSET($H$3,0,0,'Données projet'!$E$9+1,1))</f>
        <v>157.21429387424644</v>
      </c>
      <c r="T149" s="62">
        <f t="shared" si="142"/>
        <v>264.58225136820056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10.997090239878165</v>
      </c>
      <c r="AA149" s="23">
        <f>EXP(-LN(2)/25)*AA148+(1-EXP(-LN(2)/25))/(LN(2)/25)*Calculateur!V149*Calculateur!X149*VLOOKUP('Données projet'!$B$9,Paramètres!$A$1:$I$89,3,0)*0.475*44/12</f>
        <v>0.13408100993712788</v>
      </c>
      <c r="AB149" s="23">
        <f>EXP(-LN(2)/2)*AB148+(1-EXP(-LN(2)/2))/(LN(2)/2)*V149*Y149*VLOOKUP('Données projet'!$B$9,Paramètres!$A$1:$I$89,3,0)*0.475*44/12</f>
        <v>3.8216604835197828E-15</v>
      </c>
      <c r="AC149" s="24">
        <f t="shared" si="111"/>
        <v>11.131171249815297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projet'!$B$10,Paramètres!$A$1:$I$89,3,0)*VLOOKUP('Données projet'!$B$10,Paramètres!$A$1:$I$89,5,0)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projet'!$B$10,Paramètres!$A$1:$I$89,3,0)*0.475*44/12</f>
        <v>#N/A</v>
      </c>
      <c r="AV149" s="23" t="e">
        <f>EXP(-LN(2)/25)*AV148+(1-EXP(-LN(2)/25))/(LN(2)/25)*Calculateur!AQ149*Calculateur!AS149*VLOOKUP('Données projet'!$B$10,Paramètres!$A$1:$I$89,3,0)*0.475*44/12</f>
        <v>#N/A</v>
      </c>
      <c r="AW149" s="23" t="e">
        <f>EXP(-LN(2)/2)*AW148+(1-EXP(-LN(2)/2))/(LN(2)/2)*AQ149*AT149*VLOOKUP('Données projet'!$B$10,Paramètres!$A$1:$I$89,3,0)*0.475*44/12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87.905999999999892</v>
      </c>
      <c r="D150" s="12">
        <f t="shared" si="140"/>
        <v>24.059512761382056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864.29518622821161</v>
      </c>
      <c r="H150" s="70">
        <f t="shared" si="110"/>
        <v>488.33993472607352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5.6843418860808015E-14</v>
      </c>
      <c r="O150" s="14">
        <f>N150*VLOOKUP('Données projet'!$B$9,Paramètres!$A$1:$I$89,3,0)*VLOOKUP('Données projet'!$B$9,Paramètres!$A$1:$I$89,5,0)</f>
        <v>3.3992364478763198E-14</v>
      </c>
      <c r="P150" s="14">
        <f t="shared" si="141"/>
        <v>5.790027782444094E-13</v>
      </c>
      <c r="Q150" s="22">
        <f t="shared" si="108"/>
        <v>1.0676332069095257E-12</v>
      </c>
      <c r="R150" s="62">
        <f t="shared" si="109"/>
        <v>293.33333333333439</v>
      </c>
      <c r="S150" s="62">
        <f ca="1">AVERAGE(OFFSET($R$3,0,0,'Données projet'!$E$9+1,1))-AVERAGE(OFFSET($H$3,0,0,'Données projet'!$E$9+1,1))</f>
        <v>157.21429387424644</v>
      </c>
      <c r="T150" s="62">
        <f t="shared" si="142"/>
        <v>264.58225136820056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10.781444007836884</v>
      </c>
      <c r="AA150" s="23">
        <f>EXP(-LN(2)/25)*AA149+(1-EXP(-LN(2)/25))/(LN(2)/25)*Calculateur!V150*Calculateur!X150*VLOOKUP('Données projet'!$B$9,Paramètres!$A$1:$I$89,3,0)*0.475*44/12</f>
        <v>0.13041455766938326</v>
      </c>
      <c r="AB150" s="23">
        <f>EXP(-LN(2)/2)*AB149+(1-EXP(-LN(2)/2))/(LN(2)/2)*V150*Y150*VLOOKUP('Données projet'!$B$9,Paramètres!$A$1:$I$89,3,0)*0.475*44/12</f>
        <v>2.7023220432894984E-15</v>
      </c>
      <c r="AC150" s="24">
        <f t="shared" si="111"/>
        <v>10.91185856550627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projet'!$B$10,Paramètres!$A$1:$I$89,3,0)*VLOOKUP('Données projet'!$B$10,Paramètres!$A$1:$I$89,5,0)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projet'!$B$10,Paramètres!$A$1:$I$89,3,0)*0.475*44/12</f>
        <v>#N/A</v>
      </c>
      <c r="AV150" s="23" t="e">
        <f>EXP(-LN(2)/25)*AV149+(1-EXP(-LN(2)/25))/(LN(2)/25)*Calculateur!AQ150*Calculateur!AS150*VLOOKUP('Données projet'!$B$10,Paramètres!$A$1:$I$89,3,0)*0.475*44/12</f>
        <v>#N/A</v>
      </c>
      <c r="AW150" s="23" t="e">
        <f>EXP(-LN(2)/2)*AW149+(1-EXP(-LN(2)/2))/(LN(2)/2)*AQ150*AT150*VLOOKUP('Données projet'!$B$10,Paramètres!$A$1:$I$89,3,0)*0.475*44/12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51" s="12">
        <f t="shared" si="140"/>
        <v>24.204074597328436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870.02724250569247</v>
      </c>
      <c r="H151" s="70">
        <f t="shared" si="110"/>
        <v>489.63322992368012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5.6843418860808015E-14</v>
      </c>
      <c r="O151" s="14">
        <f>N151*VLOOKUP('Données projet'!$B$9,Paramètres!$A$1:$I$89,3,0)*VLOOKUP('Données projet'!$B$9,Paramètres!$A$1:$I$89,5,0)</f>
        <v>3.3992364478763198E-14</v>
      </c>
      <c r="P151" s="14">
        <f t="shared" si="141"/>
        <v>5.790027782444094E-13</v>
      </c>
      <c r="Q151" s="22">
        <f t="shared" si="108"/>
        <v>1.0676332069095257E-12</v>
      </c>
      <c r="R151" s="62">
        <f t="shared" si="109"/>
        <v>293.33333333333439</v>
      </c>
      <c r="S151" s="62">
        <f ca="1">AVERAGE(OFFSET($R$3,0,0,'Données projet'!$E$9+1,1))-AVERAGE(OFFSET($H$3,0,0,'Données projet'!$E$9+1,1))</f>
        <v>157.21429387424644</v>
      </c>
      <c r="T151" s="62">
        <f t="shared" si="142"/>
        <v>264.58225136820056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10.570026466874719</v>
      </c>
      <c r="AA151" s="23">
        <f>EXP(-LN(2)/25)*AA150+(1-EXP(-LN(2)/25))/(LN(2)/25)*Calculateur!V151*Calculateur!X151*VLOOKUP('Données projet'!$B$9,Paramètres!$A$1:$I$89,3,0)*0.475*44/12</f>
        <v>0.12684836473171046</v>
      </c>
      <c r="AB151" s="23">
        <f>EXP(-LN(2)/2)*AB150+(1-EXP(-LN(2)/2))/(LN(2)/2)*V151*Y151*VLOOKUP('Données projet'!$B$9,Paramètres!$A$1:$I$89,3,0)*0.475*44/12</f>
        <v>1.9108302417598914E-15</v>
      </c>
      <c r="AC151" s="24">
        <f t="shared" si="111"/>
        <v>10.696874831606431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projet'!$B$10,Paramètres!$A$1:$I$89,3,0)*VLOOKUP('Données projet'!$B$10,Paramètres!$A$1:$I$89,5,0)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projet'!$B$10,Paramètres!$A$1:$I$89,3,0)*0.475*44/12</f>
        <v>#N/A</v>
      </c>
      <c r="AV151" s="23" t="e">
        <f>EXP(-LN(2)/25)*AV150+(1-EXP(-LN(2)/25))/(LN(2)/25)*Calculateur!AQ151*Calculateur!AS151*VLOOKUP('Données projet'!$B$10,Paramètres!$A$1:$I$89,3,0)*0.475*44/12</f>
        <v>#N/A</v>
      </c>
      <c r="AW151" s="23" t="e">
        <f>EXP(-LN(2)/2)*AW150+(1-EXP(-LN(2)/2))/(LN(2)/2)*AQ151*AT151*VLOOKUP('Données projet'!$B$10,Paramètres!$A$1:$I$89,3,0)*0.475*44/12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89.10199999999989</v>
      </c>
      <c r="D152" s="12">
        <f t="shared" si="140"/>
        <v>24.348522781128061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875.75842146835612</v>
      </c>
      <c r="H152" s="70">
        <f t="shared" si="110"/>
        <v>490.92632717713116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5.6843418860808015E-14</v>
      </c>
      <c r="O152" s="14">
        <f>N152*VLOOKUP('Données projet'!$B$9,Paramètres!$A$1:$I$89,3,0)*VLOOKUP('Données projet'!$B$9,Paramètres!$A$1:$I$89,5,0)</f>
        <v>3.3992364478763198E-14</v>
      </c>
      <c r="P152" s="14">
        <f t="shared" si="141"/>
        <v>5.790027782444094E-13</v>
      </c>
      <c r="Q152" s="22">
        <f t="shared" si="108"/>
        <v>1.0676332069095257E-12</v>
      </c>
      <c r="R152" s="62">
        <f t="shared" si="109"/>
        <v>293.33333333333439</v>
      </c>
      <c r="S152" s="62">
        <f ca="1">AVERAGE(OFFSET($R$3,0,0,'Données projet'!$E$9+1,1))-AVERAGE(OFFSET($H$3,0,0,'Données projet'!$E$9+1,1))</f>
        <v>157.21429387424644</v>
      </c>
      <c r="T152" s="62">
        <f t="shared" si="142"/>
        <v>264.58225136820056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10.362754694938854</v>
      </c>
      <c r="AA152" s="23">
        <f>EXP(-LN(2)/25)*AA151+(1-EXP(-LN(2)/25))/(LN(2)/25)*Calculateur!V152*Calculateur!X152*VLOOKUP('Données projet'!$B$9,Paramètres!$A$1:$I$89,3,0)*0.475*44/12</f>
        <v>0.12337968952745626</v>
      </c>
      <c r="AB152" s="23">
        <f>EXP(-LN(2)/2)*AB151+(1-EXP(-LN(2)/2))/(LN(2)/2)*V152*Y152*VLOOKUP('Données projet'!$B$9,Paramètres!$A$1:$I$89,3,0)*0.475*44/12</f>
        <v>1.3511610216447492E-15</v>
      </c>
      <c r="AC152" s="24">
        <f t="shared" si="111"/>
        <v>10.486134384466311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projet'!$B$10,Paramètres!$A$1:$I$89,3,0)*VLOOKUP('Données projet'!$B$10,Paramètres!$A$1:$I$89,5,0)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projet'!$B$10,Paramètres!$A$1:$I$89,3,0)*0.475*44/12</f>
        <v>#N/A</v>
      </c>
      <c r="AV152" s="23" t="e">
        <f>EXP(-LN(2)/25)*AV151+(1-EXP(-LN(2)/25))/(LN(2)/25)*Calculateur!AQ152*Calculateur!AS152*VLOOKUP('Données projet'!$B$10,Paramètres!$A$1:$I$89,3,0)*0.475*44/12</f>
        <v>#N/A</v>
      </c>
      <c r="AW152" s="23" t="e">
        <f>EXP(-LN(2)/2)*AW151+(1-EXP(-LN(2)/2))/(LN(2)/2)*AQ152*AT152*VLOOKUP('Données projet'!$B$10,Paramètres!$A$1:$I$89,3,0)*0.475*44/12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89.699999999999889</v>
      </c>
      <c r="D153" s="12">
        <f t="shared" si="140"/>
        <v>24.492858164013278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881.48872968711919</v>
      </c>
      <c r="H153" s="70">
        <f t="shared" si="110"/>
        <v>492.21922796898957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5.6843418860808015E-14</v>
      </c>
      <c r="O153" s="14">
        <f>N153*VLOOKUP('Données projet'!$B$9,Paramètres!$A$1:$I$89,3,0)*VLOOKUP('Données projet'!$B$9,Paramètres!$A$1:$I$89,5,0)</f>
        <v>3.3992364478763198E-14</v>
      </c>
      <c r="P153" s="14">
        <f t="shared" si="141"/>
        <v>5.790027782444094E-13</v>
      </c>
      <c r="Q153" s="22">
        <f t="shared" si="108"/>
        <v>1.0676332069095257E-12</v>
      </c>
      <c r="R153" s="62">
        <f t="shared" si="109"/>
        <v>293.33333333333439</v>
      </c>
      <c r="S153" s="62">
        <f ca="1">AVERAGE(OFFSET($R$3,0,0,'Données projet'!$E$9+1,1))-AVERAGE(OFFSET($H$3,0,0,'Données projet'!$E$9+1,1))</f>
        <v>157.21429387424644</v>
      </c>
      <c r="T153" s="62">
        <f t="shared" si="142"/>
        <v>264.58225136820056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10.159547396027353</v>
      </c>
      <c r="AA153" s="23">
        <f>EXP(-LN(2)/25)*AA152+(1-EXP(-LN(2)/25))/(LN(2)/25)*Calculateur!V153*Calculateur!X153*VLOOKUP('Données projet'!$B$9,Paramètres!$A$1:$I$89,3,0)*0.475*44/12</f>
        <v>0.12000586542907209</v>
      </c>
      <c r="AB153" s="23">
        <f>EXP(-LN(2)/2)*AB152+(1-EXP(-LN(2)/2))/(LN(2)/2)*V153*Y153*VLOOKUP('Données projet'!$B$9,Paramètres!$A$1:$I$89,3,0)*0.475*44/12</f>
        <v>9.5541512087994569E-16</v>
      </c>
      <c r="AC153" s="24">
        <f t="shared" si="111"/>
        <v>10.279553261456426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projet'!$B$10,Paramètres!$A$1:$I$89,3,0)*VLOOKUP('Données projet'!$B$10,Paramètres!$A$1:$I$89,5,0)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projet'!$B$10,Paramètres!$A$1:$I$89,3,0)*0.475*44/12</f>
        <v>#N/A</v>
      </c>
      <c r="AV153" s="23" t="e">
        <f>EXP(-LN(2)/25)*AV152+(1-EXP(-LN(2)/25))/(LN(2)/25)*Calculateur!AQ153*Calculateur!AS153*VLOOKUP('Données projet'!$B$10,Paramètres!$A$1:$I$89,3,0)*0.475*44/12</f>
        <v>#N/A</v>
      </c>
      <c r="AW153" s="23" t="e">
        <f>EXP(-LN(2)/2)*AW152+(1-EXP(-LN(2)/2))/(LN(2)/2)*AQ153*AT153*VLOOKUP('Données projet'!$B$10,Paramètres!$A$1:$I$89,3,0)*0.475*44/12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90.297999999999888</v>
      </c>
      <c r="D154" s="12">
        <f t="shared" si="140"/>
        <v>24.637081585210503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887.21817364022047</v>
      </c>
      <c r="H154" s="70">
        <f t="shared" si="110"/>
        <v>493.51193376090805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5.6843418860808015E-14</v>
      </c>
      <c r="O154" s="14">
        <f>N154*VLOOKUP('Données projet'!$B$9,Paramètres!$A$1:$I$89,3,0)*VLOOKUP('Données projet'!$B$9,Paramètres!$A$1:$I$89,5,0)</f>
        <v>3.3992364478763198E-14</v>
      </c>
      <c r="P154" s="14">
        <f t="shared" si="141"/>
        <v>5.790027782444094E-13</v>
      </c>
      <c r="Q154" s="22">
        <f t="shared" ref="Q154:Q203" si="162">(O154+P154)*0.475*44/12</f>
        <v>1.0676332069095257E-12</v>
      </c>
      <c r="R154" s="62">
        <f t="shared" si="109"/>
        <v>293.33333333333439</v>
      </c>
      <c r="S154" s="62">
        <f ca="1">AVERAGE(OFFSET($R$3,0,0,'Données projet'!$E$9+1,1))-AVERAGE(OFFSET($H$3,0,0,'Données projet'!$E$9+1,1))</f>
        <v>157.21429387424644</v>
      </c>
      <c r="T154" s="62">
        <f t="shared" si="142"/>
        <v>264.58225136820056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9.9603248683032941</v>
      </c>
      <c r="AA154" s="23">
        <f>EXP(-LN(2)/25)*AA153+(1-EXP(-LN(2)/25))/(LN(2)/25)*Calculateur!V154*Calculateur!X154*VLOOKUP('Données projet'!$B$9,Paramètres!$A$1:$I$89,3,0)*0.475*44/12</f>
        <v>0.11672429872807992</v>
      </c>
      <c r="AB154" s="23">
        <f>EXP(-LN(2)/2)*AB153+(1-EXP(-LN(2)/2))/(LN(2)/2)*V154*Y154*VLOOKUP('Données projet'!$B$9,Paramètres!$A$1:$I$89,3,0)*0.475*44/12</f>
        <v>6.7558051082237461E-16</v>
      </c>
      <c r="AC154" s="24">
        <f t="shared" ref="AC154:AC203" si="163">SUM(Z154:AB154)</f>
        <v>10.077049167031374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projet'!$B$10,Paramètres!$A$1:$I$89,3,0)*VLOOKUP('Données projet'!$B$10,Paramètres!$A$1:$I$89,5,0)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projet'!$B$10,Paramètres!$A$1:$I$89,3,0)*0.475*44/12</f>
        <v>#N/A</v>
      </c>
      <c r="AV154" s="23" t="e">
        <f>EXP(-LN(2)/25)*AV153+(1-EXP(-LN(2)/25))/(LN(2)/25)*Calculateur!AQ154*Calculateur!AS154*VLOOKUP('Données projet'!$B$10,Paramètres!$A$1:$I$89,3,0)*0.475*44/12</f>
        <v>#N/A</v>
      </c>
      <c r="AW154" s="23" t="e">
        <f>EXP(-LN(2)/2)*AW153+(1-EXP(-LN(2)/2))/(LN(2)/2)*AQ154*AT154*VLOOKUP('Données projet'!$B$10,Paramètres!$A$1:$I$89,3,0)*0.475*44/12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90.895999999999887</v>
      </c>
      <c r="D155" s="12">
        <f t="shared" si="140"/>
        <v>24.781193872187931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892.94675971513414</v>
      </c>
      <c r="H155" s="70">
        <f t="shared" si="110"/>
        <v>494.80444599406042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5.6843418860808015E-14</v>
      </c>
      <c r="O155" s="14">
        <f>N155*VLOOKUP('Données projet'!$B$9,Paramètres!$A$1:$I$89,3,0)*VLOOKUP('Données projet'!$B$9,Paramètres!$A$1:$I$89,5,0)</f>
        <v>3.3992364478763198E-14</v>
      </c>
      <c r="P155" s="14">
        <f t="shared" si="141"/>
        <v>5.790027782444094E-13</v>
      </c>
      <c r="Q155" s="22">
        <f t="shared" si="162"/>
        <v>1.0676332069095257E-12</v>
      </c>
      <c r="R155" s="62">
        <f t="shared" si="109"/>
        <v>293.33333333333439</v>
      </c>
      <c r="S155" s="62">
        <f ca="1">AVERAGE(OFFSET($R$3,0,0,'Données projet'!$E$9+1,1))-AVERAGE(OFFSET($H$3,0,0,'Données projet'!$E$9+1,1))</f>
        <v>157.21429387424644</v>
      </c>
      <c r="T155" s="62">
        <f t="shared" si="142"/>
        <v>264.58225136820056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9.7650089728341598</v>
      </c>
      <c r="AA155" s="23">
        <f>EXP(-LN(2)/25)*AA154+(1-EXP(-LN(2)/25))/(LN(2)/25)*Calculateur!V155*Calculateur!X155*VLOOKUP('Données projet'!$B$9,Paramètres!$A$1:$I$89,3,0)*0.475*44/12</f>
        <v>0.11353246664109648</v>
      </c>
      <c r="AB155" s="23">
        <f>EXP(-LN(2)/2)*AB154+(1-EXP(-LN(2)/2))/(LN(2)/2)*V155*Y155*VLOOKUP('Données projet'!$B$9,Paramètres!$A$1:$I$89,3,0)*0.475*44/12</f>
        <v>4.7770756043997284E-16</v>
      </c>
      <c r="AC155" s="24">
        <f t="shared" si="163"/>
        <v>9.8785414394752564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projet'!$B$10,Paramètres!$A$1:$I$89,3,0)*VLOOKUP('Données projet'!$B$10,Paramètres!$A$1:$I$89,5,0)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projet'!$B$10,Paramètres!$A$1:$I$89,3,0)*0.475*44/12</f>
        <v>#N/A</v>
      </c>
      <c r="AV155" s="23" t="e">
        <f>EXP(-LN(2)/25)*AV154+(1-EXP(-LN(2)/25))/(LN(2)/25)*Calculateur!AQ155*Calculateur!AS155*VLOOKUP('Données projet'!$B$10,Paramètres!$A$1:$I$89,3,0)*0.475*44/12</f>
        <v>#N/A</v>
      </c>
      <c r="AW155" s="23" t="e">
        <f>EXP(-LN(2)/2)*AW154+(1-EXP(-LN(2)/2))/(LN(2)/2)*AQ155*AT155*VLOOKUP('Données projet'!$B$10,Paramètres!$A$1:$I$89,3,0)*0.475*44/12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91.493999999999886</v>
      </c>
      <c r="D156" s="12">
        <f t="shared" si="140"/>
        <v>24.925195840896507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898.67449421042829</v>
      </c>
      <c r="H156" s="70">
        <f t="shared" si="110"/>
        <v>496.09676608956119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5.6843418860808015E-14</v>
      </c>
      <c r="O156" s="14">
        <f>N156*VLOOKUP('Données projet'!$B$9,Paramètres!$A$1:$I$89,3,0)*VLOOKUP('Données projet'!$B$9,Paramètres!$A$1:$I$89,5,0)</f>
        <v>3.3992364478763198E-14</v>
      </c>
      <c r="P156" s="14">
        <f t="shared" si="141"/>
        <v>5.790027782444094E-13</v>
      </c>
      <c r="Q156" s="22">
        <f t="shared" si="162"/>
        <v>1.0676332069095257E-12</v>
      </c>
      <c r="R156" s="62">
        <f t="shared" si="109"/>
        <v>293.33333333333439</v>
      </c>
      <c r="S156" s="62">
        <f ca="1">AVERAGE(OFFSET($R$3,0,0,'Données projet'!$E$9+1,1))-AVERAGE(OFFSET($H$3,0,0,'Données projet'!$E$9+1,1))</f>
        <v>157.21429387424644</v>
      </c>
      <c r="T156" s="62">
        <f t="shared" si="142"/>
        <v>264.58225136820056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9.5735231029442431</v>
      </c>
      <c r="AA156" s="23">
        <f>EXP(-LN(2)/25)*AA155+(1-EXP(-LN(2)/25))/(LN(2)/25)*Calculateur!V156*Calculateur!X156*VLOOKUP('Données projet'!$B$9,Paramètres!$A$1:$I$89,3,0)*0.475*44/12</f>
        <v>0.11042791537038275</v>
      </c>
      <c r="AB156" s="23">
        <f>EXP(-LN(2)/2)*AB155+(1-EXP(-LN(2)/2))/(LN(2)/2)*V156*Y156*VLOOKUP('Données projet'!$B$9,Paramètres!$A$1:$I$89,3,0)*0.475*44/12</f>
        <v>3.377902554111873E-16</v>
      </c>
      <c r="AC156" s="24">
        <f t="shared" si="163"/>
        <v>9.6839510183146267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projet'!$B$10,Paramètres!$A$1:$I$89,3,0)*VLOOKUP('Données projet'!$B$10,Paramètres!$A$1:$I$89,5,0)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projet'!$B$10,Paramètres!$A$1:$I$89,3,0)*0.475*44/12</f>
        <v>#N/A</v>
      </c>
      <c r="AV156" s="23" t="e">
        <f>EXP(-LN(2)/25)*AV155+(1-EXP(-LN(2)/25))/(LN(2)/25)*Calculateur!AQ156*Calculateur!AS156*VLOOKUP('Données projet'!$B$10,Paramètres!$A$1:$I$89,3,0)*0.475*44/12</f>
        <v>#N/A</v>
      </c>
      <c r="AW156" s="23" t="e">
        <f>EXP(-LN(2)/2)*AW155+(1-EXP(-LN(2)/2))/(LN(2)/2)*AQ156*AT156*VLOOKUP('Données projet'!$B$10,Paramètres!$A$1:$I$89,3,0)*0.475*44/12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92.091999999999885</v>
      </c>
      <c r="D157" s="12">
        <f t="shared" si="140"/>
        <v>25.069088296004431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904.40138333757716</v>
      </c>
      <c r="H157" s="70">
        <f t="shared" si="110"/>
        <v>497.38889544887417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5.6843418860808015E-14</v>
      </c>
      <c r="O157" s="14">
        <f>N157*VLOOKUP('Données projet'!$B$9,Paramètres!$A$1:$I$89,3,0)*VLOOKUP('Données projet'!$B$9,Paramètres!$A$1:$I$89,5,0)</f>
        <v>3.3992364478763198E-14</v>
      </c>
      <c r="P157" s="14">
        <f t="shared" si="141"/>
        <v>5.790027782444094E-13</v>
      </c>
      <c r="Q157" s="22">
        <f t="shared" si="162"/>
        <v>1.0676332069095257E-12</v>
      </c>
      <c r="R157" s="62">
        <f t="shared" si="109"/>
        <v>293.33333333333439</v>
      </c>
      <c r="S157" s="62">
        <f ca="1">AVERAGE(OFFSET($R$3,0,0,'Données projet'!$E$9+1,1))-AVERAGE(OFFSET($H$3,0,0,'Données projet'!$E$9+1,1))</f>
        <v>157.21429387424644</v>
      </c>
      <c r="T157" s="62">
        <f t="shared" si="142"/>
        <v>264.58225136820056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9.3857921541680192</v>
      </c>
      <c r="AA157" s="23">
        <f>EXP(-LN(2)/25)*AA156+(1-EXP(-LN(2)/25))/(LN(2)/25)*Calculateur!V157*Calculateur!X157*VLOOKUP('Données projet'!$B$9,Paramètres!$A$1:$I$89,3,0)*0.475*44/12</f>
        <v>0.10740825821742796</v>
      </c>
      <c r="AB157" s="23">
        <f>EXP(-LN(2)/2)*AB156+(1-EXP(-LN(2)/2))/(LN(2)/2)*V157*Y157*VLOOKUP('Données projet'!$B$9,Paramètres!$A$1:$I$89,3,0)*0.475*44/12</f>
        <v>2.3885378021998642E-16</v>
      </c>
      <c r="AC157" s="24">
        <f t="shared" si="163"/>
        <v>9.4932004123854465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projet'!$B$10,Paramètres!$A$1:$I$89,3,0)*VLOOKUP('Données projet'!$B$10,Paramètres!$A$1:$I$89,5,0)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projet'!$B$10,Paramètres!$A$1:$I$89,3,0)*0.475*44/12</f>
        <v>#N/A</v>
      </c>
      <c r="AV157" s="23" t="e">
        <f>EXP(-LN(2)/25)*AV156+(1-EXP(-LN(2)/25))/(LN(2)/25)*Calculateur!AQ157*Calculateur!AS157*VLOOKUP('Données projet'!$B$10,Paramètres!$A$1:$I$89,3,0)*0.475*44/12</f>
        <v>#N/A</v>
      </c>
      <c r="AW157" s="23" t="e">
        <f>EXP(-LN(2)/2)*AW156+(1-EXP(-LN(2)/2))/(LN(2)/2)*AQ157*AT157*VLOOKUP('Données projet'!$B$10,Paramètres!$A$1:$I$89,3,0)*0.475*44/12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92.689999999999884</v>
      </c>
      <c r="D158" s="12">
        <f t="shared" si="140"/>
        <v>25.212872031125453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910.12743322272206</v>
      </c>
      <c r="H158" s="70">
        <f t="shared" si="110"/>
        <v>498.68083545420996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5.6843418860808015E-14</v>
      </c>
      <c r="O158" s="14">
        <f>N158*VLOOKUP('Données projet'!$B$9,Paramètres!$A$1:$I$89,3,0)*VLOOKUP('Données projet'!$B$9,Paramètres!$A$1:$I$89,5,0)</f>
        <v>3.3992364478763198E-14</v>
      </c>
      <c r="P158" s="14">
        <f t="shared" si="141"/>
        <v>5.790027782444094E-13</v>
      </c>
      <c r="Q158" s="22">
        <f t="shared" si="162"/>
        <v>1.0676332069095257E-12</v>
      </c>
      <c r="R158" s="62">
        <f t="shared" si="109"/>
        <v>293.33333333333439</v>
      </c>
      <c r="S158" s="62">
        <f ca="1">AVERAGE(OFFSET($R$3,0,0,'Données projet'!$E$9+1,1))-AVERAGE(OFFSET($H$3,0,0,'Données projet'!$E$9+1,1))</f>
        <v>157.21429387424644</v>
      </c>
      <c r="T158" s="62">
        <f t="shared" si="142"/>
        <v>264.58225136820056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9.2017424947927253</v>
      </c>
      <c r="AA158" s="23">
        <f>EXP(-LN(2)/25)*AA157+(1-EXP(-LN(2)/25))/(LN(2)/25)*Calculateur!V158*Calculateur!X158*VLOOKUP('Données projet'!$B$9,Paramètres!$A$1:$I$89,3,0)*0.475*44/12</f>
        <v>0.10447117374811757</v>
      </c>
      <c r="AB158" s="23">
        <f>EXP(-LN(2)/2)*AB157+(1-EXP(-LN(2)/2))/(LN(2)/2)*V158*Y158*VLOOKUP('Données projet'!$B$9,Paramètres!$A$1:$I$89,3,0)*0.475*44/12</f>
        <v>1.6889512770559365E-16</v>
      </c>
      <c r="AC158" s="24">
        <f t="shared" si="163"/>
        <v>9.3062136685408436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projet'!$B$10,Paramètres!$A$1:$I$89,3,0)*VLOOKUP('Données projet'!$B$10,Paramètres!$A$1:$I$89,5,0)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projet'!$B$10,Paramètres!$A$1:$I$89,3,0)*0.475*44/12</f>
        <v>#N/A</v>
      </c>
      <c r="AV158" s="23" t="e">
        <f>EXP(-LN(2)/25)*AV157+(1-EXP(-LN(2)/25))/(LN(2)/25)*Calculateur!AQ158*Calculateur!AS158*VLOOKUP('Données projet'!$B$10,Paramètres!$A$1:$I$89,3,0)*0.475*44/12</f>
        <v>#N/A</v>
      </c>
      <c r="AW158" s="23" t="e">
        <f>EXP(-LN(2)/2)*AW157+(1-EXP(-LN(2)/2))/(LN(2)/2)*AQ158*AT158*VLOOKUP('Données projet'!$B$10,Paramètres!$A$1:$I$89,3,0)*0.475*44/12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93.287999999999883</v>
      </c>
      <c r="D159" s="12">
        <f t="shared" si="140"/>
        <v>25.356547829040952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915.8526499083855</v>
      </c>
      <c r="H159" s="70">
        <f t="shared" si="110"/>
        <v>499.97258746891276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5.6843418860808015E-14</v>
      </c>
      <c r="O159" s="14">
        <f>N159*VLOOKUP('Données projet'!$B$9,Paramètres!$A$1:$I$89,3,0)*VLOOKUP('Données projet'!$B$9,Paramètres!$A$1:$I$89,5,0)</f>
        <v>3.3992364478763198E-14</v>
      </c>
      <c r="P159" s="14">
        <f t="shared" si="141"/>
        <v>5.790027782444094E-13</v>
      </c>
      <c r="Q159" s="22">
        <f t="shared" si="162"/>
        <v>1.0676332069095257E-12</v>
      </c>
      <c r="R159" s="62">
        <f t="shared" si="109"/>
        <v>293.33333333333439</v>
      </c>
      <c r="S159" s="62">
        <f ca="1">AVERAGE(OFFSET($R$3,0,0,'Données projet'!$E$9+1,1))-AVERAGE(OFFSET($H$3,0,0,'Données projet'!$E$9+1,1))</f>
        <v>157.21429387424644</v>
      </c>
      <c r="T159" s="62">
        <f t="shared" si="142"/>
        <v>264.58225136820056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9.0213019369785723</v>
      </c>
      <c r="AA159" s="23">
        <f>EXP(-LN(2)/25)*AA158+(1-EXP(-LN(2)/25))/(LN(2)/25)*Calculateur!V159*Calculateur!X159*VLOOKUP('Données projet'!$B$9,Paramètres!$A$1:$I$89,3,0)*0.475*44/12</f>
        <v>0.10161440400807503</v>
      </c>
      <c r="AB159" s="23">
        <f>EXP(-LN(2)/2)*AB158+(1-EXP(-LN(2)/2))/(LN(2)/2)*V159*Y159*VLOOKUP('Données projet'!$B$9,Paramètres!$A$1:$I$89,3,0)*0.475*44/12</f>
        <v>1.1942689010999321E-16</v>
      </c>
      <c r="AC159" s="24">
        <f t="shared" si="163"/>
        <v>9.1229163409866469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projet'!$B$10,Paramètres!$A$1:$I$89,3,0)*VLOOKUP('Données projet'!$B$10,Paramètres!$A$1:$I$89,5,0)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projet'!$B$10,Paramètres!$A$1:$I$89,3,0)*0.475*44/12</f>
        <v>#N/A</v>
      </c>
      <c r="AV159" s="23" t="e">
        <f>EXP(-LN(2)/25)*AV158+(1-EXP(-LN(2)/25))/(LN(2)/25)*Calculateur!AQ159*Calculateur!AS159*VLOOKUP('Données projet'!$B$10,Paramètres!$A$1:$I$89,3,0)*0.475*44/12</f>
        <v>#N/A</v>
      </c>
      <c r="AW159" s="23" t="e">
        <f>EXP(-LN(2)/2)*AW158+(1-EXP(-LN(2)/2))/(LN(2)/2)*AQ159*AT159*VLOOKUP('Données projet'!$B$10,Paramètres!$A$1:$I$89,3,0)*0.475*44/12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93.885999999999882</v>
      </c>
      <c r="D160" s="12">
        <f t="shared" si="140"/>
        <v>25.500116461916356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921.5770393551428</v>
      </c>
      <c r="H160" s="70">
        <f t="shared" si="110"/>
        <v>501.2641528378374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5.6843418860808015E-14</v>
      </c>
      <c r="O160" s="14">
        <f>N160*VLOOKUP('Données projet'!$B$9,Paramètres!$A$1:$I$89,3,0)*VLOOKUP('Données projet'!$B$9,Paramètres!$A$1:$I$89,5,0)</f>
        <v>3.3992364478763198E-14</v>
      </c>
      <c r="P160" s="14">
        <f t="shared" si="141"/>
        <v>5.790027782444094E-13</v>
      </c>
      <c r="Q160" s="22">
        <f t="shared" si="162"/>
        <v>1.0676332069095257E-12</v>
      </c>
      <c r="R160" s="62">
        <f t="shared" si="109"/>
        <v>293.33333333333439</v>
      </c>
      <c r="S160" s="62">
        <f ca="1">AVERAGE(OFFSET($R$3,0,0,'Données projet'!$E$9+1,1))-AVERAGE(OFFSET($H$3,0,0,'Données projet'!$E$9+1,1))</f>
        <v>157.21429387424644</v>
      </c>
      <c r="T160" s="62">
        <f t="shared" si="142"/>
        <v>264.58225136820056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8.8443997084452821</v>
      </c>
      <c r="AA160" s="23">
        <f>EXP(-LN(2)/25)*AA159+(1-EXP(-LN(2)/25))/(LN(2)/25)*Calculateur!V160*Calculateur!X160*VLOOKUP('Données projet'!$B$9,Paramètres!$A$1:$I$89,3,0)*0.475*44/12</f>
        <v>9.8835752786804953E-2</v>
      </c>
      <c r="AB160" s="23">
        <f>EXP(-LN(2)/2)*AB159+(1-EXP(-LN(2)/2))/(LN(2)/2)*V160*Y160*VLOOKUP('Données projet'!$B$9,Paramètres!$A$1:$I$89,3,0)*0.475*44/12</f>
        <v>8.4447563852796826E-17</v>
      </c>
      <c r="AC160" s="24">
        <f t="shared" si="163"/>
        <v>8.9432354612320868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projet'!$B$10,Paramètres!$A$1:$I$89,3,0)*VLOOKUP('Données projet'!$B$10,Paramètres!$A$1:$I$89,5,0)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projet'!$B$10,Paramètres!$A$1:$I$89,3,0)*0.475*44/12</f>
        <v>#N/A</v>
      </c>
      <c r="AV160" s="23" t="e">
        <f>EXP(-LN(2)/25)*AV159+(1-EXP(-LN(2)/25))/(LN(2)/25)*Calculateur!AQ160*Calculateur!AS160*VLOOKUP('Données projet'!$B$10,Paramètres!$A$1:$I$89,3,0)*0.475*44/12</f>
        <v>#N/A</v>
      </c>
      <c r="AW160" s="23" t="e">
        <f>EXP(-LN(2)/2)*AW159+(1-EXP(-LN(2)/2))/(LN(2)/2)*AQ160*AT160*VLOOKUP('Données projet'!$B$10,Paramètres!$A$1:$I$89,3,0)*0.475*44/12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94.483999999999881</v>
      </c>
      <c r="D161" s="12">
        <f t="shared" si="140"/>
        <v>25.643578691511777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927.30060744324794</v>
      </c>
      <c r="H161" s="70">
        <f t="shared" si="110"/>
        <v>502.55553288771608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5.6843418860808015E-14</v>
      </c>
      <c r="O161" s="14">
        <f>N161*VLOOKUP('Données projet'!$B$9,Paramètres!$A$1:$I$89,3,0)*VLOOKUP('Données projet'!$B$9,Paramètres!$A$1:$I$89,5,0)</f>
        <v>3.3992364478763198E-14</v>
      </c>
      <c r="P161" s="14">
        <f t="shared" si="141"/>
        <v>5.790027782444094E-13</v>
      </c>
      <c r="Q161" s="22">
        <f t="shared" si="162"/>
        <v>1.0676332069095257E-12</v>
      </c>
      <c r="R161" s="62">
        <f t="shared" si="109"/>
        <v>293.33333333333439</v>
      </c>
      <c r="S161" s="62">
        <f ca="1">AVERAGE(OFFSET($R$3,0,0,'Données projet'!$E$9+1,1))-AVERAGE(OFFSET($H$3,0,0,'Données projet'!$E$9+1,1))</f>
        <v>157.21429387424644</v>
      </c>
      <c r="T161" s="62">
        <f t="shared" si="142"/>
        <v>264.58225136820056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8.6709664247138249</v>
      </c>
      <c r="AA161" s="23">
        <f>EXP(-LN(2)/25)*AA160+(1-EXP(-LN(2)/25))/(LN(2)/25)*Calculateur!V161*Calculateur!X161*VLOOKUP('Données projet'!$B$9,Paramètres!$A$1:$I$89,3,0)*0.475*44/12</f>
        <v>9.613308392930342E-2</v>
      </c>
      <c r="AB161" s="23">
        <f>EXP(-LN(2)/2)*AB160+(1-EXP(-LN(2)/2))/(LN(2)/2)*V161*Y161*VLOOKUP('Données projet'!$B$9,Paramètres!$A$1:$I$89,3,0)*0.475*44/12</f>
        <v>5.9713445054996605E-17</v>
      </c>
      <c r="AC161" s="24">
        <f t="shared" si="163"/>
        <v>8.7670995086431276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projet'!$B$10,Paramètres!$A$1:$I$89,3,0)*VLOOKUP('Données projet'!$B$10,Paramètres!$A$1:$I$89,5,0)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projet'!$B$10,Paramètres!$A$1:$I$89,3,0)*0.475*44/12</f>
        <v>#N/A</v>
      </c>
      <c r="AV161" s="23" t="e">
        <f>EXP(-LN(2)/25)*AV160+(1-EXP(-LN(2)/25))/(LN(2)/25)*Calculateur!AQ161*Calculateur!AS161*VLOOKUP('Données projet'!$B$10,Paramètres!$A$1:$I$89,3,0)*0.475*44/12</f>
        <v>#N/A</v>
      </c>
      <c r="AW161" s="23" t="e">
        <f>EXP(-LN(2)/2)*AW160+(1-EXP(-LN(2)/2))/(LN(2)/2)*AQ161*AT161*VLOOKUP('Données projet'!$B$10,Paramètres!$A$1:$I$89,3,0)*0.475*44/12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95.08199999999988</v>
      </c>
      <c r="D162" s="12">
        <f t="shared" si="140"/>
        <v>25.786935269387101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933.0233599742154</v>
      </c>
      <c r="H162" s="70">
        <f t="shared" si="110"/>
        <v>503.84672892751564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5.6843418860808015E-14</v>
      </c>
      <c r="O162" s="14">
        <f>N162*VLOOKUP('Données projet'!$B$9,Paramètres!$A$1:$I$89,3,0)*VLOOKUP('Données projet'!$B$9,Paramètres!$A$1:$I$89,5,0)</f>
        <v>3.3992364478763198E-14</v>
      </c>
      <c r="P162" s="14">
        <f t="shared" si="141"/>
        <v>5.790027782444094E-13</v>
      </c>
      <c r="Q162" s="22">
        <f t="shared" si="162"/>
        <v>1.0676332069095257E-12</v>
      </c>
      <c r="R162" s="62">
        <f t="shared" si="109"/>
        <v>293.33333333333439</v>
      </c>
      <c r="S162" s="62">
        <f ca="1">AVERAGE(OFFSET($R$3,0,0,'Données projet'!$E$9+1,1))-AVERAGE(OFFSET($H$3,0,0,'Données projet'!$E$9+1,1))</f>
        <v>157.21429387424644</v>
      </c>
      <c r="T162" s="62">
        <f t="shared" si="142"/>
        <v>264.58225136820056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8.5009340618924831</v>
      </c>
      <c r="AA162" s="23">
        <f>EXP(-LN(2)/25)*AA161+(1-EXP(-LN(2)/25))/(LN(2)/25)*Calculateur!V162*Calculateur!X162*VLOOKUP('Données projet'!$B$9,Paramètres!$A$1:$I$89,3,0)*0.475*44/12</f>
        <v>9.3504319693837448E-2</v>
      </c>
      <c r="AB162" s="23">
        <f>EXP(-LN(2)/2)*AB161+(1-EXP(-LN(2)/2))/(LN(2)/2)*V162*Y162*VLOOKUP('Données projet'!$B$9,Paramètres!$A$1:$I$89,3,0)*0.475*44/12</f>
        <v>4.2223781926398413E-17</v>
      </c>
      <c r="AC162" s="24">
        <f t="shared" si="163"/>
        <v>8.5944383815863201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projet'!$B$10,Paramètres!$A$1:$I$89,3,0)*VLOOKUP('Données projet'!$B$10,Paramètres!$A$1:$I$89,5,0)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projet'!$B$10,Paramètres!$A$1:$I$89,3,0)*0.475*44/12</f>
        <v>#N/A</v>
      </c>
      <c r="AV162" s="23" t="e">
        <f>EXP(-LN(2)/25)*AV161+(1-EXP(-LN(2)/25))/(LN(2)/25)*Calculateur!AQ162*Calculateur!AS162*VLOOKUP('Données projet'!$B$10,Paramètres!$A$1:$I$89,3,0)*0.475*44/12</f>
        <v>#N/A</v>
      </c>
      <c r="AW162" s="23" t="e">
        <f>EXP(-LN(2)/2)*AW161+(1-EXP(-LN(2)/2))/(LN(2)/2)*AQ162*AT162*VLOOKUP('Données projet'!$B$10,Paramètres!$A$1:$I$89,3,0)*0.475*44/12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95.679999999999879</v>
      </c>
      <c r="D163" s="12">
        <f t="shared" si="140"/>
        <v>25.930186937101919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938.7453026723648</v>
      </c>
      <c r="H163" s="70">
        <f t="shared" si="110"/>
        <v>505.13774224878563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5.6843418860808015E-14</v>
      </c>
      <c r="O163" s="14">
        <f>N163*VLOOKUP('Données projet'!$B$9,Paramètres!$A$1:$I$89,3,0)*VLOOKUP('Données projet'!$B$9,Paramètres!$A$1:$I$89,5,0)</f>
        <v>3.3992364478763198E-14</v>
      </c>
      <c r="P163" s="14">
        <f t="shared" si="141"/>
        <v>5.790027782444094E-13</v>
      </c>
      <c r="Q163" s="22">
        <f t="shared" si="162"/>
        <v>1.0676332069095257E-12</v>
      </c>
      <c r="R163" s="62">
        <f t="shared" si="109"/>
        <v>293.33333333333439</v>
      </c>
      <c r="S163" s="62">
        <f ca="1">AVERAGE(OFFSET($R$3,0,0,'Données projet'!$E$9+1,1))-AVERAGE(OFFSET($H$3,0,0,'Données projet'!$E$9+1,1))</f>
        <v>157.21429387424644</v>
      </c>
      <c r="T163" s="62">
        <f t="shared" si="142"/>
        <v>264.58225136820056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8.3342359299965665</v>
      </c>
      <c r="AA163" s="23">
        <f>EXP(-LN(2)/25)*AA162+(1-EXP(-LN(2)/25))/(LN(2)/25)*Calculateur!V163*Calculateur!X163*VLOOKUP('Données projet'!$B$9,Paramètres!$A$1:$I$89,3,0)*0.475*44/12</f>
        <v>9.0947439154630993E-2</v>
      </c>
      <c r="AB163" s="23">
        <f>EXP(-LN(2)/2)*AB162+(1-EXP(-LN(2)/2))/(LN(2)/2)*V163*Y163*VLOOKUP('Données projet'!$B$9,Paramètres!$A$1:$I$89,3,0)*0.475*44/12</f>
        <v>2.9856722527498303E-17</v>
      </c>
      <c r="AC163" s="24">
        <f t="shared" si="163"/>
        <v>8.4251833691511973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projet'!$B$10,Paramètres!$A$1:$I$89,3,0)*VLOOKUP('Données projet'!$B$10,Paramètres!$A$1:$I$89,5,0)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projet'!$B$10,Paramètres!$A$1:$I$89,3,0)*0.475*44/12</f>
        <v>#N/A</v>
      </c>
      <c r="AV163" s="23" t="e">
        <f>EXP(-LN(2)/25)*AV162+(1-EXP(-LN(2)/25))/(LN(2)/25)*Calculateur!AQ163*Calculateur!AS163*VLOOKUP('Données projet'!$B$10,Paramètres!$A$1:$I$89,3,0)*0.475*44/12</f>
        <v>#N/A</v>
      </c>
      <c r="AW163" s="23" t="e">
        <f>EXP(-LN(2)/2)*AW162+(1-EXP(-LN(2)/2))/(LN(2)/2)*AQ163*AT163*VLOOKUP('Données projet'!$B$10,Paramètres!$A$1:$I$89,3,0)*0.475*44/12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96.277999999999878</v>
      </c>
      <c r="D164" s="12">
        <f t="shared" si="140"/>
        <v>26.073334426410252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944.46644118632378</v>
      </c>
      <c r="H164" s="70">
        <f t="shared" si="110"/>
        <v>506.42857412599761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5.6843418860808015E-14</v>
      </c>
      <c r="O164" s="14">
        <f>N164*VLOOKUP('Données projet'!$B$9,Paramètres!$A$1:$I$89,3,0)*VLOOKUP('Données projet'!$B$9,Paramètres!$A$1:$I$89,5,0)</f>
        <v>3.3992364478763198E-14</v>
      </c>
      <c r="P164" s="14">
        <f t="shared" si="141"/>
        <v>5.790027782444094E-13</v>
      </c>
      <c r="Q164" s="22">
        <f t="shared" si="162"/>
        <v>1.0676332069095257E-12</v>
      </c>
      <c r="R164" s="62">
        <f t="shared" si="109"/>
        <v>293.33333333333439</v>
      </c>
      <c r="S164" s="62">
        <f ca="1">AVERAGE(OFFSET($R$3,0,0,'Données projet'!$E$9+1,1))-AVERAGE(OFFSET($H$3,0,0,'Données projet'!$E$9+1,1))</f>
        <v>157.21429387424644</v>
      </c>
      <c r="T164" s="62">
        <f t="shared" si="142"/>
        <v>264.58225136820056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8.1708066467913092</v>
      </c>
      <c r="AA164" s="23">
        <f>EXP(-LN(2)/25)*AA163+(1-EXP(-LN(2)/25))/(LN(2)/25)*Calculateur!V164*Calculateur!X164*VLOOKUP('Données projet'!$B$9,Paramètres!$A$1:$I$89,3,0)*0.475*44/12</f>
        <v>8.8460476648229647E-2</v>
      </c>
      <c r="AB164" s="23">
        <f>EXP(-LN(2)/2)*AB163+(1-EXP(-LN(2)/2))/(LN(2)/2)*V164*Y164*VLOOKUP('Données projet'!$B$9,Paramètres!$A$1:$I$89,3,0)*0.475*44/12</f>
        <v>2.1111890963199206E-17</v>
      </c>
      <c r="AC164" s="24">
        <f t="shared" si="163"/>
        <v>8.2592671234395389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projet'!$B$10,Paramètres!$A$1:$I$89,3,0)*VLOOKUP('Données projet'!$B$10,Paramètres!$A$1:$I$89,5,0)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projet'!$B$10,Paramètres!$A$1:$I$89,3,0)*0.475*44/12</f>
        <v>#N/A</v>
      </c>
      <c r="AV164" s="23" t="e">
        <f>EXP(-LN(2)/25)*AV163+(1-EXP(-LN(2)/25))/(LN(2)/25)*Calculateur!AQ164*Calculateur!AS164*VLOOKUP('Données projet'!$B$10,Paramètres!$A$1:$I$89,3,0)*0.475*44/12</f>
        <v>#N/A</v>
      </c>
      <c r="AW164" s="23" t="e">
        <f>EXP(-LN(2)/2)*AW163+(1-EXP(-LN(2)/2))/(LN(2)/2)*AQ164*AT164*VLOOKUP('Données projet'!$B$10,Paramètres!$A$1:$I$89,3,0)*0.475*44/12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96.875999999999877</v>
      </c>
      <c r="D165" s="12">
        <f t="shared" si="140"/>
        <v>26.216378459450194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950.18678109049188</v>
      </c>
      <c r="H165" s="70">
        <f t="shared" si="110"/>
        <v>507.71922581687556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5.6843418860808015E-14</v>
      </c>
      <c r="O165" s="14">
        <f>N165*VLOOKUP('Données projet'!$B$9,Paramètres!$A$1:$I$89,3,0)*VLOOKUP('Données projet'!$B$9,Paramètres!$A$1:$I$89,5,0)</f>
        <v>3.3992364478763198E-14</v>
      </c>
      <c r="P165" s="14">
        <f t="shared" si="141"/>
        <v>5.790027782444094E-13</v>
      </c>
      <c r="Q165" s="22">
        <f t="shared" si="162"/>
        <v>1.0676332069095257E-12</v>
      </c>
      <c r="R165" s="62">
        <f t="shared" si="109"/>
        <v>293.33333333333439</v>
      </c>
      <c r="S165" s="62">
        <f ca="1">AVERAGE(OFFSET($R$3,0,0,'Données projet'!$E$9+1,1))-AVERAGE(OFFSET($H$3,0,0,'Données projet'!$E$9+1,1))</f>
        <v>157.21429387424644</v>
      </c>
      <c r="T165" s="62">
        <f t="shared" si="142"/>
        <v>264.58225136820056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8.0105821121476861</v>
      </c>
      <c r="AA165" s="23">
        <f>EXP(-LN(2)/25)*AA164+(1-EXP(-LN(2)/25))/(LN(2)/25)*Calculateur!V165*Calculateur!X165*VLOOKUP('Données projet'!$B$9,Paramètres!$A$1:$I$89,3,0)*0.475*44/12</f>
        <v>8.6041520262349513E-2</v>
      </c>
      <c r="AB165" s="23">
        <f>EXP(-LN(2)/2)*AB164+(1-EXP(-LN(2)/2))/(LN(2)/2)*V165*Y165*VLOOKUP('Données projet'!$B$9,Paramètres!$A$1:$I$89,3,0)*0.475*44/12</f>
        <v>1.4928361263749151E-17</v>
      </c>
      <c r="AC165" s="24">
        <f t="shared" si="163"/>
        <v>8.0966236324100365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projet'!$B$10,Paramètres!$A$1:$I$89,3,0)*VLOOKUP('Données projet'!$B$10,Paramètres!$A$1:$I$89,5,0)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projet'!$B$10,Paramètres!$A$1:$I$89,3,0)*0.475*44/12</f>
        <v>#N/A</v>
      </c>
      <c r="AV165" s="23" t="e">
        <f>EXP(-LN(2)/25)*AV164+(1-EXP(-LN(2)/25))/(LN(2)/25)*Calculateur!AQ165*Calculateur!AS165*VLOOKUP('Données projet'!$B$10,Paramètres!$A$1:$I$89,3,0)*0.475*44/12</f>
        <v>#N/A</v>
      </c>
      <c r="AW165" s="23" t="e">
        <f>EXP(-LN(2)/2)*AW164+(1-EXP(-LN(2)/2))/(LN(2)/2)*AQ165*AT165*VLOOKUP('Données projet'!$B$10,Paramètres!$A$1:$I$89,3,0)*0.475*44/12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97.473999999999876</v>
      </c>
      <c r="D166" s="12">
        <f t="shared" si="140"/>
        <v>26.359319748929014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955.90632788646872</v>
      </c>
      <c r="H166" s="70">
        <f t="shared" si="110"/>
        <v>509.00969856271774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5.6843418860808015E-14</v>
      </c>
      <c r="O166" s="14">
        <f>N166*VLOOKUP('Données projet'!$B$9,Paramètres!$A$1:$I$89,3,0)*VLOOKUP('Données projet'!$B$9,Paramètres!$A$1:$I$89,5,0)</f>
        <v>3.3992364478763198E-14</v>
      </c>
      <c r="P166" s="14">
        <f t="shared" si="141"/>
        <v>5.790027782444094E-13</v>
      </c>
      <c r="Q166" s="22">
        <f t="shared" si="162"/>
        <v>1.0676332069095257E-12</v>
      </c>
      <c r="R166" s="62">
        <f t="shared" si="109"/>
        <v>293.33333333333439</v>
      </c>
      <c r="S166" s="62">
        <f ca="1">AVERAGE(OFFSET($R$3,0,0,'Données projet'!$E$9+1,1))-AVERAGE(OFFSET($H$3,0,0,'Données projet'!$E$9+1,1))</f>
        <v>157.21429387424644</v>
      </c>
      <c r="T166" s="62">
        <f t="shared" si="142"/>
        <v>264.58225136820056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7.8534994829011087</v>
      </c>
      <c r="AA166" s="23">
        <f>EXP(-LN(2)/25)*AA165+(1-EXP(-LN(2)/25))/(LN(2)/25)*Calculateur!V166*Calculateur!X166*VLOOKUP('Données projet'!$B$9,Paramètres!$A$1:$I$89,3,0)*0.475*44/12</f>
        <v>8.3688710366048663E-2</v>
      </c>
      <c r="AB166" s="23">
        <f>EXP(-LN(2)/2)*AB165+(1-EXP(-LN(2)/2))/(LN(2)/2)*V166*Y166*VLOOKUP('Données projet'!$B$9,Paramètres!$A$1:$I$89,3,0)*0.475*44/12</f>
        <v>1.0555945481599603E-17</v>
      </c>
      <c r="AC166" s="24">
        <f t="shared" si="163"/>
        <v>7.9371881932671577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projet'!$B$10,Paramètres!$A$1:$I$89,3,0)*VLOOKUP('Données projet'!$B$10,Paramètres!$A$1:$I$89,5,0)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projet'!$B$10,Paramètres!$A$1:$I$89,3,0)*0.475*44/12</f>
        <v>#N/A</v>
      </c>
      <c r="AV166" s="23" t="e">
        <f>EXP(-LN(2)/25)*AV165+(1-EXP(-LN(2)/25))/(LN(2)/25)*Calculateur!AQ166*Calculateur!AS166*VLOOKUP('Données projet'!$B$10,Paramètres!$A$1:$I$89,3,0)*0.475*44/12</f>
        <v>#N/A</v>
      </c>
      <c r="AW166" s="23" t="e">
        <f>EXP(-LN(2)/2)*AW165+(1-EXP(-LN(2)/2))/(LN(2)/2)*AQ166*AT166*VLOOKUP('Données projet'!$B$10,Paramètres!$A$1:$I$89,3,0)*0.475*44/12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98.071999999999875</v>
      </c>
      <c r="D167" s="12">
        <f t="shared" si="140"/>
        <v>26.502158998303084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961.62508700444403</v>
      </c>
      <c r="H167" s="70">
        <f t="shared" si="110"/>
        <v>510.299993588711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5.6843418860808015E-14</v>
      </c>
      <c r="O167" s="14">
        <f>N167*VLOOKUP('Données projet'!$B$9,Paramètres!$A$1:$I$89,3,0)*VLOOKUP('Données projet'!$B$9,Paramètres!$A$1:$I$89,5,0)</f>
        <v>3.3992364478763198E-14</v>
      </c>
      <c r="P167" s="14">
        <f t="shared" si="141"/>
        <v>5.790027782444094E-13</v>
      </c>
      <c r="Q167" s="22">
        <f t="shared" si="162"/>
        <v>1.0676332069095257E-12</v>
      </c>
      <c r="R167" s="62">
        <f t="shared" si="109"/>
        <v>293.33333333333439</v>
      </c>
      <c r="S167" s="62">
        <f ca="1">AVERAGE(OFFSET($R$3,0,0,'Données projet'!$E$9+1,1))-AVERAGE(OFFSET($H$3,0,0,'Données projet'!$E$9+1,1))</f>
        <v>157.21429387424644</v>
      </c>
      <c r="T167" s="62">
        <f t="shared" si="142"/>
        <v>264.58225136820056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7.6994971482031129</v>
      </c>
      <c r="AA167" s="23">
        <f>EXP(-LN(2)/25)*AA166+(1-EXP(-LN(2)/25))/(LN(2)/25)*Calculateur!V167*Calculateur!X167*VLOOKUP('Données projet'!$B$9,Paramètres!$A$1:$I$89,3,0)*0.475*44/12</f>
        <v>8.1400238180091053E-2</v>
      </c>
      <c r="AB167" s="23">
        <f>EXP(-LN(2)/2)*AB166+(1-EXP(-LN(2)/2))/(LN(2)/2)*V167*Y167*VLOOKUP('Données projet'!$B$9,Paramètres!$A$1:$I$89,3,0)*0.475*44/12</f>
        <v>7.4641806318745757E-18</v>
      </c>
      <c r="AC167" s="24">
        <f t="shared" si="163"/>
        <v>7.7808973863832041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projet'!$B$10,Paramètres!$A$1:$I$89,3,0)*VLOOKUP('Données projet'!$B$10,Paramètres!$A$1:$I$89,5,0)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projet'!$B$10,Paramètres!$A$1:$I$89,3,0)*0.475*44/12</f>
        <v>#N/A</v>
      </c>
      <c r="AV167" s="23" t="e">
        <f>EXP(-LN(2)/25)*AV166+(1-EXP(-LN(2)/25))/(LN(2)/25)*Calculateur!AQ167*Calculateur!AS167*VLOOKUP('Données projet'!$B$10,Paramètres!$A$1:$I$89,3,0)*0.475*44/12</f>
        <v>#N/A</v>
      </c>
      <c r="AW167" s="23" t="e">
        <f>EXP(-LN(2)/2)*AW166+(1-EXP(-LN(2)/2))/(LN(2)/2)*AQ167*AT167*VLOOKUP('Données projet'!$B$10,Paramètres!$A$1:$I$89,3,0)*0.475*44/12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98.669999999999874</v>
      </c>
      <c r="D168" s="12">
        <f t="shared" si="140"/>
        <v>26.644896901954041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967.34306380455655</v>
      </c>
      <c r="H168" s="70">
        <f t="shared" si="110"/>
        <v>511.59011210423637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5.6843418860808015E-14</v>
      </c>
      <c r="O168" s="14">
        <f>N168*VLOOKUP('Données projet'!$B$9,Paramètres!$A$1:$I$89,3,0)*VLOOKUP('Données projet'!$B$9,Paramètres!$A$1:$I$89,5,0)</f>
        <v>3.3992364478763198E-14</v>
      </c>
      <c r="P168" s="14">
        <f t="shared" si="141"/>
        <v>5.790027782444094E-13</v>
      </c>
      <c r="Q168" s="22">
        <f t="shared" si="162"/>
        <v>1.0676332069095257E-12</v>
      </c>
      <c r="R168" s="62">
        <f t="shared" si="109"/>
        <v>293.33333333333439</v>
      </c>
      <c r="S168" s="62">
        <f ca="1">AVERAGE(OFFSET($R$3,0,0,'Données projet'!$E$9+1,1))-AVERAGE(OFFSET($H$3,0,0,'Données projet'!$E$9+1,1))</f>
        <v>157.21429387424644</v>
      </c>
      <c r="T168" s="62">
        <f t="shared" si="142"/>
        <v>264.58225136820056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7.5485147053563963</v>
      </c>
      <c r="AA168" s="23">
        <f>EXP(-LN(2)/25)*AA167+(1-EXP(-LN(2)/25))/(LN(2)/25)*Calculateur!V168*Calculateur!X168*VLOOKUP('Données projet'!$B$9,Paramètres!$A$1:$I$89,3,0)*0.475*44/12</f>
        <v>7.9174344386403986E-2</v>
      </c>
      <c r="AB168" s="23">
        <f>EXP(-LN(2)/2)*AB167+(1-EXP(-LN(2)/2))/(LN(2)/2)*V168*Y168*VLOOKUP('Données projet'!$B$9,Paramètres!$A$1:$I$89,3,0)*0.475*44/12</f>
        <v>5.2779727407998016E-18</v>
      </c>
      <c r="AC168" s="24">
        <f t="shared" si="163"/>
        <v>7.6276890497428003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projet'!$B$10,Paramètres!$A$1:$I$89,3,0)*VLOOKUP('Données projet'!$B$10,Paramètres!$A$1:$I$89,5,0)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projet'!$B$10,Paramètres!$A$1:$I$89,3,0)*0.475*44/12</f>
        <v>#N/A</v>
      </c>
      <c r="AV168" s="23" t="e">
        <f>EXP(-LN(2)/25)*AV167+(1-EXP(-LN(2)/25))/(LN(2)/25)*Calculateur!AQ168*Calculateur!AS168*VLOOKUP('Données projet'!$B$10,Paramètres!$A$1:$I$89,3,0)*0.475*44/12</f>
        <v>#N/A</v>
      </c>
      <c r="AW168" s="23" t="e">
        <f>EXP(-LN(2)/2)*AW167+(1-EXP(-LN(2)/2))/(LN(2)/2)*AQ168*AT168*VLOOKUP('Données projet'!$B$10,Paramètres!$A$1:$I$89,3,0)*0.475*44/12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99.267999999999873</v>
      </c>
      <c r="D169" s="12">
        <f t="shared" si="140"/>
        <v>26.787534145359764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973.06026357821474</v>
      </c>
      <c r="H169" s="70">
        <f t="shared" si="110"/>
        <v>512.88005530316809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5.6843418860808015E-14</v>
      </c>
      <c r="O169" s="14">
        <f>N169*VLOOKUP('Données projet'!$B$9,Paramètres!$A$1:$I$89,3,0)*VLOOKUP('Données projet'!$B$9,Paramètres!$A$1:$I$89,5,0)</f>
        <v>3.3992364478763198E-14</v>
      </c>
      <c r="P169" s="14">
        <f t="shared" si="141"/>
        <v>5.790027782444094E-13</v>
      </c>
      <c r="Q169" s="22">
        <f t="shared" si="162"/>
        <v>1.0676332069095257E-12</v>
      </c>
      <c r="R169" s="62">
        <f t="shared" si="109"/>
        <v>293.33333333333439</v>
      </c>
      <c r="S169" s="62">
        <f ca="1">AVERAGE(OFFSET($R$3,0,0,'Données projet'!$E$9+1,1))-AVERAGE(OFFSET($H$3,0,0,'Données projet'!$E$9+1,1))</f>
        <v>157.21429387424644</v>
      </c>
      <c r="T169" s="62">
        <f t="shared" si="142"/>
        <v>264.58225136820056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7.4004929361237064</v>
      </c>
      <c r="AA169" s="23">
        <f>EXP(-LN(2)/25)*AA168+(1-EXP(-LN(2)/25))/(LN(2)/25)*Calculateur!V169*Calculateur!X169*VLOOKUP('Données projet'!$B$9,Paramètres!$A$1:$I$89,3,0)*0.475*44/12</f>
        <v>7.7009317775559957E-2</v>
      </c>
      <c r="AB169" s="23">
        <f>EXP(-LN(2)/2)*AB168+(1-EXP(-LN(2)/2))/(LN(2)/2)*V169*Y169*VLOOKUP('Données projet'!$B$9,Paramètres!$A$1:$I$89,3,0)*0.475*44/12</f>
        <v>3.7320903159372878E-18</v>
      </c>
      <c r="AC169" s="24">
        <f t="shared" si="163"/>
        <v>7.4775022538992664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projet'!$B$10,Paramètres!$A$1:$I$89,3,0)*VLOOKUP('Données projet'!$B$10,Paramètres!$A$1:$I$89,5,0)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projet'!$B$10,Paramètres!$A$1:$I$89,3,0)*0.475*44/12</f>
        <v>#N/A</v>
      </c>
      <c r="AV169" s="23" t="e">
        <f>EXP(-LN(2)/25)*AV168+(1-EXP(-LN(2)/25))/(LN(2)/25)*Calculateur!AQ169*Calculateur!AS169*VLOOKUP('Données projet'!$B$10,Paramètres!$A$1:$I$89,3,0)*0.475*44/12</f>
        <v>#N/A</v>
      </c>
      <c r="AW169" s="23" t="e">
        <f>EXP(-LN(2)/2)*AW168+(1-EXP(-LN(2)/2))/(LN(2)/2)*AQ169*AT169*VLOOKUP('Données projet'!$B$10,Paramètres!$A$1:$I$89,3,0)*0.475*44/12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99.865999999999872</v>
      </c>
      <c r="D170" s="12">
        <f t="shared" si="140"/>
        <v>26.930071405261604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978.77669154938678</v>
      </c>
      <c r="H170" s="70">
        <f t="shared" si="110"/>
        <v>514.16982436416379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5.6843418860808015E-14</v>
      </c>
      <c r="O170" s="14">
        <f>N170*VLOOKUP('Données projet'!$B$9,Paramètres!$A$1:$I$89,3,0)*VLOOKUP('Données projet'!$B$9,Paramètres!$A$1:$I$89,5,0)</f>
        <v>3.3992364478763198E-14</v>
      </c>
      <c r="P170" s="14">
        <f t="shared" si="141"/>
        <v>5.790027782444094E-13</v>
      </c>
      <c r="Q170" s="22">
        <f t="shared" si="162"/>
        <v>1.0676332069095257E-12</v>
      </c>
      <c r="R170" s="62">
        <f t="shared" si="109"/>
        <v>293.33333333333439</v>
      </c>
      <c r="S170" s="62">
        <f ca="1">AVERAGE(OFFSET($R$3,0,0,'Données projet'!$E$9+1,1))-AVERAGE(OFFSET($H$3,0,0,'Données projet'!$E$9+1,1))</f>
        <v>157.21429387424644</v>
      </c>
      <c r="T170" s="62">
        <f t="shared" si="142"/>
        <v>264.58225136820056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7.2553737835013052</v>
      </c>
      <c r="AA170" s="23">
        <f>EXP(-LN(2)/25)*AA169+(1-EXP(-LN(2)/25))/(LN(2)/25)*Calculateur!V170*Calculateur!X170*VLOOKUP('Données projet'!$B$9,Paramètres!$A$1:$I$89,3,0)*0.475*44/12</f>
        <v>7.4903493931243251E-2</v>
      </c>
      <c r="AB170" s="23">
        <f>EXP(-LN(2)/2)*AB169+(1-EXP(-LN(2)/2))/(LN(2)/2)*V170*Y170*VLOOKUP('Données projet'!$B$9,Paramètres!$A$1:$I$89,3,0)*0.475*44/12</f>
        <v>2.6389863703999008E-18</v>
      </c>
      <c r="AC170" s="24">
        <f t="shared" si="163"/>
        <v>7.3302772774325486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projet'!$B$10,Paramètres!$A$1:$I$89,3,0)*VLOOKUP('Données projet'!$B$10,Paramètres!$A$1:$I$89,5,0)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projet'!$B$10,Paramètres!$A$1:$I$89,3,0)*0.475*44/12</f>
        <v>#N/A</v>
      </c>
      <c r="AV170" s="23" t="e">
        <f>EXP(-LN(2)/25)*AV169+(1-EXP(-LN(2)/25))/(LN(2)/25)*Calculateur!AQ170*Calculateur!AS170*VLOOKUP('Données projet'!$B$10,Paramètres!$A$1:$I$89,3,0)*0.475*44/12</f>
        <v>#N/A</v>
      </c>
      <c r="AW170" s="23" t="e">
        <f>EXP(-LN(2)/2)*AW169+(1-EXP(-LN(2)/2))/(LN(2)/2)*AQ170*AT170*VLOOKUP('Données projet'!$B$10,Paramètres!$A$1:$I$89,3,0)*0.475*44/12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100.46399999999987</v>
      </c>
      <c r="D171" s="12">
        <f t="shared" si="140"/>
        <v>27.072509349827431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984.49235287585998</v>
      </c>
      <c r="H171" s="70">
        <f t="shared" si="110"/>
        <v>515.45942045094921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5.6843418860808015E-14</v>
      </c>
      <c r="O171" s="14">
        <f>N171*VLOOKUP('Données projet'!$B$9,Paramètres!$A$1:$I$89,3,0)*VLOOKUP('Données projet'!$B$9,Paramètres!$A$1:$I$89,5,0)</f>
        <v>3.3992364478763198E-14</v>
      </c>
      <c r="P171" s="14">
        <f t="shared" si="141"/>
        <v>5.790027782444094E-13</v>
      </c>
      <c r="Q171" s="22">
        <f t="shared" si="162"/>
        <v>1.0676332069095257E-12</v>
      </c>
      <c r="R171" s="62">
        <f t="shared" si="109"/>
        <v>293.33333333333439</v>
      </c>
      <c r="S171" s="62">
        <f ca="1">AVERAGE(OFFSET($R$3,0,0,'Données projet'!$E$9+1,1))-AVERAGE(OFFSET($H$3,0,0,'Données projet'!$E$9+1,1))</f>
        <v>157.21429387424644</v>
      </c>
      <c r="T171" s="62">
        <f t="shared" si="142"/>
        <v>264.58225136820056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7.113100328947886</v>
      </c>
      <c r="AA171" s="23">
        <f>EXP(-LN(2)/25)*AA170+(1-EXP(-LN(2)/25))/(LN(2)/25)*Calculateur!V171*Calculateur!X171*VLOOKUP('Données projet'!$B$9,Paramètres!$A$1:$I$89,3,0)*0.475*44/12</f>
        <v>7.2855253950689855E-2</v>
      </c>
      <c r="AB171" s="23">
        <f>EXP(-LN(2)/2)*AB170+(1-EXP(-LN(2)/2))/(LN(2)/2)*V171*Y171*VLOOKUP('Données projet'!$B$9,Paramètres!$A$1:$I$89,3,0)*0.475*44/12</f>
        <v>1.8660451579686439E-18</v>
      </c>
      <c r="AC171" s="24">
        <f t="shared" si="163"/>
        <v>7.1859555828985755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projet'!$B$10,Paramètres!$A$1:$I$89,3,0)*VLOOKUP('Données projet'!$B$10,Paramètres!$A$1:$I$89,5,0)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projet'!$B$10,Paramètres!$A$1:$I$89,3,0)*0.475*44/12</f>
        <v>#N/A</v>
      </c>
      <c r="AV171" s="23" t="e">
        <f>EXP(-LN(2)/25)*AV170+(1-EXP(-LN(2)/25))/(LN(2)/25)*Calculateur!AQ171*Calculateur!AS171*VLOOKUP('Données projet'!$B$10,Paramètres!$A$1:$I$89,3,0)*0.475*44/12</f>
        <v>#N/A</v>
      </c>
      <c r="AW171" s="23" t="e">
        <f>EXP(-LN(2)/2)*AW170+(1-EXP(-LN(2)/2))/(LN(2)/2)*AQ171*AT171*VLOOKUP('Données projet'!$B$10,Paramètres!$A$1:$I$89,3,0)*0.475*44/12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101.06199999999987</v>
      </c>
      <c r="D172" s="12">
        <f t="shared" si="140"/>
        <v>27.214848638810537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990.20725265046633</v>
      </c>
      <c r="H172" s="70">
        <f t="shared" si="110"/>
        <v>516.74884471259475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5.6843418860808015E-14</v>
      </c>
      <c r="O172" s="14">
        <f>N172*VLOOKUP('Données projet'!$B$9,Paramètres!$A$1:$I$89,3,0)*VLOOKUP('Données projet'!$B$9,Paramètres!$A$1:$I$89,5,0)</f>
        <v>3.3992364478763198E-14</v>
      </c>
      <c r="P172" s="14">
        <f t="shared" si="141"/>
        <v>5.790027782444094E-13</v>
      </c>
      <c r="Q172" s="22">
        <f t="shared" si="162"/>
        <v>1.0676332069095257E-12</v>
      </c>
      <c r="R172" s="62">
        <f t="shared" si="109"/>
        <v>293.33333333333439</v>
      </c>
      <c r="S172" s="62">
        <f ca="1">AVERAGE(OFFSET($R$3,0,0,'Données projet'!$E$9+1,1))-AVERAGE(OFFSET($H$3,0,0,'Données projet'!$E$9+1,1))</f>
        <v>157.21429387424644</v>
      </c>
      <c r="T172" s="62">
        <f t="shared" si="142"/>
        <v>264.58225136820056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6.9736167700600209</v>
      </c>
      <c r="AA172" s="23">
        <f>EXP(-LN(2)/25)*AA171+(1-EXP(-LN(2)/25))/(LN(2)/25)*Calculateur!V172*Calculateur!X172*VLOOKUP('Données projet'!$B$9,Paramètres!$A$1:$I$89,3,0)*0.475*44/12</f>
        <v>7.0863023200116948E-2</v>
      </c>
      <c r="AB172" s="23">
        <f>EXP(-LN(2)/2)*AB171+(1-EXP(-LN(2)/2))/(LN(2)/2)*V172*Y172*VLOOKUP('Données projet'!$B$9,Paramètres!$A$1:$I$89,3,0)*0.475*44/12</f>
        <v>1.3194931851999504E-18</v>
      </c>
      <c r="AC172" s="24">
        <f t="shared" si="163"/>
        <v>7.0444797932601375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projet'!$B$10,Paramètres!$A$1:$I$89,3,0)*VLOOKUP('Données projet'!$B$10,Paramètres!$A$1:$I$89,5,0)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projet'!$B$10,Paramètres!$A$1:$I$89,3,0)*0.475*44/12</f>
        <v>#N/A</v>
      </c>
      <c r="AV172" s="23" t="e">
        <f>EXP(-LN(2)/25)*AV171+(1-EXP(-LN(2)/25))/(LN(2)/25)*Calculateur!AQ172*Calculateur!AS172*VLOOKUP('Données projet'!$B$10,Paramètres!$A$1:$I$89,3,0)*0.475*44/12</f>
        <v>#N/A</v>
      </c>
      <c r="AW172" s="23" t="e">
        <f>EXP(-LN(2)/2)*AW171+(1-EXP(-LN(2)/2))/(LN(2)/2)*AQ172*AT172*VLOOKUP('Données projet'!$B$10,Paramètres!$A$1:$I$89,3,0)*0.475*44/12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101.65999999999987</v>
      </c>
      <c r="D173" s="12">
        <f t="shared" si="140"/>
        <v>27.35708992370472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995.92139590228101</v>
      </c>
      <c r="H173" s="70">
        <f t="shared" si="110"/>
        <v>518.03809828378553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5.6843418860808015E-14</v>
      </c>
      <c r="O173" s="14">
        <f>N173*VLOOKUP('Données projet'!$B$9,Paramètres!$A$1:$I$89,3,0)*VLOOKUP('Données projet'!$B$9,Paramètres!$A$1:$I$89,5,0)</f>
        <v>3.3992364478763198E-14</v>
      </c>
      <c r="P173" s="14">
        <f t="shared" si="141"/>
        <v>5.790027782444094E-13</v>
      </c>
      <c r="Q173" s="22">
        <f t="shared" si="162"/>
        <v>1.0676332069095257E-12</v>
      </c>
      <c r="R173" s="62">
        <f t="shared" si="109"/>
        <v>293.33333333333439</v>
      </c>
      <c r="S173" s="62">
        <f ca="1">AVERAGE(OFFSET($R$3,0,0,'Données projet'!$E$9+1,1))-AVERAGE(OFFSET($H$3,0,0,'Données projet'!$E$9+1,1))</f>
        <v>157.21429387424644</v>
      </c>
      <c r="T173" s="62">
        <f t="shared" si="142"/>
        <v>264.58225136820056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6.8368683986853771</v>
      </c>
      <c r="AA173" s="23">
        <f>EXP(-LN(2)/25)*AA172+(1-EXP(-LN(2)/25))/(LN(2)/25)*Calculateur!V173*Calculateur!X173*VLOOKUP('Données projet'!$B$9,Paramètres!$A$1:$I$89,3,0)*0.475*44/12</f>
        <v>6.8925270104185324E-2</v>
      </c>
      <c r="AB173" s="23">
        <f>EXP(-LN(2)/2)*AB172+(1-EXP(-LN(2)/2))/(LN(2)/2)*V173*Y173*VLOOKUP('Données projet'!$B$9,Paramètres!$A$1:$I$89,3,0)*0.475*44/12</f>
        <v>9.3302257898432196E-19</v>
      </c>
      <c r="AC173" s="24">
        <f t="shared" si="163"/>
        <v>6.9057936687895625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projet'!$B$10,Paramètres!$A$1:$I$89,3,0)*VLOOKUP('Données projet'!$B$10,Paramètres!$A$1:$I$89,5,0)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projet'!$B$10,Paramètres!$A$1:$I$89,3,0)*0.475*44/12</f>
        <v>#N/A</v>
      </c>
      <c r="AV173" s="23" t="e">
        <f>EXP(-LN(2)/25)*AV172+(1-EXP(-LN(2)/25))/(LN(2)/25)*Calculateur!AQ173*Calculateur!AS173*VLOOKUP('Données projet'!$B$10,Paramètres!$A$1:$I$89,3,0)*0.475*44/12</f>
        <v>#N/A</v>
      </c>
      <c r="AW173" s="23" t="e">
        <f>EXP(-LN(2)/2)*AW172+(1-EXP(-LN(2)/2))/(LN(2)/2)*AQ173*AT173*VLOOKUP('Données projet'!$B$10,Paramètres!$A$1:$I$89,3,0)*0.475*44/12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102.25799999999987</v>
      </c>
      <c r="D174" s="12">
        <f t="shared" si="140"/>
        <v>27.499233847895834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1001.6347875977913</v>
      </c>
      <c r="H174" s="70">
        <f t="shared" si="110"/>
        <v>519.32718228508497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5.6843418860808015E-14</v>
      </c>
      <c r="O174" s="14">
        <f>N174*VLOOKUP('Données projet'!$B$9,Paramètres!$A$1:$I$89,3,0)*VLOOKUP('Données projet'!$B$9,Paramètres!$A$1:$I$89,5,0)</f>
        <v>3.3992364478763198E-14</v>
      </c>
      <c r="P174" s="14">
        <f t="shared" si="141"/>
        <v>5.790027782444094E-13</v>
      </c>
      <c r="Q174" s="22">
        <f t="shared" si="162"/>
        <v>1.0676332069095257E-12</v>
      </c>
      <c r="R174" s="62">
        <f t="shared" si="109"/>
        <v>293.33333333333439</v>
      </c>
      <c r="S174" s="62">
        <f ca="1">AVERAGE(OFFSET($R$3,0,0,'Données projet'!$E$9+1,1))-AVERAGE(OFFSET($H$3,0,0,'Données projet'!$E$9+1,1))</f>
        <v>157.21429387424644</v>
      </c>
      <c r="T174" s="62">
        <f t="shared" si="142"/>
        <v>264.58225136820056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6.7028015794651195</v>
      </c>
      <c r="AA174" s="23">
        <f>EXP(-LN(2)/25)*AA173+(1-EXP(-LN(2)/25))/(LN(2)/25)*Calculateur!V174*Calculateur!X174*VLOOKUP('Données projet'!$B$9,Paramètres!$A$1:$I$89,3,0)*0.475*44/12</f>
        <v>6.7040504968563952E-2</v>
      </c>
      <c r="AB174" s="23">
        <f>EXP(-LN(2)/2)*AB173+(1-EXP(-LN(2)/2))/(LN(2)/2)*V174*Y174*VLOOKUP('Données projet'!$B$9,Paramètres!$A$1:$I$89,3,0)*0.475*44/12</f>
        <v>6.597465925999752E-19</v>
      </c>
      <c r="AC174" s="24">
        <f t="shared" si="163"/>
        <v>6.7698420844336837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projet'!$B$10,Paramètres!$A$1:$I$89,3,0)*VLOOKUP('Données projet'!$B$10,Paramètres!$A$1:$I$89,5,0)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projet'!$B$10,Paramètres!$A$1:$I$89,3,0)*0.475*44/12</f>
        <v>#N/A</v>
      </c>
      <c r="AV174" s="23" t="e">
        <f>EXP(-LN(2)/25)*AV173+(1-EXP(-LN(2)/25))/(LN(2)/25)*Calculateur!AQ174*Calculateur!AS174*VLOOKUP('Données projet'!$B$10,Paramètres!$A$1:$I$89,3,0)*0.475*44/12</f>
        <v>#N/A</v>
      </c>
      <c r="AW174" s="23" t="e">
        <f>EXP(-LN(2)/2)*AW173+(1-EXP(-LN(2)/2))/(LN(2)/2)*AQ174*AT174*VLOOKUP('Données projet'!$B$10,Paramètres!$A$1:$I$89,3,0)*0.475*44/12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102.85599999999987</v>
      </c>
      <c r="D175" s="12">
        <f t="shared" si="140"/>
        <v>27.641281046809208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1007.3474326420347</v>
      </c>
      <c r="H175" s="70">
        <f t="shared" si="110"/>
        <v>520.61609782319238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5.6843418860808015E-14</v>
      </c>
      <c r="O175" s="14">
        <f>N175*VLOOKUP('Données projet'!$B$9,Paramètres!$A$1:$I$89,3,0)*VLOOKUP('Données projet'!$B$9,Paramètres!$A$1:$I$89,5,0)</f>
        <v>3.3992364478763198E-14</v>
      </c>
      <c r="P175" s="14">
        <f t="shared" si="141"/>
        <v>5.790027782444094E-13</v>
      </c>
      <c r="Q175" s="22">
        <f t="shared" si="162"/>
        <v>1.0676332069095257E-12</v>
      </c>
      <c r="R175" s="62">
        <f t="shared" si="109"/>
        <v>293.33333333333439</v>
      </c>
      <c r="S175" s="62">
        <f ca="1">AVERAGE(OFFSET($R$3,0,0,'Données projet'!$E$9+1,1))-AVERAGE(OFFSET($H$3,0,0,'Données projet'!$E$9+1,1))</f>
        <v>157.21429387424644</v>
      </c>
      <c r="T175" s="62">
        <f t="shared" si="142"/>
        <v>264.58225136820056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6.5713637287970856</v>
      </c>
      <c r="AA175" s="23">
        <f>EXP(-LN(2)/25)*AA174+(1-EXP(-LN(2)/25))/(LN(2)/25)*Calculateur!V175*Calculateur!X175*VLOOKUP('Données projet'!$B$9,Paramètres!$A$1:$I$89,3,0)*0.475*44/12</f>
        <v>6.5207278834691643E-2</v>
      </c>
      <c r="AB175" s="23">
        <f>EXP(-LN(2)/2)*AB174+(1-EXP(-LN(2)/2))/(LN(2)/2)*V175*Y175*VLOOKUP('Données projet'!$B$9,Paramètres!$A$1:$I$89,3,0)*0.475*44/12</f>
        <v>4.6651128949216098E-19</v>
      </c>
      <c r="AC175" s="24">
        <f t="shared" si="163"/>
        <v>6.636571007631777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projet'!$B$10,Paramètres!$A$1:$I$89,3,0)*VLOOKUP('Données projet'!$B$10,Paramètres!$A$1:$I$89,5,0)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projet'!$B$10,Paramètres!$A$1:$I$89,3,0)*0.475*44/12</f>
        <v>#N/A</v>
      </c>
      <c r="AV175" s="23" t="e">
        <f>EXP(-LN(2)/25)*AV174+(1-EXP(-LN(2)/25))/(LN(2)/25)*Calculateur!AQ175*Calculateur!AS175*VLOOKUP('Données projet'!$B$10,Paramètres!$A$1:$I$89,3,0)*0.475*44/12</f>
        <v>#N/A</v>
      </c>
      <c r="AW175" s="23" t="e">
        <f>EXP(-LN(2)/2)*AW174+(1-EXP(-LN(2)/2))/(LN(2)/2)*AQ175*AT175*VLOOKUP('Données projet'!$B$10,Paramètres!$A$1:$I$89,3,0)*0.475*44/12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103.45399999999987</v>
      </c>
      <c r="D176" s="12">
        <f t="shared" si="140"/>
        <v>27.783232148054115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1013.0593358797149</v>
      </c>
      <c r="H176" s="70">
        <f t="shared" si="110"/>
        <v>521.90484599119395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5.6843418860808015E-14</v>
      </c>
      <c r="O176" s="14">
        <f>N176*VLOOKUP('Données projet'!$B$9,Paramètres!$A$1:$I$89,3,0)*VLOOKUP('Données projet'!$B$9,Paramètres!$A$1:$I$89,5,0)</f>
        <v>3.3992364478763198E-14</v>
      </c>
      <c r="P176" s="14">
        <f t="shared" si="141"/>
        <v>5.790027782444094E-13</v>
      </c>
      <c r="Q176" s="22">
        <f t="shared" si="162"/>
        <v>1.0676332069095257E-12</v>
      </c>
      <c r="R176" s="62">
        <f t="shared" si="109"/>
        <v>293.33333333333439</v>
      </c>
      <c r="S176" s="62">
        <f ca="1">AVERAGE(OFFSET($R$3,0,0,'Données projet'!$E$9+1,1))-AVERAGE(OFFSET($H$3,0,0,'Données projet'!$E$9+1,1))</f>
        <v>157.21429387424644</v>
      </c>
      <c r="T176" s="62">
        <f t="shared" si="142"/>
        <v>264.58225136820056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6.4425032942114786</v>
      </c>
      <c r="AA176" s="23">
        <f>EXP(-LN(2)/25)*AA175+(1-EXP(-LN(2)/25))/(LN(2)/25)*Calculateur!V176*Calculateur!X176*VLOOKUP('Données projet'!$B$9,Paramètres!$A$1:$I$89,3,0)*0.475*44/12</f>
        <v>6.3424182365855244E-2</v>
      </c>
      <c r="AB176" s="23">
        <f>EXP(-LN(2)/2)*AB175+(1-EXP(-LN(2)/2))/(LN(2)/2)*V176*Y176*VLOOKUP('Données projet'!$B$9,Paramètres!$A$1:$I$89,3,0)*0.475*44/12</f>
        <v>3.298732962999876E-19</v>
      </c>
      <c r="AC176" s="24">
        <f t="shared" si="163"/>
        <v>6.5059274765773338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projet'!$B$10,Paramètres!$A$1:$I$89,3,0)*VLOOKUP('Données projet'!$B$10,Paramètres!$A$1:$I$89,5,0)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projet'!$B$10,Paramètres!$A$1:$I$89,3,0)*0.475*44/12</f>
        <v>#N/A</v>
      </c>
      <c r="AV176" s="23" t="e">
        <f>EXP(-LN(2)/25)*AV175+(1-EXP(-LN(2)/25))/(LN(2)/25)*Calculateur!AQ176*Calculateur!AS176*VLOOKUP('Données projet'!$B$10,Paramètres!$A$1:$I$89,3,0)*0.475*44/12</f>
        <v>#N/A</v>
      </c>
      <c r="AW176" s="23" t="e">
        <f>EXP(-LN(2)/2)*AW175+(1-EXP(-LN(2)/2))/(LN(2)/2)*AQ176*AT176*VLOOKUP('Données projet'!$B$10,Paramètres!$A$1:$I$89,3,0)*0.475*44/12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104.05199999999986</v>
      </c>
      <c r="D177" s="12">
        <f t="shared" si="140"/>
        <v>27.925087771564392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1018.7705020962854</v>
      </c>
      <c r="H177" s="70">
        <f t="shared" si="110"/>
        <v>523.1934278688077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5.6843418860808015E-14</v>
      </c>
      <c r="O177" s="14">
        <f>N177*VLOOKUP('Données projet'!$B$9,Paramètres!$A$1:$I$89,3,0)*VLOOKUP('Données projet'!$B$9,Paramètres!$A$1:$I$89,5,0)</f>
        <v>3.3992364478763198E-14</v>
      </c>
      <c r="P177" s="14">
        <f t="shared" si="141"/>
        <v>5.790027782444094E-13</v>
      </c>
      <c r="Q177" s="22">
        <f t="shared" si="162"/>
        <v>1.0676332069095257E-12</v>
      </c>
      <c r="R177" s="62">
        <f t="shared" si="109"/>
        <v>293.33333333333439</v>
      </c>
      <c r="S177" s="62">
        <f ca="1">AVERAGE(OFFSET($R$3,0,0,'Données projet'!$E$9+1,1))-AVERAGE(OFFSET($H$3,0,0,'Données projet'!$E$9+1,1))</f>
        <v>157.21429387424644</v>
      </c>
      <c r="T177" s="62">
        <f t="shared" si="142"/>
        <v>264.58225136820056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6.316169734150991</v>
      </c>
      <c r="AA177" s="23">
        <f>EXP(-LN(2)/25)*AA176+(1-EXP(-LN(2)/25))/(LN(2)/25)*Calculateur!V177*Calculateur!X177*VLOOKUP('Données projet'!$B$9,Paramètres!$A$1:$I$89,3,0)*0.475*44/12</f>
        <v>6.1689844763728137E-2</v>
      </c>
      <c r="AB177" s="23">
        <f>EXP(-LN(2)/2)*AB176+(1-EXP(-LN(2)/2))/(LN(2)/2)*V177*Y177*VLOOKUP('Données projet'!$B$9,Paramètres!$A$1:$I$89,3,0)*0.475*44/12</f>
        <v>2.3325564474608049E-19</v>
      </c>
      <c r="AC177" s="24">
        <f t="shared" si="163"/>
        <v>6.3778595789147188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projet'!$B$10,Paramètres!$A$1:$I$89,3,0)*VLOOKUP('Données projet'!$B$10,Paramètres!$A$1:$I$89,5,0)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projet'!$B$10,Paramètres!$A$1:$I$89,3,0)*0.475*44/12</f>
        <v>#N/A</v>
      </c>
      <c r="AV177" s="23" t="e">
        <f>EXP(-LN(2)/25)*AV176+(1-EXP(-LN(2)/25))/(LN(2)/25)*Calculateur!AQ177*Calculateur!AS177*VLOOKUP('Données projet'!$B$10,Paramètres!$A$1:$I$89,3,0)*0.475*44/12</f>
        <v>#N/A</v>
      </c>
      <c r="AW177" s="23" t="e">
        <f>EXP(-LN(2)/2)*AW176+(1-EXP(-LN(2)/2))/(LN(2)/2)*AQ177*AT177*VLOOKUP('Données projet'!$B$10,Paramètres!$A$1:$I$89,3,0)*0.475*44/12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104.64999999999986</v>
      </c>
      <c r="D178" s="12">
        <f t="shared" si="140"/>
        <v>28.066848529735836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1024.4809360190125</v>
      </c>
      <c r="H178" s="70">
        <f t="shared" si="110"/>
        <v>524.48184452262296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5.6843418860808015E-14</v>
      </c>
      <c r="O178" s="14">
        <f>N178*VLOOKUP('Données projet'!$B$9,Paramètres!$A$1:$I$89,3,0)*VLOOKUP('Données projet'!$B$9,Paramètres!$A$1:$I$89,5,0)</f>
        <v>3.3992364478763198E-14</v>
      </c>
      <c r="P178" s="14">
        <f t="shared" si="141"/>
        <v>5.790027782444094E-13</v>
      </c>
      <c r="Q178" s="22">
        <f t="shared" si="162"/>
        <v>1.0676332069095257E-12</v>
      </c>
      <c r="R178" s="62">
        <f t="shared" si="109"/>
        <v>293.33333333333439</v>
      </c>
      <c r="S178" s="62">
        <f ca="1">AVERAGE(OFFSET($R$3,0,0,'Données projet'!$E$9+1,1))-AVERAGE(OFFSET($H$3,0,0,'Données projet'!$E$9+1,1))</f>
        <v>157.21429387424644</v>
      </c>
      <c r="T178" s="62">
        <f t="shared" si="142"/>
        <v>264.58225136820056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6.1923134981474268</v>
      </c>
      <c r="AA178" s="23">
        <f>EXP(-LN(2)/25)*AA177+(1-EXP(-LN(2)/25))/(LN(2)/25)*Calculateur!V178*Calculateur!X178*VLOOKUP('Données projet'!$B$9,Paramètres!$A$1:$I$89,3,0)*0.475*44/12</f>
        <v>6.000293271453605E-2</v>
      </c>
      <c r="AB178" s="23">
        <f>EXP(-LN(2)/2)*AB177+(1-EXP(-LN(2)/2))/(LN(2)/2)*V178*Y178*VLOOKUP('Données projet'!$B$9,Paramètres!$A$1:$I$89,3,0)*0.475*44/12</f>
        <v>1.649366481499938E-19</v>
      </c>
      <c r="AC178" s="24">
        <f t="shared" si="163"/>
        <v>6.2523164308619625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projet'!$B$10,Paramètres!$A$1:$I$89,3,0)*VLOOKUP('Données projet'!$B$10,Paramètres!$A$1:$I$89,5,0)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projet'!$B$10,Paramètres!$A$1:$I$89,3,0)*0.475*44/12</f>
        <v>#N/A</v>
      </c>
      <c r="AV178" s="23" t="e">
        <f>EXP(-LN(2)/25)*AV177+(1-EXP(-LN(2)/25))/(LN(2)/25)*Calculateur!AQ178*Calculateur!AS178*VLOOKUP('Données projet'!$B$10,Paramètres!$A$1:$I$89,3,0)*0.475*44/12</f>
        <v>#N/A</v>
      </c>
      <c r="AW178" s="23" t="e">
        <f>EXP(-LN(2)/2)*AW177+(1-EXP(-LN(2)/2))/(LN(2)/2)*AQ178*AT178*VLOOKUP('Données projet'!$B$10,Paramètres!$A$1:$I$89,3,0)*0.475*44/12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105.24799999999986</v>
      </c>
      <c r="D179" s="12">
        <f t="shared" si="140"/>
        <v>28.208515027560498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1030.1906423180098</v>
      </c>
      <c r="H179" s="70">
        <f t="shared" si="110"/>
        <v>525.77009700633425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5.6843418860808015E-14</v>
      </c>
      <c r="O179" s="14">
        <f>N179*VLOOKUP('Données projet'!$B$9,Paramètres!$A$1:$I$89,3,0)*VLOOKUP('Données projet'!$B$9,Paramètres!$A$1:$I$89,5,0)</f>
        <v>3.3992364478763198E-14</v>
      </c>
      <c r="P179" s="14">
        <f t="shared" si="141"/>
        <v>5.790027782444094E-13</v>
      </c>
      <c r="Q179" s="22">
        <f t="shared" si="162"/>
        <v>1.0676332069095257E-12</v>
      </c>
      <c r="R179" s="62">
        <f t="shared" si="109"/>
        <v>293.33333333333439</v>
      </c>
      <c r="S179" s="62">
        <f ca="1">AVERAGE(OFFSET($R$3,0,0,'Données projet'!$E$9+1,1))-AVERAGE(OFFSET($H$3,0,0,'Données projet'!$E$9+1,1))</f>
        <v>157.21429387424644</v>
      </c>
      <c r="T179" s="62">
        <f t="shared" si="142"/>
        <v>264.58225136820056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6.0708860073870481</v>
      </c>
      <c r="AA179" s="23">
        <f>EXP(-LN(2)/25)*AA178+(1-EXP(-LN(2)/25))/(LN(2)/25)*Calculateur!V179*Calculateur!X179*VLOOKUP('Données projet'!$B$9,Paramètres!$A$1:$I$89,3,0)*0.475*44/12</f>
        <v>5.8362149364039967E-2</v>
      </c>
      <c r="AB179" s="23">
        <f>EXP(-LN(2)/2)*AB178+(1-EXP(-LN(2)/2))/(LN(2)/2)*V179*Y179*VLOOKUP('Données projet'!$B$9,Paramètres!$A$1:$I$89,3,0)*0.475*44/12</f>
        <v>1.1662782237304025E-19</v>
      </c>
      <c r="AC179" s="24">
        <f t="shared" si="163"/>
        <v>6.1292481567510881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projet'!$B$10,Paramètres!$A$1:$I$89,3,0)*VLOOKUP('Données projet'!$B$10,Paramètres!$A$1:$I$89,5,0)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projet'!$B$10,Paramètres!$A$1:$I$89,3,0)*0.475*44/12</f>
        <v>#N/A</v>
      </c>
      <c r="AV179" s="23" t="e">
        <f>EXP(-LN(2)/25)*AV178+(1-EXP(-LN(2)/25))/(LN(2)/25)*Calculateur!AQ179*Calculateur!AS179*VLOOKUP('Données projet'!$B$10,Paramètres!$A$1:$I$89,3,0)*0.475*44/12</f>
        <v>#N/A</v>
      </c>
      <c r="AW179" s="23" t="e">
        <f>EXP(-LN(2)/2)*AW178+(1-EXP(-LN(2)/2))/(LN(2)/2)*AQ179*AT179*VLOOKUP('Données projet'!$B$10,Paramètres!$A$1:$I$89,3,0)*0.475*44/12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105.84599999999986</v>
      </c>
      <c r="D180" s="12">
        <f t="shared" si="140"/>
        <v>28.350087862757654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1035.8996256072508</v>
      </c>
      <c r="H180" s="70">
        <f t="shared" si="110"/>
        <v>527.05818636096933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5.6843418860808015E-14</v>
      </c>
      <c r="O180" s="14">
        <f>N180*VLOOKUP('Données projet'!$B$9,Paramètres!$A$1:$I$89,3,0)*VLOOKUP('Données projet'!$B$9,Paramètres!$A$1:$I$89,5,0)</f>
        <v>3.3992364478763198E-14</v>
      </c>
      <c r="P180" s="14">
        <f t="shared" si="141"/>
        <v>5.790027782444094E-13</v>
      </c>
      <c r="Q180" s="22">
        <f t="shared" si="162"/>
        <v>1.0676332069095257E-12</v>
      </c>
      <c r="R180" s="62">
        <f t="shared" si="109"/>
        <v>293.33333333333439</v>
      </c>
      <c r="S180" s="62">
        <f ca="1">AVERAGE(OFFSET($R$3,0,0,'Données projet'!$E$9+1,1))-AVERAGE(OFFSET($H$3,0,0,'Données projet'!$E$9+1,1))</f>
        <v>157.21429387424644</v>
      </c>
      <c r="T180" s="62">
        <f t="shared" si="142"/>
        <v>264.58225136820056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5.9518396356570245</v>
      </c>
      <c r="AA180" s="23">
        <f>EXP(-LN(2)/25)*AA179+(1-EXP(-LN(2)/25))/(LN(2)/25)*Calculateur!V180*Calculateur!X180*VLOOKUP('Données projet'!$B$9,Paramètres!$A$1:$I$89,3,0)*0.475*44/12</f>
        <v>5.6766233320548247E-2</v>
      </c>
      <c r="AB180" s="23">
        <f>EXP(-LN(2)/2)*AB179+(1-EXP(-LN(2)/2))/(LN(2)/2)*V180*Y180*VLOOKUP('Données projet'!$B$9,Paramètres!$A$1:$I$89,3,0)*0.475*44/12</f>
        <v>8.24683240749969E-20</v>
      </c>
      <c r="AC180" s="24">
        <f t="shared" si="163"/>
        <v>6.0086058689775728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projet'!$B$10,Paramètres!$A$1:$I$89,3,0)*VLOOKUP('Données projet'!$B$10,Paramètres!$A$1:$I$89,5,0)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projet'!$B$10,Paramètres!$A$1:$I$89,3,0)*0.475*44/12</f>
        <v>#N/A</v>
      </c>
      <c r="AV180" s="23" t="e">
        <f>EXP(-LN(2)/25)*AV179+(1-EXP(-LN(2)/25))/(LN(2)/25)*Calculateur!AQ180*Calculateur!AS180*VLOOKUP('Données projet'!$B$10,Paramètres!$A$1:$I$89,3,0)*0.475*44/12</f>
        <v>#N/A</v>
      </c>
      <c r="AW180" s="23" t="e">
        <f>EXP(-LN(2)/2)*AW179+(1-EXP(-LN(2)/2))/(LN(2)/2)*AQ180*AT180*VLOOKUP('Données projet'!$B$10,Paramètres!$A$1:$I$89,3,0)*0.475*44/12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106.44399999999986</v>
      </c>
      <c r="D181" s="12">
        <f t="shared" si="140"/>
        <v>28.491567625901897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1041.6078904455574</v>
      </c>
      <c r="H181" s="70">
        <f t="shared" si="110"/>
        <v>528.34611361511224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5.6843418860808015E-14</v>
      </c>
      <c r="O181" s="14">
        <f>N181*VLOOKUP('Données projet'!$B$9,Paramètres!$A$1:$I$89,3,0)*VLOOKUP('Données projet'!$B$9,Paramètres!$A$1:$I$89,5,0)</f>
        <v>3.3992364478763198E-14</v>
      </c>
      <c r="P181" s="14">
        <f t="shared" si="141"/>
        <v>5.790027782444094E-13</v>
      </c>
      <c r="Q181" s="22">
        <f t="shared" si="162"/>
        <v>1.0676332069095257E-12</v>
      </c>
      <c r="R181" s="62">
        <f t="shared" si="109"/>
        <v>293.33333333333439</v>
      </c>
      <c r="S181" s="62">
        <f ca="1">AVERAGE(OFFSET($R$3,0,0,'Données projet'!$E$9+1,1))-AVERAGE(OFFSET($H$3,0,0,'Données projet'!$E$9+1,1))</f>
        <v>157.21429387424644</v>
      </c>
      <c r="T181" s="62">
        <f t="shared" si="142"/>
        <v>264.58225136820056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5.8351276906655096</v>
      </c>
      <c r="AA181" s="23">
        <f>EXP(-LN(2)/25)*AA180+(1-EXP(-LN(2)/25))/(LN(2)/25)*Calculateur!V181*Calculateur!X181*VLOOKUP('Données projet'!$B$9,Paramètres!$A$1:$I$89,3,0)*0.475*44/12</f>
        <v>5.5213957685191384E-2</v>
      </c>
      <c r="AB181" s="23">
        <f>EXP(-LN(2)/2)*AB180+(1-EXP(-LN(2)/2))/(LN(2)/2)*V181*Y181*VLOOKUP('Données projet'!$B$9,Paramètres!$A$1:$I$89,3,0)*0.475*44/12</f>
        <v>5.8313911186520123E-20</v>
      </c>
      <c r="AC181" s="24">
        <f t="shared" si="163"/>
        <v>5.8903416483507014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projet'!$B$10,Paramètres!$A$1:$I$89,3,0)*VLOOKUP('Données projet'!$B$10,Paramètres!$A$1:$I$89,5,0)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projet'!$B$10,Paramètres!$A$1:$I$89,3,0)*0.475*44/12</f>
        <v>#N/A</v>
      </c>
      <c r="AV181" s="23" t="e">
        <f>EXP(-LN(2)/25)*AV180+(1-EXP(-LN(2)/25))/(LN(2)/25)*Calculateur!AQ181*Calculateur!AS181*VLOOKUP('Données projet'!$B$10,Paramètres!$A$1:$I$89,3,0)*0.475*44/12</f>
        <v>#N/A</v>
      </c>
      <c r="AW181" s="23" t="e">
        <f>EXP(-LN(2)/2)*AW180+(1-EXP(-LN(2)/2))/(LN(2)/2)*AQ181*AT181*VLOOKUP('Données projet'!$B$10,Paramètres!$A$1:$I$89,3,0)*0.475*44/12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107.04199999999986</v>
      </c>
      <c r="D182" s="12">
        <f t="shared" si="140"/>
        <v>28.632954900548057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1047.3154413375626</v>
      </c>
      <c r="H182" s="70">
        <f t="shared" si="110"/>
        <v>529.63387978512094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5.6843418860808015E-14</v>
      </c>
      <c r="O182" s="14">
        <f>N182*VLOOKUP('Données projet'!$B$9,Paramètres!$A$1:$I$89,3,0)*VLOOKUP('Données projet'!$B$9,Paramètres!$A$1:$I$89,5,0)</f>
        <v>3.3992364478763198E-14</v>
      </c>
      <c r="P182" s="14">
        <f t="shared" si="141"/>
        <v>5.790027782444094E-13</v>
      </c>
      <c r="Q182" s="22">
        <f t="shared" si="162"/>
        <v>1.0676332069095257E-12</v>
      </c>
      <c r="R182" s="62">
        <f t="shared" si="109"/>
        <v>293.33333333333439</v>
      </c>
      <c r="S182" s="62">
        <f ca="1">AVERAGE(OFFSET($R$3,0,0,'Données projet'!$E$9+1,1))-AVERAGE(OFFSET($H$3,0,0,'Données projet'!$E$9+1,1))</f>
        <v>157.21429387424644</v>
      </c>
      <c r="T182" s="62">
        <f t="shared" si="142"/>
        <v>264.58225136820056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5.7207043957280206</v>
      </c>
      <c r="AA182" s="23">
        <f>EXP(-LN(2)/25)*AA181+(1-EXP(-LN(2)/25))/(LN(2)/25)*Calculateur!V182*Calculateur!X182*VLOOKUP('Données projet'!$B$9,Paramètres!$A$1:$I$89,3,0)*0.475*44/12</f>
        <v>5.3704129108713985E-2</v>
      </c>
      <c r="AB182" s="23">
        <f>EXP(-LN(2)/2)*AB181+(1-EXP(-LN(2)/2))/(LN(2)/2)*V182*Y182*VLOOKUP('Données projet'!$B$9,Paramètres!$A$1:$I$89,3,0)*0.475*44/12</f>
        <v>4.123416203749845E-20</v>
      </c>
      <c r="AC182" s="24">
        <f t="shared" si="163"/>
        <v>5.7744085248367343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projet'!$B$10,Paramètres!$A$1:$I$89,3,0)*VLOOKUP('Données projet'!$B$10,Paramètres!$A$1:$I$89,5,0)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projet'!$B$10,Paramètres!$A$1:$I$89,3,0)*0.475*44/12</f>
        <v>#N/A</v>
      </c>
      <c r="AV182" s="23" t="e">
        <f>EXP(-LN(2)/25)*AV181+(1-EXP(-LN(2)/25))/(LN(2)/25)*Calculateur!AQ182*Calculateur!AS182*VLOOKUP('Données projet'!$B$10,Paramètres!$A$1:$I$89,3,0)*0.475*44/12</f>
        <v>#N/A</v>
      </c>
      <c r="AW182" s="23" t="e">
        <f>EXP(-LN(2)/2)*AW181+(1-EXP(-LN(2)/2))/(LN(2)/2)*AQ182*AT182*VLOOKUP('Données projet'!$B$10,Paramètres!$A$1:$I$89,3,0)*0.475*44/12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107.63999999999986</v>
      </c>
      <c r="D183" s="12">
        <f t="shared" si="140"/>
        <v>28.774250263353558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1053.0222827346581</v>
      </c>
      <c r="H183" s="70">
        <f t="shared" si="110"/>
        <v>530.92148587534052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5.6843418860808015E-14</v>
      </c>
      <c r="O183" s="14">
        <f>N183*VLOOKUP('Données projet'!$B$9,Paramètres!$A$1:$I$89,3,0)*VLOOKUP('Données projet'!$B$9,Paramètres!$A$1:$I$89,5,0)</f>
        <v>3.3992364478763198E-14</v>
      </c>
      <c r="P183" s="14">
        <f t="shared" si="141"/>
        <v>5.790027782444094E-13</v>
      </c>
      <c r="Q183" s="22">
        <f t="shared" si="162"/>
        <v>1.0676332069095257E-12</v>
      </c>
      <c r="R183" s="62">
        <f t="shared" si="109"/>
        <v>293.33333333333439</v>
      </c>
      <c r="S183" s="62">
        <f ca="1">AVERAGE(OFFSET($R$3,0,0,'Données projet'!$E$9+1,1))-AVERAGE(OFFSET($H$3,0,0,'Données projet'!$E$9+1,1))</f>
        <v>157.21429387424644</v>
      </c>
      <c r="T183" s="62">
        <f t="shared" si="142"/>
        <v>264.58225136820056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5.6085248718129375</v>
      </c>
      <c r="AA183" s="23">
        <f>EXP(-LN(2)/25)*AA182+(1-EXP(-LN(2)/25))/(LN(2)/25)*Calculateur!V183*Calculateur!X183*VLOOKUP('Données projet'!$B$9,Paramètres!$A$1:$I$89,3,0)*0.475*44/12</f>
        <v>5.2235586874058791E-2</v>
      </c>
      <c r="AB183" s="23">
        <f>EXP(-LN(2)/2)*AB182+(1-EXP(-LN(2)/2))/(LN(2)/2)*V183*Y183*VLOOKUP('Données projet'!$B$9,Paramètres!$A$1:$I$89,3,0)*0.475*44/12</f>
        <v>2.9156955593260061E-20</v>
      </c>
      <c r="AC183" s="24">
        <f t="shared" si="163"/>
        <v>5.6607604586869966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projet'!$B$10,Paramètres!$A$1:$I$89,3,0)*VLOOKUP('Données projet'!$B$10,Paramètres!$A$1:$I$89,5,0)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projet'!$B$10,Paramètres!$A$1:$I$89,3,0)*0.475*44/12</f>
        <v>#N/A</v>
      </c>
      <c r="AV183" s="23" t="e">
        <f>EXP(-LN(2)/25)*AV182+(1-EXP(-LN(2)/25))/(LN(2)/25)*Calculateur!AQ183*Calculateur!AS183*VLOOKUP('Données projet'!$B$10,Paramètres!$A$1:$I$89,3,0)*0.475*44/12</f>
        <v>#N/A</v>
      </c>
      <c r="AW183" s="23" t="e">
        <f>EXP(-LN(2)/2)*AW182+(1-EXP(-LN(2)/2))/(LN(2)/2)*AQ183*AT183*VLOOKUP('Données projet'!$B$10,Paramètres!$A$1:$I$89,3,0)*0.475*44/12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108.23799999999986</v>
      </c>
      <c r="D184" s="12">
        <f t="shared" si="140"/>
        <v>28.915454284197654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1058.7284190359107</v>
      </c>
      <c r="H184" s="70">
        <f t="shared" si="110"/>
        <v>532.20893287831063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5.6843418860808015E-14</v>
      </c>
      <c r="O184" s="14">
        <f>N184*VLOOKUP('Données projet'!$B$9,Paramètres!$A$1:$I$89,3,0)*VLOOKUP('Données projet'!$B$9,Paramètres!$A$1:$I$89,5,0)</f>
        <v>3.3992364478763198E-14</v>
      </c>
      <c r="P184" s="14">
        <f t="shared" si="141"/>
        <v>5.790027782444094E-13</v>
      </c>
      <c r="Q184" s="22">
        <f t="shared" si="162"/>
        <v>1.0676332069095257E-12</v>
      </c>
      <c r="R184" s="62">
        <f t="shared" si="109"/>
        <v>293.33333333333439</v>
      </c>
      <c r="S184" s="62">
        <f ca="1">AVERAGE(OFFSET($R$3,0,0,'Données projet'!$E$9+1,1))-AVERAGE(OFFSET($H$3,0,0,'Données projet'!$E$9+1,1))</f>
        <v>157.21429387424644</v>
      </c>
      <c r="T184" s="62">
        <f t="shared" si="142"/>
        <v>264.58225136820056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5.4985451199390756</v>
      </c>
      <c r="AA184" s="23">
        <f>EXP(-LN(2)/25)*AA183+(1-EXP(-LN(2)/25))/(LN(2)/25)*Calculateur!V184*Calculateur!X184*VLOOKUP('Données projet'!$B$9,Paramètres!$A$1:$I$89,3,0)*0.475*44/12</f>
        <v>5.0807202004037523E-2</v>
      </c>
      <c r="AB184" s="23">
        <f>EXP(-LN(2)/2)*AB183+(1-EXP(-LN(2)/2))/(LN(2)/2)*V184*Y184*VLOOKUP('Données projet'!$B$9,Paramètres!$A$1:$I$89,3,0)*0.475*44/12</f>
        <v>2.0617081018749225E-20</v>
      </c>
      <c r="AC184" s="24">
        <f t="shared" si="163"/>
        <v>5.5493523219431129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projet'!$B$10,Paramètres!$A$1:$I$89,3,0)*VLOOKUP('Données projet'!$B$10,Paramètres!$A$1:$I$89,5,0)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projet'!$B$10,Paramètres!$A$1:$I$89,3,0)*0.475*44/12</f>
        <v>#N/A</v>
      </c>
      <c r="AV184" s="23" t="e">
        <f>EXP(-LN(2)/25)*AV183+(1-EXP(-LN(2)/25))/(LN(2)/25)*Calculateur!AQ184*Calculateur!AS184*VLOOKUP('Données projet'!$B$10,Paramètres!$A$1:$I$89,3,0)*0.475*44/12</f>
        <v>#N/A</v>
      </c>
      <c r="AW184" s="23" t="e">
        <f>EXP(-LN(2)/2)*AW183+(1-EXP(-LN(2)/2))/(LN(2)/2)*AQ184*AT184*VLOOKUP('Données projet'!$B$10,Paramètres!$A$1:$I$89,3,0)*0.475*44/12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108.83599999999986</v>
      </c>
      <c r="D185" s="12">
        <f t="shared" si="140"/>
        <v>29.056567526298124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1064.4338545889668</v>
      </c>
      <c r="H185" s="70">
        <f t="shared" si="110"/>
        <v>533.49622177496894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5.6843418860808015E-14</v>
      </c>
      <c r="O185" s="14">
        <f>N185*VLOOKUP('Données projet'!$B$9,Paramètres!$A$1:$I$89,3,0)*VLOOKUP('Données projet'!$B$9,Paramètres!$A$1:$I$89,5,0)</f>
        <v>3.3992364478763198E-14</v>
      </c>
      <c r="P185" s="14">
        <f t="shared" si="141"/>
        <v>5.790027782444094E-13</v>
      </c>
      <c r="Q185" s="22">
        <f t="shared" si="162"/>
        <v>1.0676332069095257E-12</v>
      </c>
      <c r="R185" s="62">
        <f t="shared" si="109"/>
        <v>293.33333333333439</v>
      </c>
      <c r="S185" s="62">
        <f ca="1">AVERAGE(OFFSET($R$3,0,0,'Données projet'!$E$9+1,1))-AVERAGE(OFFSET($H$3,0,0,'Données projet'!$E$9+1,1))</f>
        <v>157.21429387424644</v>
      </c>
      <c r="T185" s="62">
        <f t="shared" si="142"/>
        <v>264.58225136820056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5.3907220039184347</v>
      </c>
      <c r="AA185" s="23">
        <f>EXP(-LN(2)/25)*AA184+(1-EXP(-LN(2)/25))/(LN(2)/25)*Calculateur!V185*Calculateur!X185*VLOOKUP('Données projet'!$B$9,Paramètres!$A$1:$I$89,3,0)*0.475*44/12</f>
        <v>4.9417876393402484E-2</v>
      </c>
      <c r="AB185" s="23">
        <f>EXP(-LN(2)/2)*AB184+(1-EXP(-LN(2)/2))/(LN(2)/2)*V185*Y185*VLOOKUP('Données projet'!$B$9,Paramètres!$A$1:$I$89,3,0)*0.475*44/12</f>
        <v>1.4578477796630031E-20</v>
      </c>
      <c r="AC185" s="24">
        <f t="shared" si="163"/>
        <v>5.440139880311837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projet'!$B$10,Paramètres!$A$1:$I$89,3,0)*VLOOKUP('Données projet'!$B$10,Paramètres!$A$1:$I$89,5,0)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projet'!$B$10,Paramètres!$A$1:$I$89,3,0)*0.475*44/12</f>
        <v>#N/A</v>
      </c>
      <c r="AV185" s="23" t="e">
        <f>EXP(-LN(2)/25)*AV184+(1-EXP(-LN(2)/25))/(LN(2)/25)*Calculateur!AQ185*Calculateur!AS185*VLOOKUP('Données projet'!$B$10,Paramètres!$A$1:$I$89,3,0)*0.475*44/12</f>
        <v>#N/A</v>
      </c>
      <c r="AW185" s="23" t="e">
        <f>EXP(-LN(2)/2)*AW184+(1-EXP(-LN(2)/2))/(LN(2)/2)*AQ185*AT185*VLOOKUP('Données projet'!$B$10,Paramètres!$A$1:$I$89,3,0)*0.475*44/12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109.43399999999986</v>
      </c>
      <c r="D186" s="12">
        <f t="shared" si="140"/>
        <v>29.197590546325394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1070.1385936909319</v>
      </c>
      <c r="H186" s="70">
        <f t="shared" si="110"/>
        <v>534.78335353484977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5.6843418860808015E-14</v>
      </c>
      <c r="O186" s="14">
        <f>N186*VLOOKUP('Données projet'!$B$9,Paramètres!$A$1:$I$89,3,0)*VLOOKUP('Données projet'!$B$9,Paramètres!$A$1:$I$89,5,0)</f>
        <v>3.3992364478763198E-14</v>
      </c>
      <c r="P186" s="14">
        <f t="shared" si="141"/>
        <v>5.790027782444094E-13</v>
      </c>
      <c r="Q186" s="22">
        <f t="shared" si="162"/>
        <v>1.0676332069095257E-12</v>
      </c>
      <c r="R186" s="62">
        <f t="shared" si="109"/>
        <v>293.33333333333439</v>
      </c>
      <c r="S186" s="62">
        <f ca="1">AVERAGE(OFFSET($R$3,0,0,'Données projet'!$E$9+1,1))-AVERAGE(OFFSET($H$3,0,0,'Données projet'!$E$9+1,1))</f>
        <v>157.21429387424644</v>
      </c>
      <c r="T186" s="62">
        <f t="shared" si="142"/>
        <v>264.58225136820056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5.2850132334373523</v>
      </c>
      <c r="AA186" s="23">
        <f>EXP(-LN(2)/25)*AA185+(1-EXP(-LN(2)/25))/(LN(2)/25)*Calculateur!V186*Calculateur!X186*VLOOKUP('Données projet'!$B$9,Paramètres!$A$1:$I$89,3,0)*0.475*44/12</f>
        <v>4.8066541964651717E-2</v>
      </c>
      <c r="AB186" s="23">
        <f>EXP(-LN(2)/2)*AB185+(1-EXP(-LN(2)/2))/(LN(2)/2)*V186*Y186*VLOOKUP('Données projet'!$B$9,Paramètres!$A$1:$I$89,3,0)*0.475*44/12</f>
        <v>1.0308540509374613E-20</v>
      </c>
      <c r="AC186" s="24">
        <f t="shared" si="163"/>
        <v>5.3330797754020036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projet'!$B$10,Paramètres!$A$1:$I$89,3,0)*VLOOKUP('Données projet'!$B$10,Paramètres!$A$1:$I$89,5,0)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projet'!$B$10,Paramètres!$A$1:$I$89,3,0)*0.475*44/12</f>
        <v>#N/A</v>
      </c>
      <c r="AV186" s="23" t="e">
        <f>EXP(-LN(2)/25)*AV185+(1-EXP(-LN(2)/25))/(LN(2)/25)*Calculateur!AQ186*Calculateur!AS186*VLOOKUP('Données projet'!$B$10,Paramètres!$A$1:$I$89,3,0)*0.475*44/12</f>
        <v>#N/A</v>
      </c>
      <c r="AW186" s="23" t="e">
        <f>EXP(-LN(2)/2)*AW185+(1-EXP(-LN(2)/2))/(LN(2)/2)*AQ186*AT186*VLOOKUP('Données projet'!$B$10,Paramètres!$A$1:$I$89,3,0)*0.475*44/12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110.03199999999985</v>
      </c>
      <c r="D187" s="12">
        <f t="shared" si="140"/>
        <v>29.338523894513862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1075.8426405892287</v>
      </c>
      <c r="H187" s="70">
        <f t="shared" si="110"/>
        <v>536.07032911627812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5.6843418860808015E-14</v>
      </c>
      <c r="O187" s="14">
        <f>N187*VLOOKUP('Données projet'!$B$9,Paramètres!$A$1:$I$89,3,0)*VLOOKUP('Données projet'!$B$9,Paramètres!$A$1:$I$89,5,0)</f>
        <v>3.3992364478763198E-14</v>
      </c>
      <c r="P187" s="14">
        <f t="shared" si="141"/>
        <v>5.790027782444094E-13</v>
      </c>
      <c r="Q187" s="22">
        <f t="shared" si="162"/>
        <v>1.0676332069095257E-12</v>
      </c>
      <c r="R187" s="62">
        <f t="shared" si="109"/>
        <v>293.33333333333439</v>
      </c>
      <c r="S187" s="62">
        <f ca="1">AVERAGE(OFFSET($R$3,0,0,'Données projet'!$E$9+1,1))-AVERAGE(OFFSET($H$3,0,0,'Données projet'!$E$9+1,1))</f>
        <v>157.21429387424644</v>
      </c>
      <c r="T187" s="62">
        <f t="shared" si="142"/>
        <v>264.58225136820056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5.1813773474694198</v>
      </c>
      <c r="AA187" s="23">
        <f>EXP(-LN(2)/25)*AA186+(1-EXP(-LN(2)/25))/(LN(2)/25)*Calculateur!V187*Calculateur!X187*VLOOKUP('Données projet'!$B$9,Paramètres!$A$1:$I$89,3,0)*0.475*44/12</f>
        <v>4.6752159846918731E-2</v>
      </c>
      <c r="AB187" s="23">
        <f>EXP(-LN(2)/2)*AB186+(1-EXP(-LN(2)/2))/(LN(2)/2)*V187*Y187*VLOOKUP('Données projet'!$B$9,Paramètres!$A$1:$I$89,3,0)*0.475*44/12</f>
        <v>7.2892388983150153E-21</v>
      </c>
      <c r="AC187" s="24">
        <f t="shared" si="163"/>
        <v>5.2281295073163383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projet'!$B$10,Paramètres!$A$1:$I$89,3,0)*VLOOKUP('Données projet'!$B$10,Paramètres!$A$1:$I$89,5,0)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projet'!$B$10,Paramètres!$A$1:$I$89,3,0)*0.475*44/12</f>
        <v>#N/A</v>
      </c>
      <c r="AV187" s="23" t="e">
        <f>EXP(-LN(2)/25)*AV186+(1-EXP(-LN(2)/25))/(LN(2)/25)*Calculateur!AQ187*Calculateur!AS187*VLOOKUP('Données projet'!$B$10,Paramètres!$A$1:$I$89,3,0)*0.475*44/12</f>
        <v>#N/A</v>
      </c>
      <c r="AW187" s="23" t="e">
        <f>EXP(-LN(2)/2)*AW186+(1-EXP(-LN(2)/2))/(LN(2)/2)*AQ187*AT187*VLOOKUP('Données projet'!$B$10,Paramètres!$A$1:$I$89,3,0)*0.475*44/12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110.62999999999985</v>
      </c>
      <c r="D188" s="12">
        <f t="shared" si="140"/>
        <v>29.479368114770981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1081.5459994824416</v>
      </c>
      <c r="H188" s="70">
        <f t="shared" si="110"/>
        <v>537.35714946655912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5.6843418860808015E-14</v>
      </c>
      <c r="O188" s="14">
        <f>N188*VLOOKUP('Données projet'!$B$9,Paramètres!$A$1:$I$89,3,0)*VLOOKUP('Données projet'!$B$9,Paramètres!$A$1:$I$89,5,0)</f>
        <v>3.3992364478763198E-14</v>
      </c>
      <c r="P188" s="14">
        <f t="shared" si="141"/>
        <v>5.790027782444094E-13</v>
      </c>
      <c r="Q188" s="22">
        <f t="shared" si="162"/>
        <v>1.0676332069095257E-12</v>
      </c>
      <c r="R188" s="62">
        <f t="shared" si="109"/>
        <v>293.33333333333439</v>
      </c>
      <c r="S188" s="62">
        <f ca="1">AVERAGE(OFFSET($R$3,0,0,'Données projet'!$E$9+1,1))-AVERAGE(OFFSET($H$3,0,0,'Données projet'!$E$9+1,1))</f>
        <v>157.21429387424644</v>
      </c>
      <c r="T188" s="62">
        <f t="shared" si="142"/>
        <v>264.58225136820056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5.0797736980136703</v>
      </c>
      <c r="AA188" s="23">
        <f>EXP(-LN(2)/25)*AA187+(1-EXP(-LN(2)/25))/(LN(2)/25)*Calculateur!V188*Calculateur!X188*VLOOKUP('Données projet'!$B$9,Paramètres!$A$1:$I$89,3,0)*0.475*44/12</f>
        <v>4.5473719577315504E-2</v>
      </c>
      <c r="AB188" s="23">
        <f>EXP(-LN(2)/2)*AB187+(1-EXP(-LN(2)/2))/(LN(2)/2)*V188*Y188*VLOOKUP('Données projet'!$B$9,Paramètres!$A$1:$I$89,3,0)*0.475*44/12</f>
        <v>5.1542702546873063E-21</v>
      </c>
      <c r="AC188" s="24">
        <f t="shared" si="163"/>
        <v>5.1252474175909857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projet'!$B$10,Paramètres!$A$1:$I$89,3,0)*VLOOKUP('Données projet'!$B$10,Paramètres!$A$1:$I$89,5,0)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projet'!$B$10,Paramètres!$A$1:$I$89,3,0)*0.475*44/12</f>
        <v>#N/A</v>
      </c>
      <c r="AV188" s="23" t="e">
        <f>EXP(-LN(2)/25)*AV187+(1-EXP(-LN(2)/25))/(LN(2)/25)*Calculateur!AQ188*Calculateur!AS188*VLOOKUP('Données projet'!$B$10,Paramètres!$A$1:$I$89,3,0)*0.475*44/12</f>
        <v>#N/A</v>
      </c>
      <c r="AW188" s="23" t="e">
        <f>EXP(-LN(2)/2)*AW187+(1-EXP(-LN(2)/2))/(LN(2)/2)*AQ188*AT188*VLOOKUP('Données projet'!$B$10,Paramètres!$A$1:$I$89,3,0)*0.475*44/12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111.22799999999985</v>
      </c>
      <c r="D189" s="12">
        <f t="shared" si="140"/>
        <v>29.620123744783776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1087.2486745211368</v>
      </c>
      <c r="H189" s="70">
        <f t="shared" si="110"/>
        <v>538.6438155221648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5.6843418860808015E-14</v>
      </c>
      <c r="O189" s="14">
        <f>N189*VLOOKUP('Données projet'!$B$9,Paramètres!$A$1:$I$89,3,0)*VLOOKUP('Données projet'!$B$9,Paramètres!$A$1:$I$89,5,0)</f>
        <v>3.3992364478763198E-14</v>
      </c>
      <c r="P189" s="14">
        <f t="shared" si="141"/>
        <v>5.790027782444094E-13</v>
      </c>
      <c r="Q189" s="22">
        <f t="shared" si="162"/>
        <v>1.0676332069095257E-12</v>
      </c>
      <c r="R189" s="62">
        <f t="shared" si="109"/>
        <v>293.33333333333439</v>
      </c>
      <c r="S189" s="62">
        <f ca="1">AVERAGE(OFFSET($R$3,0,0,'Données projet'!$E$9+1,1))-AVERAGE(OFFSET($H$3,0,0,'Données projet'!$E$9+1,1))</f>
        <v>157.21429387424644</v>
      </c>
      <c r="T189" s="62">
        <f t="shared" si="142"/>
        <v>264.58225136820056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4.9801624341516408</v>
      </c>
      <c r="AA189" s="23">
        <f>EXP(-LN(2)/25)*AA188+(1-EXP(-LN(2)/25))/(LN(2)/25)*Calculateur!V189*Calculateur!X189*VLOOKUP('Données projet'!$B$9,Paramètres!$A$1:$I$89,3,0)*0.475*44/12</f>
        <v>4.423023832411483E-2</v>
      </c>
      <c r="AB189" s="23">
        <f>EXP(-LN(2)/2)*AB188+(1-EXP(-LN(2)/2))/(LN(2)/2)*V189*Y189*VLOOKUP('Données projet'!$B$9,Paramètres!$A$1:$I$89,3,0)*0.475*44/12</f>
        <v>3.6446194491575077E-21</v>
      </c>
      <c r="AC189" s="24">
        <f t="shared" si="163"/>
        <v>5.0243926724757557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projet'!$B$10,Paramètres!$A$1:$I$89,3,0)*VLOOKUP('Données projet'!$B$10,Paramètres!$A$1:$I$89,5,0)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projet'!$B$10,Paramètres!$A$1:$I$89,3,0)*0.475*44/12</f>
        <v>#N/A</v>
      </c>
      <c r="AV189" s="23" t="e">
        <f>EXP(-LN(2)/25)*AV188+(1-EXP(-LN(2)/25))/(LN(2)/25)*Calculateur!AQ189*Calculateur!AS189*VLOOKUP('Données projet'!$B$10,Paramètres!$A$1:$I$89,3,0)*0.475*44/12</f>
        <v>#N/A</v>
      </c>
      <c r="AW189" s="23" t="e">
        <f>EXP(-LN(2)/2)*AW188+(1-EXP(-LN(2)/2))/(LN(2)/2)*AQ189*AT189*VLOOKUP('Données projet'!$B$10,Paramètres!$A$1:$I$89,3,0)*0.475*44/12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111.82599999999985</v>
      </c>
      <c r="D190" s="12">
        <f t="shared" si="140"/>
        <v>29.760791316122987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1092.9506698086675</v>
      </c>
      <c r="H190" s="70">
        <f t="shared" si="110"/>
        <v>539.93032820891392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5.6843418860808015E-14</v>
      </c>
      <c r="O190" s="14">
        <f>N190*VLOOKUP('Données projet'!$B$9,Paramètres!$A$1:$I$89,3,0)*VLOOKUP('Données projet'!$B$9,Paramètres!$A$1:$I$89,5,0)</f>
        <v>3.3992364478763198E-14</v>
      </c>
      <c r="P190" s="14">
        <f t="shared" si="141"/>
        <v>5.790027782444094E-13</v>
      </c>
      <c r="Q190" s="22">
        <f t="shared" si="162"/>
        <v>1.0676332069095257E-12</v>
      </c>
      <c r="R190" s="62">
        <f t="shared" si="109"/>
        <v>293.33333333333439</v>
      </c>
      <c r="S190" s="62">
        <f ca="1">AVERAGE(OFFSET($R$3,0,0,'Données projet'!$E$9+1,1))-AVERAGE(OFFSET($H$3,0,0,'Données projet'!$E$9+1,1))</f>
        <v>157.21429387424644</v>
      </c>
      <c r="T190" s="62">
        <f t="shared" si="142"/>
        <v>264.58225136820056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4.8825044864170737</v>
      </c>
      <c r="AA190" s="23">
        <f>EXP(-LN(2)/25)*AA189+(1-EXP(-LN(2)/25))/(LN(2)/25)*Calculateur!V190*Calculateur!X190*VLOOKUP('Données projet'!$B$9,Paramètres!$A$1:$I$89,3,0)*0.475*44/12</f>
        <v>4.3020760131174764E-2</v>
      </c>
      <c r="AB190" s="23">
        <f>EXP(-LN(2)/2)*AB189+(1-EXP(-LN(2)/2))/(LN(2)/2)*V190*Y190*VLOOKUP('Données projet'!$B$9,Paramètres!$A$1:$I$89,3,0)*0.475*44/12</f>
        <v>2.5771351273436531E-21</v>
      </c>
      <c r="AC190" s="24">
        <f t="shared" si="163"/>
        <v>4.9255252465482489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projet'!$B$10,Paramètres!$A$1:$I$89,3,0)*VLOOKUP('Données projet'!$B$10,Paramètres!$A$1:$I$89,5,0)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projet'!$B$10,Paramètres!$A$1:$I$89,3,0)*0.475*44/12</f>
        <v>#N/A</v>
      </c>
      <c r="AV190" s="23" t="e">
        <f>EXP(-LN(2)/25)*AV189+(1-EXP(-LN(2)/25))/(LN(2)/25)*Calculateur!AQ190*Calculateur!AS190*VLOOKUP('Données projet'!$B$10,Paramètres!$A$1:$I$89,3,0)*0.475*44/12</f>
        <v>#N/A</v>
      </c>
      <c r="AW190" s="23" t="e">
        <f>EXP(-LN(2)/2)*AW189+(1-EXP(-LN(2)/2))/(LN(2)/2)*AQ190*AT190*VLOOKUP('Données projet'!$B$10,Paramètres!$A$1:$I$89,3,0)*0.475*44/12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112.42399999999985</v>
      </c>
      <c r="D191" s="12">
        <f t="shared" si="140"/>
        <v>29.901371354345098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1098.6519894019611</v>
      </c>
      <c r="H191" s="70">
        <f t="shared" si="110"/>
        <v>541.21668844215083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5.6843418860808015E-14</v>
      </c>
      <c r="O191" s="14">
        <f>N191*VLOOKUP('Données projet'!$B$9,Paramètres!$A$1:$I$89,3,0)*VLOOKUP('Données projet'!$B$9,Paramètres!$A$1:$I$89,5,0)</f>
        <v>3.3992364478763198E-14</v>
      </c>
      <c r="P191" s="14">
        <f t="shared" si="141"/>
        <v>5.790027782444094E-13</v>
      </c>
      <c r="Q191" s="22">
        <f t="shared" si="162"/>
        <v>1.0676332069095257E-12</v>
      </c>
      <c r="R191" s="62">
        <f t="shared" si="109"/>
        <v>293.33333333333439</v>
      </c>
      <c r="S191" s="62">
        <f ca="1">AVERAGE(OFFSET($R$3,0,0,'Données projet'!$E$9+1,1))-AVERAGE(OFFSET($H$3,0,0,'Données projet'!$E$9+1,1))</f>
        <v>157.21429387424644</v>
      </c>
      <c r="T191" s="62">
        <f t="shared" si="142"/>
        <v>264.58225136820056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4.7867615514721154</v>
      </c>
      <c r="AA191" s="23">
        <f>EXP(-LN(2)/25)*AA190+(1-EXP(-LN(2)/25))/(LN(2)/25)*Calculateur!V191*Calculateur!X191*VLOOKUP('Données projet'!$B$9,Paramètres!$A$1:$I$89,3,0)*0.475*44/12</f>
        <v>4.1844355183024338E-2</v>
      </c>
      <c r="AB191" s="23">
        <f>EXP(-LN(2)/2)*AB190+(1-EXP(-LN(2)/2))/(LN(2)/2)*V191*Y191*VLOOKUP('Données projet'!$B$9,Paramètres!$A$1:$I$89,3,0)*0.475*44/12</f>
        <v>1.8223097245787538E-21</v>
      </c>
      <c r="AC191" s="24">
        <f t="shared" si="163"/>
        <v>4.8286059066551399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projet'!$B$10,Paramètres!$A$1:$I$89,3,0)*VLOOKUP('Données projet'!$B$10,Paramètres!$A$1:$I$89,5,0)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projet'!$B$10,Paramètres!$A$1:$I$89,3,0)*0.475*44/12</f>
        <v>#N/A</v>
      </c>
      <c r="AV191" s="23" t="e">
        <f>EXP(-LN(2)/25)*AV190+(1-EXP(-LN(2)/25))/(LN(2)/25)*Calculateur!AQ191*Calculateur!AS191*VLOOKUP('Données projet'!$B$10,Paramètres!$A$1:$I$89,3,0)*0.475*44/12</f>
        <v>#N/A</v>
      </c>
      <c r="AW191" s="23" t="e">
        <f>EXP(-LN(2)/2)*AW190+(1-EXP(-LN(2)/2))/(LN(2)/2)*AQ191*AT191*VLOOKUP('Données projet'!$B$10,Paramètres!$A$1:$I$89,3,0)*0.475*44/12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113.02199999999985</v>
      </c>
      <c r="D192" s="12">
        <f t="shared" si="140"/>
        <v>30.041864379091798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1104.3526373122866</v>
      </c>
      <c r="H192" s="70">
        <f t="shared" si="110"/>
        <v>542.50289712691801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5.6843418860808015E-14</v>
      </c>
      <c r="O192" s="14">
        <f>N192*VLOOKUP('Données projet'!$B$9,Paramètres!$A$1:$I$89,3,0)*VLOOKUP('Données projet'!$B$9,Paramètres!$A$1:$I$89,5,0)</f>
        <v>3.3992364478763198E-14</v>
      </c>
      <c r="P192" s="14">
        <f t="shared" si="141"/>
        <v>5.790027782444094E-13</v>
      </c>
      <c r="Q192" s="22">
        <f t="shared" si="162"/>
        <v>1.0676332069095257E-12</v>
      </c>
      <c r="R192" s="62">
        <f t="shared" si="109"/>
        <v>293.33333333333439</v>
      </c>
      <c r="S192" s="62">
        <f ca="1">AVERAGE(OFFSET($R$3,0,0,'Données projet'!$E$9+1,1))-AVERAGE(OFFSET($H$3,0,0,'Données projet'!$E$9+1,1))</f>
        <v>157.21429387424644</v>
      </c>
      <c r="T192" s="62">
        <f t="shared" si="142"/>
        <v>264.58225136820056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4.6928960770840034</v>
      </c>
      <c r="AA192" s="23">
        <f>EXP(-LN(2)/25)*AA191+(1-EXP(-LN(2)/25))/(LN(2)/25)*Calculateur!V192*Calculateur!X192*VLOOKUP('Données projet'!$B$9,Paramètres!$A$1:$I$89,3,0)*0.475*44/12</f>
        <v>4.0700119090045533E-2</v>
      </c>
      <c r="AB192" s="23">
        <f>EXP(-LN(2)/2)*AB191+(1-EXP(-LN(2)/2))/(LN(2)/2)*V192*Y192*VLOOKUP('Données projet'!$B$9,Paramètres!$A$1:$I$89,3,0)*0.475*44/12</f>
        <v>1.2885675636718266E-21</v>
      </c>
      <c r="AC192" s="24">
        <f t="shared" si="163"/>
        <v>4.7335961961740489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projet'!$B$10,Paramètres!$A$1:$I$89,3,0)*VLOOKUP('Données projet'!$B$10,Paramètres!$A$1:$I$89,5,0)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projet'!$B$10,Paramètres!$A$1:$I$89,3,0)*0.475*44/12</f>
        <v>#N/A</v>
      </c>
      <c r="AV192" s="23" t="e">
        <f>EXP(-LN(2)/25)*AV191+(1-EXP(-LN(2)/25))/(LN(2)/25)*Calculateur!AQ192*Calculateur!AS192*VLOOKUP('Données projet'!$B$10,Paramètres!$A$1:$I$89,3,0)*0.475*44/12</f>
        <v>#N/A</v>
      </c>
      <c r="AW192" s="23" t="e">
        <f>EXP(-LN(2)/2)*AW191+(1-EXP(-LN(2)/2))/(LN(2)/2)*AQ192*AT192*VLOOKUP('Données projet'!$B$10,Paramètres!$A$1:$I$89,3,0)*0.475*44/12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113.61999999999985</v>
      </c>
      <c r="D193" s="12">
        <f t="shared" si="140"/>
        <v>30.182270904187739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1110.0526175060095</v>
      </c>
      <c r="H193" s="70">
        <f t="shared" si="110"/>
        <v>543.78895515812667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5.6843418860808015E-14</v>
      </c>
      <c r="O193" s="14">
        <f>N193*VLOOKUP('Données projet'!$B$9,Paramètres!$A$1:$I$89,3,0)*VLOOKUP('Données projet'!$B$9,Paramètres!$A$1:$I$89,5,0)</f>
        <v>3.3992364478763198E-14</v>
      </c>
      <c r="P193" s="14">
        <f t="shared" si="141"/>
        <v>5.790027782444094E-13</v>
      </c>
      <c r="Q193" s="22">
        <f t="shared" si="162"/>
        <v>1.0676332069095257E-12</v>
      </c>
      <c r="R193" s="62">
        <f t="shared" si="109"/>
        <v>293.33333333333439</v>
      </c>
      <c r="S193" s="62">
        <f ca="1">AVERAGE(OFFSET($R$3,0,0,'Données projet'!$E$9+1,1))-AVERAGE(OFFSET($H$3,0,0,'Données projet'!$E$9+1,1))</f>
        <v>157.21429387424644</v>
      </c>
      <c r="T193" s="62">
        <f t="shared" si="142"/>
        <v>264.58225136820056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4.6008712473963564</v>
      </c>
      <c r="AA193" s="23">
        <f>EXP(-LN(2)/25)*AA192+(1-EXP(-LN(2)/25))/(LN(2)/25)*Calculateur!V193*Calculateur!X193*VLOOKUP('Données projet'!$B$9,Paramètres!$A$1:$I$89,3,0)*0.475*44/12</f>
        <v>3.9587172193202E-2</v>
      </c>
      <c r="AB193" s="23">
        <f>EXP(-LN(2)/2)*AB192+(1-EXP(-LN(2)/2))/(LN(2)/2)*V193*Y193*VLOOKUP('Données projet'!$B$9,Paramètres!$A$1:$I$89,3,0)*0.475*44/12</f>
        <v>9.1115486228937691E-22</v>
      </c>
      <c r="AC193" s="24">
        <f t="shared" si="163"/>
        <v>4.6404584195895584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projet'!$B$10,Paramètres!$A$1:$I$89,3,0)*VLOOKUP('Données projet'!$B$10,Paramètres!$A$1:$I$89,5,0)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projet'!$B$10,Paramètres!$A$1:$I$89,3,0)*0.475*44/12</f>
        <v>#N/A</v>
      </c>
      <c r="AV193" s="23" t="e">
        <f>EXP(-LN(2)/25)*AV192+(1-EXP(-LN(2)/25))/(LN(2)/25)*Calculateur!AQ193*Calculateur!AS193*VLOOKUP('Données projet'!$B$10,Paramètres!$A$1:$I$89,3,0)*0.475*44/12</f>
        <v>#N/A</v>
      </c>
      <c r="AW193" s="23" t="e">
        <f>EXP(-LN(2)/2)*AW192+(1-EXP(-LN(2)/2))/(LN(2)/2)*AQ193*AT193*VLOOKUP('Données projet'!$B$10,Paramètres!$A$1:$I$89,3,0)*0.475*44/12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114.21799999999985</v>
      </c>
      <c r="D194" s="12">
        <f t="shared" si="140"/>
        <v>30.322591437735614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1115.7519339053265</v>
      </c>
      <c r="H194" s="70">
        <f t="shared" si="110"/>
        <v>545.07486342072252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5.6843418860808015E-14</v>
      </c>
      <c r="O194" s="14">
        <f>N194*VLOOKUP('Données projet'!$B$9,Paramètres!$A$1:$I$89,3,0)*VLOOKUP('Données projet'!$B$9,Paramètres!$A$1:$I$89,5,0)</f>
        <v>3.3992364478763198E-14</v>
      </c>
      <c r="P194" s="14">
        <f t="shared" si="141"/>
        <v>5.790027782444094E-13</v>
      </c>
      <c r="Q194" s="22">
        <f t="shared" si="162"/>
        <v>1.0676332069095257E-12</v>
      </c>
      <c r="R194" s="62">
        <f t="shared" si="109"/>
        <v>293.33333333333439</v>
      </c>
      <c r="S194" s="62">
        <f ca="1">AVERAGE(OFFSET($R$3,0,0,'Données projet'!$E$9+1,1))-AVERAGE(OFFSET($H$3,0,0,'Données projet'!$E$9+1,1))</f>
        <v>157.21429387424644</v>
      </c>
      <c r="T194" s="62">
        <f t="shared" si="142"/>
        <v>264.58225136820056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4.5106509684892799</v>
      </c>
      <c r="AA194" s="23">
        <f>EXP(-LN(2)/25)*AA193+(1-EXP(-LN(2)/25))/(LN(2)/25)*Calculateur!V194*Calculateur!X194*VLOOKUP('Données projet'!$B$9,Paramètres!$A$1:$I$89,3,0)*0.475*44/12</f>
        <v>3.8504658887779986E-2</v>
      </c>
      <c r="AB194" s="23">
        <f>EXP(-LN(2)/2)*AB193+(1-EXP(-LN(2)/2))/(LN(2)/2)*V194*Y194*VLOOKUP('Données projet'!$B$9,Paramètres!$A$1:$I$89,3,0)*0.475*44/12</f>
        <v>6.4428378183591328E-22</v>
      </c>
      <c r="AC194" s="24">
        <f t="shared" si="163"/>
        <v>4.5491556273770595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projet'!$B$10,Paramètres!$A$1:$I$89,3,0)*VLOOKUP('Données projet'!$B$10,Paramètres!$A$1:$I$89,5,0)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projet'!$B$10,Paramètres!$A$1:$I$89,3,0)*0.475*44/12</f>
        <v>#N/A</v>
      </c>
      <c r="AV194" s="23" t="e">
        <f>EXP(-LN(2)/25)*AV193+(1-EXP(-LN(2)/25))/(LN(2)/25)*Calculateur!AQ194*Calculateur!AS194*VLOOKUP('Données projet'!$B$10,Paramètres!$A$1:$I$89,3,0)*0.475*44/12</f>
        <v>#N/A</v>
      </c>
      <c r="AW194" s="23" t="e">
        <f>EXP(-LN(2)/2)*AW193+(1-EXP(-LN(2)/2))/(LN(2)/2)*AQ194*AT194*VLOOKUP('Données projet'!$B$10,Paramètres!$A$1:$I$89,3,0)*0.475*44/12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114.81599999999985</v>
      </c>
      <c r="D195" s="12">
        <f t="shared" si="140"/>
        <v>30.462826482209802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1121.4505903889867</v>
      </c>
      <c r="H195" s="70">
        <f t="shared" si="110"/>
        <v>546.36062278984843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5.6843418860808015E-14</v>
      </c>
      <c r="O195" s="14">
        <f>N195*VLOOKUP('Données projet'!$B$9,Paramètres!$A$1:$I$89,3,0)*VLOOKUP('Données projet'!$B$9,Paramètres!$A$1:$I$89,5,0)</f>
        <v>3.3992364478763198E-14</v>
      </c>
      <c r="P195" s="14">
        <f t="shared" si="141"/>
        <v>5.790027782444094E-13</v>
      </c>
      <c r="Q195" s="22">
        <f t="shared" si="162"/>
        <v>1.0676332069095257E-12</v>
      </c>
      <c r="R195" s="62">
        <f t="shared" ref="R195:R203" si="191">Q195+(I195+J195)*44/12</f>
        <v>293.33333333333439</v>
      </c>
      <c r="S195" s="62">
        <f ca="1">AVERAGE(OFFSET($R$3,0,0,'Données projet'!$E$9+1,1))-AVERAGE(OFFSET($H$3,0,0,'Données projet'!$E$9+1,1))</f>
        <v>157.21429387424644</v>
      </c>
      <c r="T195" s="62">
        <f t="shared" si="142"/>
        <v>264.58225136820056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4.4221998542226348</v>
      </c>
      <c r="AA195" s="23">
        <f>EXP(-LN(2)/25)*AA194+(1-EXP(-LN(2)/25))/(LN(2)/25)*Calculateur!V195*Calculateur!X195*VLOOKUP('Données projet'!$B$9,Paramètres!$A$1:$I$89,3,0)*0.475*44/12</f>
        <v>3.7451746965621632E-2</v>
      </c>
      <c r="AB195" s="23">
        <f>EXP(-LN(2)/2)*AB194+(1-EXP(-LN(2)/2))/(LN(2)/2)*V195*Y195*VLOOKUP('Données projet'!$B$9,Paramètres!$A$1:$I$89,3,0)*0.475*44/12</f>
        <v>4.5557743114468846E-22</v>
      </c>
      <c r="AC195" s="24">
        <f t="shared" si="163"/>
        <v>4.4596516011882565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projet'!$B$10,Paramètres!$A$1:$I$89,3,0)*VLOOKUP('Données projet'!$B$10,Paramètres!$A$1:$I$89,5,0)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projet'!$B$10,Paramètres!$A$1:$I$89,3,0)*0.475*44/12</f>
        <v>#N/A</v>
      </c>
      <c r="AV195" s="23" t="e">
        <f>EXP(-LN(2)/25)*AV194+(1-EXP(-LN(2)/25))/(LN(2)/25)*Calculateur!AQ195*Calculateur!AS195*VLOOKUP('Données projet'!$B$10,Paramètres!$A$1:$I$89,3,0)*0.475*44/12</f>
        <v>#N/A</v>
      </c>
      <c r="AW195" s="23" t="e">
        <f>EXP(-LN(2)/2)*AW194+(1-EXP(-LN(2)/2))/(LN(2)/2)*AQ195*AT195*VLOOKUP('Données projet'!$B$10,Paramètres!$A$1:$I$89,3,0)*0.475*44/12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115.41399999999985</v>
      </c>
      <c r="D196" s="12">
        <f t="shared" si="140"/>
        <v>30.602976534547494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1127.1485907929971</v>
      </c>
      <c r="H196" s="70">
        <f t="shared" ref="H196:H203" si="192">(B196+E196+F196)*44/12+(C196+D196)*0.475*44/12</f>
        <v>547.64623413100321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5.6843418860808015E-14</v>
      </c>
      <c r="O196" s="14">
        <f>N196*VLOOKUP('Données projet'!$B$9,Paramètres!$A$1:$I$89,3,0)*VLOOKUP('Données projet'!$B$9,Paramètres!$A$1:$I$89,5,0)</f>
        <v>3.3992364478763198E-14</v>
      </c>
      <c r="P196" s="14">
        <f t="shared" si="141"/>
        <v>5.790027782444094E-13</v>
      </c>
      <c r="Q196" s="22">
        <f t="shared" si="162"/>
        <v>1.0676332069095257E-12</v>
      </c>
      <c r="R196" s="62">
        <f t="shared" si="191"/>
        <v>293.33333333333439</v>
      </c>
      <c r="S196" s="62">
        <f ca="1">AVERAGE(OFFSET($R$3,0,0,'Données projet'!$E$9+1,1))-AVERAGE(OFFSET($H$3,0,0,'Données projet'!$E$9+1,1))</f>
        <v>157.21429387424644</v>
      </c>
      <c r="T196" s="62">
        <f t="shared" si="142"/>
        <v>264.58225136820056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4.3354832123569063</v>
      </c>
      <c r="AA196" s="23">
        <f>EXP(-LN(2)/25)*AA195+(1-EXP(-LN(2)/25))/(LN(2)/25)*Calculateur!V196*Calculateur!X196*VLOOKUP('Données projet'!$B$9,Paramètres!$A$1:$I$89,3,0)*0.475*44/12</f>
        <v>3.6427626975344934E-2</v>
      </c>
      <c r="AB196" s="23">
        <f>EXP(-LN(2)/2)*AB195+(1-EXP(-LN(2)/2))/(LN(2)/2)*V196*Y196*VLOOKUP('Données projet'!$B$9,Paramètres!$A$1:$I$89,3,0)*0.475*44/12</f>
        <v>3.2214189091795664E-22</v>
      </c>
      <c r="AC196" s="24">
        <f t="shared" si="163"/>
        <v>4.3719108393322514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projet'!$B$10,Paramètres!$A$1:$I$89,3,0)*VLOOKUP('Données projet'!$B$10,Paramètres!$A$1:$I$89,5,0)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projet'!$B$10,Paramètres!$A$1:$I$89,3,0)*0.475*44/12</f>
        <v>#N/A</v>
      </c>
      <c r="AV196" s="23" t="e">
        <f>EXP(-LN(2)/25)*AV195+(1-EXP(-LN(2)/25))/(LN(2)/25)*Calculateur!AQ196*Calculateur!AS196*VLOOKUP('Données projet'!$B$10,Paramètres!$A$1:$I$89,3,0)*0.475*44/12</f>
        <v>#N/A</v>
      </c>
      <c r="AW196" s="23" t="e">
        <f>EXP(-LN(2)/2)*AW195+(1-EXP(-LN(2)/2))/(LN(2)/2)*AQ196*AT196*VLOOKUP('Données projet'!$B$10,Paramètres!$A$1:$I$89,3,0)*0.475*44/12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116.01199999999984</v>
      </c>
      <c r="D197" s="12">
        <f t="shared" ref="D197:D203" si="202">IFERROR(EXP(-1.0587+0.8836*LN(C197)+0.284),0)</f>
        <v>30.743042086238148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1132.8459389113111</v>
      </c>
      <c r="H197" s="70">
        <f t="shared" si="192"/>
        <v>548.93169830019781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5.6843418860808015E-14</v>
      </c>
      <c r="O197" s="14">
        <f>N197*VLOOKUP('Données projet'!$B$9,Paramètres!$A$1:$I$89,3,0)*VLOOKUP('Données projet'!$B$9,Paramètres!$A$1:$I$89,5,0)</f>
        <v>3.3992364478763198E-14</v>
      </c>
      <c r="P197" s="14">
        <f t="shared" ref="P197:P203" si="203">EXP(-1.0587+0.8836*LN(O197)+0.284)</f>
        <v>5.790027782444094E-13</v>
      </c>
      <c r="Q197" s="22">
        <f t="shared" si="162"/>
        <v>1.0676332069095257E-12</v>
      </c>
      <c r="R197" s="62">
        <f t="shared" si="191"/>
        <v>293.33333333333439</v>
      </c>
      <c r="S197" s="62">
        <f ca="1">AVERAGE(OFFSET($R$3,0,0,'Données projet'!$E$9+1,1))-AVERAGE(OFFSET($H$3,0,0,'Données projet'!$E$9+1,1))</f>
        <v>157.21429387424644</v>
      </c>
      <c r="T197" s="62">
        <f t="shared" ref="T197:T203" si="204">$T$3</f>
        <v>264.58225136820056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4.2504670309462353</v>
      </c>
      <c r="AA197" s="23">
        <f>EXP(-LN(2)/25)*AA196+(1-EXP(-LN(2)/25))/(LN(2)/25)*Calculateur!V197*Calculateur!X197*VLOOKUP('Données projet'!$B$9,Paramètres!$A$1:$I$89,3,0)*0.475*44/12</f>
        <v>3.5431511600058481E-2</v>
      </c>
      <c r="AB197" s="23">
        <f>EXP(-LN(2)/2)*AB196+(1-EXP(-LN(2)/2))/(LN(2)/2)*V197*Y197*VLOOKUP('Données projet'!$B$9,Paramètres!$A$1:$I$89,3,0)*0.475*44/12</f>
        <v>2.2778871557234423E-22</v>
      </c>
      <c r="AC197" s="24">
        <f t="shared" si="163"/>
        <v>4.2858985425462937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projet'!$B$10,Paramètres!$A$1:$I$89,3,0)*VLOOKUP('Données projet'!$B$10,Paramètres!$A$1:$I$89,5,0)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projet'!$B$10,Paramètres!$A$1:$I$89,3,0)*0.475*44/12</f>
        <v>#N/A</v>
      </c>
      <c r="AV197" s="23" t="e">
        <f>EXP(-LN(2)/25)*AV196+(1-EXP(-LN(2)/25))/(LN(2)/25)*Calculateur!AQ197*Calculateur!AS197*VLOOKUP('Données projet'!$B$10,Paramètres!$A$1:$I$89,3,0)*0.475*44/12</f>
        <v>#N/A</v>
      </c>
      <c r="AW197" s="23" t="e">
        <f>EXP(-LN(2)/2)*AW196+(1-EXP(-LN(2)/2))/(LN(2)/2)*AQ197*AT197*VLOOKUP('Données projet'!$B$10,Paramètres!$A$1:$I$89,3,0)*0.475*44/12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116.60999999999984</v>
      </c>
      <c r="D198" s="12">
        <f t="shared" si="202"/>
        <v>30.883023623410974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1138.5426384965047</v>
      </c>
      <c r="H198" s="70">
        <f t="shared" si="192"/>
        <v>550.21701614410711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5.6843418860808015E-14</v>
      </c>
      <c r="O198" s="14">
        <f>N198*VLOOKUP('Données projet'!$B$9,Paramètres!$A$1:$I$89,3,0)*VLOOKUP('Données projet'!$B$9,Paramètres!$A$1:$I$89,5,0)</f>
        <v>3.3992364478763198E-14</v>
      </c>
      <c r="P198" s="14">
        <f t="shared" si="203"/>
        <v>5.790027782444094E-13</v>
      </c>
      <c r="Q198" s="22">
        <f t="shared" si="162"/>
        <v>1.0676332069095257E-12</v>
      </c>
      <c r="R198" s="62">
        <f t="shared" si="191"/>
        <v>293.33333333333439</v>
      </c>
      <c r="S198" s="62">
        <f ca="1">AVERAGE(OFFSET($R$3,0,0,'Données projet'!$E$9+1,1))-AVERAGE(OFFSET($H$3,0,0,'Données projet'!$E$9+1,1))</f>
        <v>157.21429387424644</v>
      </c>
      <c r="T198" s="62">
        <f t="shared" si="204"/>
        <v>264.58225136820056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4.1671179649982779</v>
      </c>
      <c r="AA198" s="23">
        <f>EXP(-LN(2)/25)*AA197+(1-EXP(-LN(2)/25))/(LN(2)/25)*Calculateur!V198*Calculateur!X198*VLOOKUP('Données projet'!$B$9,Paramètres!$A$1:$I$89,3,0)*0.475*44/12</f>
        <v>3.4462635052092669E-2</v>
      </c>
      <c r="AB198" s="23">
        <f>EXP(-LN(2)/2)*AB197+(1-EXP(-LN(2)/2))/(LN(2)/2)*V198*Y198*VLOOKUP('Données projet'!$B$9,Paramètres!$A$1:$I$89,3,0)*0.475*44/12</f>
        <v>1.6107094545897832E-22</v>
      </c>
      <c r="AC198" s="24">
        <f t="shared" si="163"/>
        <v>4.2015806000503702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projet'!$B$10,Paramètres!$A$1:$I$89,3,0)*VLOOKUP('Données projet'!$B$10,Paramètres!$A$1:$I$89,5,0)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projet'!$B$10,Paramètres!$A$1:$I$89,3,0)*0.475*44/12</f>
        <v>#N/A</v>
      </c>
      <c r="AV198" s="23" t="e">
        <f>EXP(-LN(2)/25)*AV197+(1-EXP(-LN(2)/25))/(LN(2)/25)*Calculateur!AQ198*Calculateur!AS198*VLOOKUP('Données projet'!$B$10,Paramètres!$A$1:$I$89,3,0)*0.475*44/12</f>
        <v>#N/A</v>
      </c>
      <c r="AW198" s="23" t="e">
        <f>EXP(-LN(2)/2)*AW197+(1-EXP(-LN(2)/2))/(LN(2)/2)*AQ198*AT198*VLOOKUP('Données projet'!$B$10,Paramètres!$A$1:$I$89,3,0)*0.475*44/12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117.20799999999984</v>
      </c>
      <c r="D199" s="12">
        <f t="shared" si="202"/>
        <v>31.022921626920507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1144.2386932604379</v>
      </c>
      <c r="H199" s="70">
        <f t="shared" si="192"/>
        <v>551.50218850021952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5.6843418860808015E-14</v>
      </c>
      <c r="O199" s="14">
        <f>N199*VLOOKUP('Données projet'!$B$9,Paramètres!$A$1:$I$89,3,0)*VLOOKUP('Données projet'!$B$9,Paramètres!$A$1:$I$89,5,0)</f>
        <v>3.3992364478763198E-14</v>
      </c>
      <c r="P199" s="14">
        <f t="shared" si="203"/>
        <v>5.790027782444094E-13</v>
      </c>
      <c r="Q199" s="22">
        <f t="shared" si="162"/>
        <v>1.0676332069095257E-12</v>
      </c>
      <c r="R199" s="62">
        <f t="shared" si="191"/>
        <v>293.33333333333439</v>
      </c>
      <c r="S199" s="62">
        <f ca="1">AVERAGE(OFFSET($R$3,0,0,'Données projet'!$E$9+1,1))-AVERAGE(OFFSET($H$3,0,0,'Données projet'!$E$9+1,1))</f>
        <v>157.21429387424644</v>
      </c>
      <c r="T199" s="62">
        <f t="shared" si="204"/>
        <v>264.58225136820056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4.0854033233956493</v>
      </c>
      <c r="AA199" s="23">
        <f>EXP(-LN(2)/25)*AA198+(1-EXP(-LN(2)/25))/(LN(2)/25)*Calculateur!V199*Calculateur!X199*VLOOKUP('Données projet'!$B$9,Paramètres!$A$1:$I$89,3,0)*0.475*44/12</f>
        <v>3.3520252484281983E-2</v>
      </c>
      <c r="AB199" s="23">
        <f>EXP(-LN(2)/2)*AB198+(1-EXP(-LN(2)/2))/(LN(2)/2)*V199*Y199*VLOOKUP('Données projet'!$B$9,Paramètres!$A$1:$I$89,3,0)*0.475*44/12</f>
        <v>1.1389435778617211E-22</v>
      </c>
      <c r="AC199" s="24">
        <f t="shared" si="163"/>
        <v>4.118923575879931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projet'!$B$10,Paramètres!$A$1:$I$89,3,0)*VLOOKUP('Données projet'!$B$10,Paramètres!$A$1:$I$89,5,0)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projet'!$B$10,Paramètres!$A$1:$I$89,3,0)*0.475*44/12</f>
        <v>#N/A</v>
      </c>
      <c r="AV199" s="23" t="e">
        <f>EXP(-LN(2)/25)*AV198+(1-EXP(-LN(2)/25))/(LN(2)/25)*Calculateur!AQ199*Calculateur!AS199*VLOOKUP('Données projet'!$B$10,Paramètres!$A$1:$I$89,3,0)*0.475*44/12</f>
        <v>#N/A</v>
      </c>
      <c r="AW199" s="23" t="e">
        <f>EXP(-LN(2)/2)*AW198+(1-EXP(-LN(2)/2))/(LN(2)/2)*AQ199*AT199*VLOOKUP('Données projet'!$B$10,Paramètres!$A$1:$I$89,3,0)*0.475*44/12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117.80599999999984</v>
      </c>
      <c r="D200" s="12">
        <f t="shared" si="202"/>
        <v>31.162736572430603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1149.9341068749018</v>
      </c>
      <c r="H200" s="70">
        <f t="shared" si="192"/>
        <v>552.78721619698297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5.6843418860808015E-14</v>
      </c>
      <c r="O200" s="14">
        <f>N200*VLOOKUP('Données projet'!$B$9,Paramètres!$A$1:$I$89,3,0)*VLOOKUP('Données projet'!$B$9,Paramètres!$A$1:$I$89,5,0)</f>
        <v>3.3992364478763198E-14</v>
      </c>
      <c r="P200" s="14">
        <f t="shared" si="203"/>
        <v>5.790027782444094E-13</v>
      </c>
      <c r="Q200" s="22">
        <f t="shared" si="162"/>
        <v>1.0676332069095257E-12</v>
      </c>
      <c r="R200" s="62">
        <f t="shared" si="191"/>
        <v>293.33333333333439</v>
      </c>
      <c r="S200" s="62">
        <f ca="1">AVERAGE(OFFSET($R$3,0,0,'Données projet'!$E$9+1,1))-AVERAGE(OFFSET($H$3,0,0,'Données projet'!$E$9+1,1))</f>
        <v>157.21429387424644</v>
      </c>
      <c r="T200" s="62">
        <f t="shared" si="204"/>
        <v>264.58225136820056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4.0052910560738377</v>
      </c>
      <c r="AA200" s="23">
        <f>EXP(-LN(2)/25)*AA199+(1-EXP(-LN(2)/25))/(LN(2)/25)*Calculateur!V200*Calculateur!X200*VLOOKUP('Données projet'!$B$9,Paramètres!$A$1:$I$89,3,0)*0.475*44/12</f>
        <v>3.2603639417345828E-2</v>
      </c>
      <c r="AB200" s="23">
        <f>EXP(-LN(2)/2)*AB199+(1-EXP(-LN(2)/2))/(LN(2)/2)*V200*Y200*VLOOKUP('Données projet'!$B$9,Paramètres!$A$1:$I$89,3,0)*0.475*44/12</f>
        <v>8.053547272948916E-23</v>
      </c>
      <c r="AC200" s="24">
        <f t="shared" si="163"/>
        <v>4.0378946954911834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projet'!$B$10,Paramètres!$A$1:$I$89,3,0)*VLOOKUP('Données projet'!$B$10,Paramètres!$A$1:$I$89,5,0)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projet'!$B$10,Paramètres!$A$1:$I$89,3,0)*0.475*44/12</f>
        <v>#N/A</v>
      </c>
      <c r="AV200" s="23" t="e">
        <f>EXP(-LN(2)/25)*AV199+(1-EXP(-LN(2)/25))/(LN(2)/25)*Calculateur!AQ200*Calculateur!AS200*VLOOKUP('Données projet'!$B$10,Paramètres!$A$1:$I$89,3,0)*0.475*44/12</f>
        <v>#N/A</v>
      </c>
      <c r="AW200" s="23" t="e">
        <f>EXP(-LN(2)/2)*AW199+(1-EXP(-LN(2)/2))/(LN(2)/2)*AQ200*AT200*VLOOKUP('Données projet'!$B$10,Paramètres!$A$1:$I$89,3,0)*0.475*44/12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118.40399999999984</v>
      </c>
      <c r="D201" s="12">
        <f t="shared" si="202"/>
        <v>31.302468930496392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1155.6288829722516</v>
      </c>
      <c r="H201" s="70">
        <f t="shared" si="192"/>
        <v>554.07210005394757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5.6843418860808015E-14</v>
      </c>
      <c r="O201" s="14">
        <f>N201*VLOOKUP('Données projet'!$B$9,Paramètres!$A$1:$I$89,3,0)*VLOOKUP('Données projet'!$B$9,Paramètres!$A$1:$I$89,5,0)</f>
        <v>3.3992364478763198E-14</v>
      </c>
      <c r="P201" s="14">
        <f t="shared" si="203"/>
        <v>5.790027782444094E-13</v>
      </c>
      <c r="Q201" s="22">
        <f t="shared" si="162"/>
        <v>1.0676332069095257E-12</v>
      </c>
      <c r="R201" s="62">
        <f t="shared" si="191"/>
        <v>293.33333333333439</v>
      </c>
      <c r="S201" s="62">
        <f ca="1">AVERAGE(OFFSET($R$3,0,0,'Données projet'!$E$9+1,1))-AVERAGE(OFFSET($H$3,0,0,'Données projet'!$E$9+1,1))</f>
        <v>157.21429387424644</v>
      </c>
      <c r="T201" s="62">
        <f t="shared" si="204"/>
        <v>264.58225136820056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3.926749741450549</v>
      </c>
      <c r="AA201" s="23">
        <f>EXP(-LN(2)/25)*AA200+(1-EXP(-LN(2)/25))/(LN(2)/25)*Calculateur!V201*Calculateur!X201*VLOOKUP('Données projet'!$B$9,Paramètres!$A$1:$I$89,3,0)*0.475*44/12</f>
        <v>3.1712091182927629E-2</v>
      </c>
      <c r="AB201" s="23">
        <f>EXP(-LN(2)/2)*AB200+(1-EXP(-LN(2)/2))/(LN(2)/2)*V201*Y201*VLOOKUP('Données projet'!$B$9,Paramètres!$A$1:$I$89,3,0)*0.475*44/12</f>
        <v>5.6947178893086057E-23</v>
      </c>
      <c r="AC201" s="24">
        <f t="shared" si="163"/>
        <v>3.9584618326334766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projet'!$B$10,Paramètres!$A$1:$I$89,3,0)*VLOOKUP('Données projet'!$B$10,Paramètres!$A$1:$I$89,5,0)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projet'!$B$10,Paramètres!$A$1:$I$89,3,0)*0.475*44/12</f>
        <v>#N/A</v>
      </c>
      <c r="AV201" s="23" t="e">
        <f>EXP(-LN(2)/25)*AV200+(1-EXP(-LN(2)/25))/(LN(2)/25)*Calculateur!AQ201*Calculateur!AS201*VLOOKUP('Données projet'!$B$10,Paramètres!$A$1:$I$89,3,0)*0.475*44/12</f>
        <v>#N/A</v>
      </c>
      <c r="AW201" s="23" t="e">
        <f>EXP(-LN(2)/2)*AW200+(1-EXP(-LN(2)/2))/(LN(2)/2)*AQ201*AT201*VLOOKUP('Données projet'!$B$10,Paramètres!$A$1:$I$89,3,0)*0.475*44/12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119.00199999999984</v>
      </c>
      <c r="D202" s="12">
        <f t="shared" si="202"/>
        <v>31.442119166644662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1161.3230251460277</v>
      </c>
      <c r="H202" s="70">
        <f t="shared" si="192"/>
        <v>555.35684088190578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5.6843418860808015E-14</v>
      </c>
      <c r="O202" s="14">
        <f>N202*VLOOKUP('Données projet'!$B$9,Paramètres!$A$1:$I$89,3,0)*VLOOKUP('Données projet'!$B$9,Paramètres!$A$1:$I$89,5,0)</f>
        <v>3.3992364478763198E-14</v>
      </c>
      <c r="P202" s="14">
        <f t="shared" si="203"/>
        <v>5.790027782444094E-13</v>
      </c>
      <c r="Q202" s="22">
        <f t="shared" si="162"/>
        <v>1.0676332069095257E-12</v>
      </c>
      <c r="R202" s="62">
        <f t="shared" si="191"/>
        <v>293.33333333333439</v>
      </c>
      <c r="S202" s="62">
        <f ca="1">AVERAGE(OFFSET($R$3,0,0,'Données projet'!$E$9+1,1))-AVERAGE(OFFSET($H$3,0,0,'Données projet'!$E$9+1,1))</f>
        <v>157.21429387424644</v>
      </c>
      <c r="T202" s="62">
        <f t="shared" si="204"/>
        <v>264.58225136820056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3.8497485741015516</v>
      </c>
      <c r="AA202" s="23">
        <f>EXP(-LN(2)/25)*AA201+(1-EXP(-LN(2)/25))/(LN(2)/25)*Calculateur!V202*Calculateur!X202*VLOOKUP('Données projet'!$B$9,Paramètres!$A$1:$I$89,3,0)*0.475*44/12</f>
        <v>3.0844922381864075E-2</v>
      </c>
      <c r="AB202" s="23">
        <f>EXP(-LN(2)/2)*AB201+(1-EXP(-LN(2)/2))/(LN(2)/2)*V202*Y202*VLOOKUP('Données projet'!$B$9,Paramètres!$A$1:$I$89,3,0)*0.475*44/12</f>
        <v>4.026773636474458E-23</v>
      </c>
      <c r="AC202" s="24">
        <f t="shared" si="163"/>
        <v>3.8805934964834154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projet'!$B$10,Paramètres!$A$1:$I$89,3,0)*VLOOKUP('Données projet'!$B$10,Paramètres!$A$1:$I$89,5,0)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projet'!$B$10,Paramètres!$A$1:$I$89,3,0)*0.475*44/12</f>
        <v>#N/A</v>
      </c>
      <c r="AV202" s="23" t="e">
        <f>EXP(-LN(2)/25)*AV201+(1-EXP(-LN(2)/25))/(LN(2)/25)*Calculateur!AQ202*Calculateur!AS202*VLOOKUP('Données projet'!$B$10,Paramètres!$A$1:$I$89,3,0)*0.475*44/12</f>
        <v>#N/A</v>
      </c>
      <c r="AW202" s="23" t="e">
        <f>EXP(-LN(2)/2)*AW201+(1-EXP(-LN(2)/2))/(LN(2)/2)*AQ202*AT202*VLOOKUP('Données projet'!$B$10,Paramètres!$A$1:$I$89,3,0)*0.475*44/12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119.59999999999984</v>
      </c>
      <c r="D203" s="12">
        <f t="shared" si="202"/>
        <v>31.581687741452679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1167.0165369515635</v>
      </c>
      <c r="H203" s="70">
        <f t="shared" si="192"/>
        <v>556.64143948302979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5.6843418860808015E-14</v>
      </c>
      <c r="O203" s="14">
        <f>N203*VLOOKUP('Données projet'!$B$9,Paramètres!$A$1:$I$89,3,0)*VLOOKUP('Données projet'!$B$9,Paramètres!$A$1:$I$89,5,0)</f>
        <v>3.3992364478763198E-14</v>
      </c>
      <c r="P203" s="14">
        <f t="shared" si="203"/>
        <v>5.790027782444094E-13</v>
      </c>
      <c r="Q203" s="22">
        <f t="shared" si="162"/>
        <v>1.0676332069095257E-12</v>
      </c>
      <c r="R203" s="62">
        <f t="shared" si="191"/>
        <v>293.33333333333439</v>
      </c>
      <c r="S203" s="62">
        <f ca="1">AVERAGE(OFFSET($R$3,0,0,'Données projet'!$E$9+1,1))-AVERAGE(OFFSET($H$3,0,0,'Données projet'!$E$9+1,1))</f>
        <v>157.21429387424644</v>
      </c>
      <c r="T203" s="62">
        <f t="shared" si="204"/>
        <v>264.58225136820056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3.7742573526781933</v>
      </c>
      <c r="AA203" s="23">
        <f>EXP(-LN(2)/25)*AA202+(1-EXP(-LN(2)/25))/(LN(2)/25)*Calculateur!V203*Calculateur!X203*VLOOKUP('Données projet'!$B$9,Paramètres!$A$1:$I$89,3,0)*0.475*44/12</f>
        <v>3.0001466357268032E-2</v>
      </c>
      <c r="AB203" s="23">
        <f>EXP(-LN(2)/2)*AB202+(1-EXP(-LN(2)/2))/(LN(2)/2)*V203*Y203*VLOOKUP('Données projet'!$B$9,Paramètres!$A$1:$I$89,3,0)*0.475*44/12</f>
        <v>2.8473589446543029E-23</v>
      </c>
      <c r="AC203" s="24">
        <f t="shared" si="163"/>
        <v>3.8042588190354611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projet'!$B$10,Paramètres!$A$1:$I$89,3,0)*VLOOKUP('Données projet'!$B$10,Paramètres!$A$1:$I$89,5,0)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projet'!$B$10,Paramètres!$A$1:$I$89,3,0)*0.475*44/12</f>
        <v>#N/A</v>
      </c>
      <c r="AV203" s="23" t="e">
        <f>EXP(-LN(2)/25)*AV202+(1-EXP(-LN(2)/25))/(LN(2)/25)*Calculateur!AQ203*Calculateur!AS203*VLOOKUP('Données projet'!$B$10,Paramètres!$A$1:$I$89,3,0)*0.475*44/12</f>
        <v>#N/A</v>
      </c>
      <c r="AW203" s="23" t="e">
        <f>EXP(-LN(2)/2)*AW202+(1-EXP(-LN(2)/2))/(LN(2)/2)*AQ203*AT203*VLOOKUP('Données projet'!$B$10,Paramètres!$A$1:$I$89,3,0)*0.475*44/12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1.3939124009120489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A3" workbookViewId="0">
      <selection activeCell="P31" sqref="P31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Pin maritime</v>
      </c>
      <c r="B6" s="155">
        <f>'Données projet'!D9</f>
        <v>7.33</v>
      </c>
      <c r="C6" s="156">
        <f ca="1">IF(OR('Données projet'!B9="",'Données projet'!C9="",'Données projet'!C9=0%),0,Calculateur!S3)</f>
        <v>157.21429387424644</v>
      </c>
      <c r="D6" s="156">
        <f>IF(OR('Données projet'!B9="",'Données projet'!C9="",'Données projet'!C9=0%),0,Calculateur!T3)</f>
        <v>264.58225136820056</v>
      </c>
      <c r="E6" s="156">
        <f ca="1">MIN(C6,D6)</f>
        <v>157.21429387424644</v>
      </c>
      <c r="F6" s="156">
        <f ca="1">E6*B6</f>
        <v>1152.3807740982263</v>
      </c>
      <c r="G6" s="156">
        <f ca="1">F6*(100%-'Données projet'!$C$24)*(100%-'Données projet'!$C$25)*(100%-'Données projet'!$C$26)*(100%-'Données projet'!$C$27)</f>
        <v>705.25703374811451</v>
      </c>
      <c r="H6" s="157">
        <f>IF(OR('Données projet'!B9="",'Données projet'!C9="",'Données projet'!C9=0%),0,AVERAGE(Calculateur!$AC$3:$AC$33)*B6)</f>
        <v>60.011074127748699</v>
      </c>
      <c r="I6" s="158">
        <f>H6*(100%-'Données projet'!$C$24)*(100%-'Données projet'!$C$25)*(100%-'Données projet'!$C$26)*(100%-'Données projet'!$C$27)</f>
        <v>36.726777366182205</v>
      </c>
      <c r="J6" s="159">
        <f>IF(OR('Données projet'!B9="",'Données projet'!C9="",'Données projet'!C9=0%),0,SUM(Calculateur!$V$3:$V$33)*VLOOKUP('Données projet'!$B$9,Paramètres!$A$1:$I$89,9,0)*B6)</f>
        <v>471.39230000000003</v>
      </c>
      <c r="K6" s="160">
        <f>J6*(100%-'Données projet'!$C$24)*(100%-'Données projet'!$C$25)*(100%-'Données projet'!$C$26)*(100%-'Données projet'!$C$27)</f>
        <v>288.49208759999999</v>
      </c>
      <c r="L6" s="161">
        <f ca="1">G6+I6+K6</f>
        <v>1030.4758987142968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/>
      </c>
      <c r="B7" s="163">
        <f>'Données projet'!D10</f>
        <v>0</v>
      </c>
      <c r="C7" s="156">
        <f>IF(OR('Données projet'!B10="",'Données projet'!C10="",'Données projet'!C10=0%),0,Calculateur!AN3)</f>
        <v>0</v>
      </c>
      <c r="D7" s="156">
        <f>IF(OR('Données projet'!B10="",'Données projet'!C10="",'Données projet'!C10=0%),0,Calculateur!AO3)</f>
        <v>0</v>
      </c>
      <c r="E7" s="156">
        <f t="shared" ref="E7:E15" si="0">MIN(C7,D7)</f>
        <v>0</v>
      </c>
      <c r="F7" s="156">
        <f t="shared" ref="F7:F15" si="1">E7*B7</f>
        <v>0</v>
      </c>
      <c r="G7" s="156">
        <f>F7*(100%-'Données projet'!$C$24)*(100%-'Données projet'!$C$25)*(100%-'Données projet'!$C$26)*(100%-'Données projet'!$C$27)</f>
        <v>0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si="2">G7+I7+K7</f>
        <v>0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1152.3807740982263</v>
      </c>
      <c r="G16" s="175">
        <f t="shared" ca="1" si="3"/>
        <v>705.25703374811451</v>
      </c>
      <c r="H16" s="176">
        <f t="shared" si="3"/>
        <v>60.011074127748699</v>
      </c>
      <c r="I16" s="176">
        <f t="shared" si="3"/>
        <v>36.726777366182205</v>
      </c>
      <c r="J16" s="177">
        <f t="shared" si="3"/>
        <v>471.39230000000003</v>
      </c>
      <c r="K16" s="177">
        <f t="shared" si="3"/>
        <v>288.49208759999999</v>
      </c>
      <c r="L16" s="178">
        <f t="shared" ca="1" si="3"/>
        <v>1030.4758987142968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Pin maritime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/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J1" zoomScale="90" zoomScaleNormal="90" workbookViewId="0">
      <selection activeCell="V35" sqref="V35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40" t="s">
        <v>315</v>
      </c>
      <c r="I4" s="340"/>
      <c r="K4" s="337" t="s">
        <v>253</v>
      </c>
      <c r="L4" s="338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29" t="s">
        <v>310</v>
      </c>
      <c r="S7" s="330"/>
      <c r="T7" s="330"/>
      <c r="U7" s="330"/>
      <c r="V7" s="331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maritime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90">
        <f>'Données projet'!D9</f>
        <v>7.33</v>
      </c>
      <c r="V10" s="189">
        <f>U10*T10</f>
        <v>0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/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Pin maritime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41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1"/>
      <c r="H16" s="203"/>
      <c r="I16" s="204"/>
      <c r="J16" s="216"/>
      <c r="K16" s="225"/>
      <c r="L16" s="337" t="s">
        <v>254</v>
      </c>
      <c r="M16" s="338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1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1"/>
      <c r="J18" s="216"/>
      <c r="K18" s="225"/>
      <c r="L18" s="295" t="s">
        <v>255</v>
      </c>
      <c r="M18" s="297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1"/>
      <c r="H19" s="232" t="s">
        <v>178</v>
      </c>
      <c r="I19" s="232" t="s">
        <v>287</v>
      </c>
      <c r="J19" s="260"/>
      <c r="K19" s="183"/>
      <c r="L19" s="337" t="s">
        <v>288</v>
      </c>
      <c r="M19" s="338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1"/>
      <c r="H20" s="203"/>
      <c r="I20" s="204"/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13</v>
      </c>
      <c r="B23" s="193">
        <f>'Données projet'!D36</f>
        <v>15</v>
      </c>
      <c r="C23" s="206"/>
      <c r="D23" s="194">
        <f>B23*C23</f>
        <v>0</v>
      </c>
      <c r="E23" s="206"/>
      <c r="F23" s="261"/>
      <c r="H23" s="203"/>
      <c r="I23" s="204"/>
      <c r="K23" s="225"/>
      <c r="L23" s="339" t="s">
        <v>260</v>
      </c>
      <c r="M23" s="339"/>
      <c r="N23" s="339"/>
      <c r="O23" s="25"/>
      <c r="P23" s="25"/>
      <c r="Q23" s="265"/>
      <c r="R23" s="25"/>
      <c r="S23" s="185" t="s">
        <v>264</v>
      </c>
      <c r="T23" s="33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34"/>
      <c r="V23" s="33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19</v>
      </c>
      <c r="B24" s="193">
        <f>'Données projet'!D37</f>
        <v>40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35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5"/>
      <c r="V24" s="33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25</v>
      </c>
      <c r="B25" s="193">
        <f>'Données projet'!D38</f>
        <v>54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36">
        <f ca="1">T23-T24</f>
        <v>0</v>
      </c>
      <c r="U25" s="336"/>
      <c r="V25" s="336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38</v>
      </c>
      <c r="B26" s="193">
        <f>'Données projet'!D39</f>
        <v>338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3" t="s">
        <v>258</v>
      </c>
      <c r="M26" s="324"/>
      <c r="N26" s="324"/>
      <c r="O26" s="324"/>
      <c r="P26" s="325"/>
      <c r="Q26" s="265"/>
      <c r="R26" s="25"/>
      <c r="S26" s="198" t="s">
        <v>265</v>
      </c>
      <c r="T26" s="333" t="str">
        <f ca="1">IF(T25&lt;0,"Votre projet est additionnel","Votre projet n'est pas additionnel")</f>
        <v>Votre projet n'est pas additionnel</v>
      </c>
      <c r="U26" s="333"/>
      <c r="V26" s="333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0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26"/>
      <c r="M27" s="327"/>
      <c r="N27" s="327"/>
      <c r="O27" s="327"/>
      <c r="P27" s="328"/>
      <c r="Q27" s="265"/>
      <c r="R27" s="25"/>
      <c r="S27" s="332" t="s">
        <v>267</v>
      </c>
      <c r="T27" s="332"/>
      <c r="U27" s="332"/>
      <c r="V27" s="332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/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0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0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str">
        <f>IF(O71+1&lt;=MIN('Données projet'!$E$9:$E$18),O71+1,"STOP")</f>
        <v>STOP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TABORSKI Paul</cp:lastModifiedBy>
  <dcterms:created xsi:type="dcterms:W3CDTF">2021-02-01T08:22:39Z</dcterms:created>
  <dcterms:modified xsi:type="dcterms:W3CDTF">2023-06-14T13:19:06Z</dcterms:modified>
</cp:coreProperties>
</file>