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Bazas\dossier LBC\12 - GUILLOS 2 - IND DUPOUY France - EA AIR FRANCE\Dossier final\"/>
    </mc:Choice>
  </mc:AlternateContent>
  <xr:revisionPtr revIDLastSave="0" documentId="13_ncr:1_{2D492211-C2AA-4FAB-968C-A3F8D173FD05}" xr6:coauthVersionLast="36" xr6:coauthVersionMax="36" xr10:uidLastSave="{00000000-0000-0000-0000-000000000000}"/>
  <bookViews>
    <workbookView xWindow="0" yWindow="0" windowWidth="21570" windowHeight="933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92" i="2" a="1"/>
  <c r="BC192" i="2" s="1"/>
  <c r="BC31" i="2" a="1"/>
  <c r="BC31" i="2" s="1"/>
  <c r="BC143" i="2" a="1"/>
  <c r="BC143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26" i="2" l="1" a="1"/>
  <c r="BC126" i="2" s="1"/>
  <c r="BC82" i="2" a="1"/>
  <c r="BC82" i="2" s="1"/>
  <c r="BC84" i="2" a="1"/>
  <c r="BC84" i="2" s="1"/>
  <c r="BC164" i="2" a="1"/>
  <c r="BC164" i="2" s="1"/>
  <c r="BC32" i="2" a="1"/>
  <c r="BC32" i="2" s="1"/>
  <c r="BC114" i="2" a="1"/>
  <c r="BC114" i="2" s="1"/>
  <c r="BC55" i="2" a="1"/>
  <c r="BC55" i="2" s="1"/>
  <c r="BC47" i="2" a="1"/>
  <c r="BC47" i="2" s="1"/>
  <c r="BC130" i="2" a="1"/>
  <c r="BC130" i="2" s="1"/>
  <c r="BC58" i="2" a="1"/>
  <c r="BC58" i="2" s="1"/>
  <c r="BC34" i="2" a="1"/>
  <c r="BC34" i="2" s="1"/>
  <c r="BC7" i="2" a="1"/>
  <c r="BC7" i="2" s="1"/>
  <c r="BD7" i="2" s="1"/>
  <c r="BC38" i="2" a="1"/>
  <c r="BC38" i="2" s="1"/>
  <c r="BC68" i="2" a="1"/>
  <c r="BC68" i="2" s="1"/>
  <c r="BC83" i="2" a="1"/>
  <c r="BC83" i="2" s="1"/>
  <c r="BC151" i="2" a="1"/>
  <c r="BC151" i="2" s="1"/>
  <c r="BC185" i="2" a="1"/>
  <c r="BC185" i="2" s="1"/>
  <c r="AH62" i="2" a="1"/>
  <c r="AH62" i="2" s="1"/>
  <c r="AH90" i="2" a="1"/>
  <c r="AH90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<sst xmlns="http://schemas.openxmlformats.org/spreadsheetml/2006/main" count="1171" uniqueCount="324">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</sst>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238.97462736861362</c:v>
                </c:pt>
                <c:pt idx="27">
                  <c:v>255.79611567667988</c:v>
                </c:pt>
                <c:pt idx="28">
                  <c:v>272.59258138651876</c:v>
                </c:pt>
                <c:pt idx="29">
                  <c:v>289.36578324917713</c:v>
                </c:pt>
                <c:pt idx="30">
                  <c:v>306.1172594300387</c:v>
                </c:pt>
                <c:pt idx="31">
                  <c:v>322.84836598709234</c:v>
                </c:pt>
                <c:pt idx="32">
                  <c:v>339.56030694964716</c:v>
                </c:pt>
                <c:pt idx="33">
                  <c:v>356.25415816258305</c:v>
                </c:pt>
                <c:pt idx="34">
                  <c:v>372.93088642583757</c:v>
                </c:pt>
                <c:pt idx="35">
                  <c:v>389.59136503053628</c:v>
                </c:pt>
                <c:pt idx="36">
                  <c:v>406.23638649833066</c:v>
                </c:pt>
                <c:pt idx="37">
                  <c:v>422.8666731236728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O15" sqref="O1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14.44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0.36</v>
      </c>
      <c r="D9" s="36">
        <f t="shared" ref="D9:D18" si="0">C9*$C$5</f>
        <v>5.1983999999999995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36</v>
      </c>
      <c r="C10" s="35">
        <v>0.64</v>
      </c>
      <c r="D10" s="36">
        <f t="shared" si="0"/>
        <v>9.2416</v>
      </c>
      <c r="E10" s="37">
        <v>38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14.44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maritime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13</v>
      </c>
      <c r="B62" s="63">
        <v>75</v>
      </c>
      <c r="C62" s="63">
        <v>1</v>
      </c>
      <c r="D62" s="63">
        <v>15</v>
      </c>
      <c r="E62" s="54"/>
      <c r="F62" s="54"/>
      <c r="G62" s="54">
        <v>1</v>
      </c>
      <c r="H62" s="54"/>
      <c r="I62" s="56">
        <f>IFERROR(B62/A62,"")</f>
        <v>5.7692307692307692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19</v>
      </c>
      <c r="B63" s="63">
        <v>163</v>
      </c>
      <c r="C63" s="63">
        <v>2</v>
      </c>
      <c r="D63" s="63">
        <v>40</v>
      </c>
      <c r="E63" s="54">
        <v>0.3</v>
      </c>
      <c r="F63" s="54"/>
      <c r="G63" s="54">
        <v>0.7</v>
      </c>
      <c r="H63" s="54"/>
      <c r="I63" s="52">
        <f>IF(A63&lt;&gt;0,(B63-(B62-D62))/(A63-A62),"")</f>
        <v>17.166666666666668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25</v>
      </c>
      <c r="B64" s="63">
        <v>222</v>
      </c>
      <c r="C64" s="63">
        <v>3</v>
      </c>
      <c r="D64" s="63">
        <v>54</v>
      </c>
      <c r="E64" s="54">
        <v>0.4</v>
      </c>
      <c r="F64" s="54">
        <v>0.2</v>
      </c>
      <c r="G64" s="54">
        <v>0.4</v>
      </c>
      <c r="H64" s="54"/>
      <c r="I64" s="52">
        <f>IF(A64&lt;&gt;0,(B64-(B63-D63))/(A64-A63),"")</f>
        <v>16.5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38</v>
      </c>
      <c r="B65" s="63">
        <v>338</v>
      </c>
      <c r="C65" s="63">
        <v>4</v>
      </c>
      <c r="D65" s="63">
        <v>338</v>
      </c>
      <c r="E65" s="54">
        <v>0.7</v>
      </c>
      <c r="F65" s="54"/>
      <c r="G65" s="54">
        <v>0.3</v>
      </c>
      <c r="H65" s="54"/>
      <c r="I65" s="52">
        <f>IF(A65&lt;&gt;0,(B65-(B64-D64))/(A65-A64),"")</f>
        <v>13.076923076923077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17" sqref="F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maritime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157.21429387424644</v>
      </c>
      <c r="AO3" s="62">
        <f>IF('Données projet'!E10&gt;30,$AM$33-$H$33,LOOKUP('Données projet'!$E$10,$A$3:$A$203,AM3:AM203)-LOOKUP('Données projet'!$E$10,$A$3:$A$203,$H$3:$H$203))</f>
        <v>264.58225136820056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5.7692307692307692</v>
      </c>
      <c r="AI4" s="14">
        <f>IF('Données projet'!$A$62&gt;35,AI3+AH4-AQ3,IF(A4&lt;'Données projet'!$A$62,$AF$205^A4,IF(A4='Données projet'!$A$62,'Données projet'!$B$62,AI3+AH4-AQ3)))</f>
        <v>1.3939124009120489</v>
      </c>
      <c r="AJ4" s="14">
        <f>AI4*VLOOKUP('Données projet'!$B$10,Paramètres!$A$1:$I$89,3,0)*VLOOKUP('Données projet'!$B$10,Paramètres!$A$1:$I$89,5,0)</f>
        <v>0.83355961574540538</v>
      </c>
      <c r="AK4" s="14">
        <f>EXP(-1.0587+0.8836*LN(AJ4)+0.284)</f>
        <v>0.39236630327500827</v>
      </c>
      <c r="AL4" s="22">
        <f t="shared" ref="AL4:AL67" si="4">(AJ4+AK4)*0.475*44/12</f>
        <v>2.1351543089605536</v>
      </c>
      <c r="AM4" s="62">
        <f t="shared" ref="AM4:AM67" si="5">AL4+(AD4+AE4)*44/12</f>
        <v>295.46848764229389</v>
      </c>
      <c r="AN4" s="62">
        <f ca="1">AVERAGE(OFFSET($AM$3,0,0,'Données projet'!$E$10+1,1))-AVERAGE(OFFSET($H$3,0,0,'Données projet'!$E$10+1,1))</f>
        <v>157.21429387424644</v>
      </c>
      <c r="AO4" s="62">
        <f>$AO$3</f>
        <v>264.58225136820056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5.7692307692307692</v>
      </c>
      <c r="AI5" s="14">
        <f>IF('Données projet'!$A$62&gt;35,AI4+AH5-AQ4,IF(A5&lt;'Données projet'!$A$62,$AF$205^A5,IF(A5='Données projet'!$A$62,'Données projet'!$B$62,AI4+AH5-AQ4)))</f>
        <v>1.9429917814163926</v>
      </c>
      <c r="AJ5" s="14">
        <f>AI5*VLOOKUP('Données projet'!$B$10,Paramètres!$A$1:$I$89,3,0)*VLOOKUP('Données projet'!$B$10,Paramètres!$A$1:$I$89,5,0)</f>
        <v>1.1619090852870029</v>
      </c>
      <c r="AK5" s="14">
        <f t="shared" ref="AK5:AK68" si="35">EXP(-1.0587+0.8836*LN(AJ5)+0.284)</f>
        <v>0.52618464987689018</v>
      </c>
      <c r="AL5" s="22">
        <f t="shared" si="4"/>
        <v>2.9400965887437809</v>
      </c>
      <c r="AM5" s="62">
        <f t="shared" si="5"/>
        <v>296.27342992207707</v>
      </c>
      <c r="AN5" s="62">
        <f ca="1">AVERAGE(OFFSET($AM$3,0,0,'Données projet'!$E$10+1,1))-AVERAGE(OFFSET($H$3,0,0,'Données projet'!$E$10+1,1))</f>
        <v>157.21429387424644</v>
      </c>
      <c r="AO5" s="62">
        <f t="shared" ref="AO5:AO68" si="36">$AO$3</f>
        <v>264.58225136820056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5.7692307692307692</v>
      </c>
      <c r="AI6" s="14">
        <f>IF('Données projet'!$A$62&gt;35,AI5+AH6-AQ5,IF(A6&lt;'Données projet'!$A$62,$AF$205^A6,IF(A6='Données projet'!$A$62,'Données projet'!$B$62,AI5+AH6-AQ5)))</f>
        <v>2.7083603389865027</v>
      </c>
      <c r="AJ6" s="14">
        <f>AI6*VLOOKUP('Données projet'!$B$10,Paramètres!$A$1:$I$89,3,0)*VLOOKUP('Données projet'!$B$10,Paramètres!$A$1:$I$89,5,0)</f>
        <v>1.6195994827139286</v>
      </c>
      <c r="AK6" s="14">
        <f t="shared" si="35"/>
        <v>0.70564236392136903</v>
      </c>
      <c r="AL6" s="22">
        <f t="shared" si="4"/>
        <v>4.0497962162231431</v>
      </c>
      <c r="AM6" s="62">
        <f t="shared" si="5"/>
        <v>297.38312954955643</v>
      </c>
      <c r="AN6" s="62">
        <f ca="1">AVERAGE(OFFSET($AM$3,0,0,'Données projet'!$E$10+1,1))-AVERAGE(OFFSET($H$3,0,0,'Données projet'!$E$10+1,1))</f>
        <v>157.21429387424644</v>
      </c>
      <c r="AO6" s="62">
        <f t="shared" si="36"/>
        <v>264.58225136820056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5.7692307692307692</v>
      </c>
      <c r="AI7" s="14">
        <f>IF('Données projet'!$A$62&gt;35,AI6+AH7-AQ6,IF(A7&lt;'Données projet'!$A$62,$AF$205^A7,IF(A7='Données projet'!$A$62,'Données projet'!$B$62,AI6+AH7-AQ6)))</f>
        <v>3.775217062651647</v>
      </c>
      <c r="AJ7" s="14">
        <f>AI7*VLOOKUP('Données projet'!$B$10,Paramètres!$A$1:$I$89,3,0)*VLOOKUP('Données projet'!$B$10,Paramètres!$A$1:$I$89,5,0)</f>
        <v>2.2575798034656849</v>
      </c>
      <c r="AK7" s="14">
        <f t="shared" si="35"/>
        <v>0.94630496324253699</v>
      </c>
      <c r="AL7" s="22">
        <f t="shared" si="4"/>
        <v>5.5800993020168193</v>
      </c>
      <c r="AM7" s="62">
        <f t="shared" si="5"/>
        <v>298.91343263535015</v>
      </c>
      <c r="AN7" s="62">
        <f ca="1">AVERAGE(OFFSET($AM$3,0,0,'Données projet'!$E$10+1,1))-AVERAGE(OFFSET($H$3,0,0,'Données projet'!$E$10+1,1))</f>
        <v>157.21429387424644</v>
      </c>
      <c r="AO7" s="62">
        <f t="shared" si="36"/>
        <v>264.58225136820056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5.7692307692307692</v>
      </c>
      <c r="AI8" s="14">
        <f>IF('Données projet'!$A$62&gt;35,AI7+AH8-AQ7,IF(A8&lt;'Données projet'!$A$62,$AF$205^A8,IF(A8='Données projet'!$A$62,'Données projet'!$B$62,AI7+AH8-AQ7)))</f>
        <v>5.2623218797648903</v>
      </c>
      <c r="AJ8" s="14">
        <f>AI8*VLOOKUP('Données projet'!$B$10,Paramètres!$A$1:$I$89,3,0)*VLOOKUP('Données projet'!$B$10,Paramètres!$A$1:$I$89,5,0)</f>
        <v>3.1468684840994046</v>
      </c>
      <c r="AK8" s="14">
        <f t="shared" si="35"/>
        <v>1.2690466576879811</v>
      </c>
      <c r="AL8" s="22">
        <f t="shared" si="4"/>
        <v>7.6910522052796955</v>
      </c>
      <c r="AM8" s="62">
        <f t="shared" si="5"/>
        <v>301.02438553861299</v>
      </c>
      <c r="AN8" s="62">
        <f ca="1">AVERAGE(OFFSET($AM$3,0,0,'Données projet'!$E$10+1,1))-AVERAGE(OFFSET($H$3,0,0,'Données projet'!$E$10+1,1))</f>
        <v>157.21429387424644</v>
      </c>
      <c r="AO8" s="62">
        <f t="shared" si="36"/>
        <v>264.58225136820056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5.7692307692307692</v>
      </c>
      <c r="AI9" s="14">
        <f>IF('Données projet'!$A$62&gt;35,AI8+AH9-AQ8,IF(A9&lt;'Données projet'!$A$62,$AF$205^A9,IF(A9='Données projet'!$A$62,'Données projet'!$B$62,AI8+AH9-AQ8)))</f>
        <v>7.3352157257950852</v>
      </c>
      <c r="AJ9" s="14">
        <f>AI9*VLOOKUP('Données projet'!$B$10,Paramètres!$A$1:$I$89,3,0)*VLOOKUP('Données projet'!$B$10,Paramètres!$A$1:$I$89,5,0)</f>
        <v>4.3864590040254612</v>
      </c>
      <c r="AK9" s="14">
        <f t="shared" si="35"/>
        <v>1.7018609031391834</v>
      </c>
      <c r="AL9" s="22">
        <f t="shared" si="4"/>
        <v>10.603823838311754</v>
      </c>
      <c r="AM9" s="62">
        <f t="shared" si="5"/>
        <v>303.93715717164508</v>
      </c>
      <c r="AN9" s="62">
        <f ca="1">AVERAGE(OFFSET($AM$3,0,0,'Données projet'!$E$10+1,1))-AVERAGE(OFFSET($H$3,0,0,'Données projet'!$E$10+1,1))</f>
        <v>157.21429387424644</v>
      </c>
      <c r="AO9" s="62">
        <f t="shared" si="36"/>
        <v>264.58225136820056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5.7692307692307692</v>
      </c>
      <c r="AI10" s="14">
        <f>IF('Données projet'!$A$62&gt;35,AI9+AH10-AQ9,IF(A10&lt;'Données projet'!$A$62,$AF$205^A10,IF(A10='Données projet'!$A$62,'Données projet'!$B$62,AI9+AH10-AQ9)))</f>
        <v>10.224648163550844</v>
      </c>
      <c r="AJ10" s="14">
        <f>AI10*VLOOKUP('Données projet'!$B$10,Paramètres!$A$1:$I$89,3,0)*VLOOKUP('Données projet'!$B$10,Paramètres!$A$1:$I$89,5,0)</f>
        <v>6.1143396018034055</v>
      </c>
      <c r="AK10" s="14">
        <f t="shared" si="35"/>
        <v>2.2822884533736612</v>
      </c>
      <c r="AL10" s="22">
        <f t="shared" si="4"/>
        <v>14.624127196100055</v>
      </c>
      <c r="AM10" s="62">
        <f t="shared" si="5"/>
        <v>307.95746052943338</v>
      </c>
      <c r="AN10" s="62">
        <f ca="1">AVERAGE(OFFSET($AM$3,0,0,'Données projet'!$E$10+1,1))-AVERAGE(OFFSET($H$3,0,0,'Données projet'!$E$10+1,1))</f>
        <v>157.21429387424644</v>
      </c>
      <c r="AO10" s="62">
        <f t="shared" si="36"/>
        <v>264.58225136820056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5.7692307692307692</v>
      </c>
      <c r="AI11" s="14">
        <f>IF('Données projet'!$A$62&gt;35,AI10+AH11-AQ10,IF(A11&lt;'Données projet'!$A$62,$AF$205^A11,IF(A11='Données projet'!$A$62,'Données projet'!$B$62,AI10+AH11-AQ10)))</f>
        <v>14.252263870136129</v>
      </c>
      <c r="AJ11" s="14">
        <f>AI11*VLOOKUP('Données projet'!$B$10,Paramètres!$A$1:$I$89,3,0)*VLOOKUP('Données projet'!$B$10,Paramètres!$A$1:$I$89,5,0)</f>
        <v>8.5228537943414064</v>
      </c>
      <c r="AK11" s="14">
        <f t="shared" si="35"/>
        <v>3.0606735102702713</v>
      </c>
      <c r="AL11" s="22">
        <f t="shared" si="4"/>
        <v>20.174643388865338</v>
      </c>
      <c r="AM11" s="62">
        <f t="shared" si="5"/>
        <v>313.50797672219863</v>
      </c>
      <c r="AN11" s="62">
        <f ca="1">AVERAGE(OFFSET($AM$3,0,0,'Données projet'!$E$10+1,1))-AVERAGE(OFFSET($H$3,0,0,'Données projet'!$E$10+1,1))</f>
        <v>157.21429387424644</v>
      </c>
      <c r="AO11" s="62">
        <f t="shared" si="36"/>
        <v>264.58225136820056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5.7692307692307692</v>
      </c>
      <c r="AI12" s="14">
        <f>IF('Données projet'!$A$62&gt;35,AI11+AH12-AQ11,IF(A12&lt;'Données projet'!$A$62,$AF$205^A12,IF(A12='Données projet'!$A$62,'Données projet'!$B$62,AI11+AH12-AQ11)))</f>
        <v>19.866407349653503</v>
      </c>
      <c r="AJ12" s="14">
        <f>AI12*VLOOKUP('Données projet'!$B$10,Paramètres!$A$1:$I$89,3,0)*VLOOKUP('Données projet'!$B$10,Paramètres!$A$1:$I$89,5,0)</f>
        <v>11.880111595092796</v>
      </c>
      <c r="AK12" s="14">
        <f t="shared" si="35"/>
        <v>4.1045303991363813</v>
      </c>
      <c r="AL12" s="22">
        <f t="shared" si="4"/>
        <v>27.839918139949148</v>
      </c>
      <c r="AM12" s="62">
        <f t="shared" si="5"/>
        <v>321.17325147328245</v>
      </c>
      <c r="AN12" s="62">
        <f ca="1">AVERAGE(OFFSET($AM$3,0,0,'Données projet'!$E$10+1,1))-AVERAGE(OFFSET($H$3,0,0,'Données projet'!$E$10+1,1))</f>
        <v>157.21429387424644</v>
      </c>
      <c r="AO12" s="62">
        <f t="shared" si="36"/>
        <v>264.58225136820056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5.7692307692307692</v>
      </c>
      <c r="AI13" s="14">
        <f>IF('Données projet'!$A$62&gt;35,AI12+AH13-AQ12,IF(A13&lt;'Données projet'!$A$62,$AF$205^A13,IF(A13='Données projet'!$A$62,'Données projet'!$B$62,AI12+AH13-AQ12)))</f>
        <v>27.69203156625229</v>
      </c>
      <c r="AJ13" s="14">
        <f>AI13*VLOOKUP('Données projet'!$B$10,Paramètres!$A$1:$I$89,3,0)*VLOOKUP('Données projet'!$B$10,Paramètres!$A$1:$I$89,5,0)</f>
        <v>16.559834876618869</v>
      </c>
      <c r="AK13" s="14">
        <f t="shared" si="35"/>
        <v>5.5043995188977117</v>
      </c>
      <c r="AL13" s="22">
        <f t="shared" si="4"/>
        <v>38.428541572191371</v>
      </c>
      <c r="AM13" s="62">
        <f t="shared" si="5"/>
        <v>331.76187490552468</v>
      </c>
      <c r="AN13" s="62">
        <f ca="1">AVERAGE(OFFSET($AM$3,0,0,'Données projet'!$E$10+1,1))-AVERAGE(OFFSET($H$3,0,0,'Données projet'!$E$10+1,1))</f>
        <v>157.21429387424644</v>
      </c>
      <c r="AO13" s="62">
        <f t="shared" si="36"/>
        <v>264.58225136820056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5.7692307692307692</v>
      </c>
      <c r="AI14" s="14">
        <f>IF('Données projet'!$A$62&gt;35,AI13+AH14-AQ13,IF(A14&lt;'Données projet'!$A$62,$AF$205^A14,IF(A14='Données projet'!$A$62,'Données projet'!$B$62,AI13+AH14-AQ13)))</f>
        <v>38.600266206646971</v>
      </c>
      <c r="AJ14" s="14">
        <f>AI14*VLOOKUP('Données projet'!$B$10,Paramètres!$A$1:$I$89,3,0)*VLOOKUP('Données projet'!$B$10,Paramètres!$A$1:$I$89,5,0)</f>
        <v>23.08295919157489</v>
      </c>
      <c r="AK14" s="14">
        <f t="shared" si="35"/>
        <v>7.3817004912465372</v>
      </c>
      <c r="AL14" s="22">
        <f t="shared" si="4"/>
        <v>53.059282280913983</v>
      </c>
      <c r="AM14" s="62">
        <f t="shared" si="5"/>
        <v>346.39261561424729</v>
      </c>
      <c r="AN14" s="62">
        <f ca="1">AVERAGE(OFFSET($AM$3,0,0,'Données projet'!$E$10+1,1))-AVERAGE(OFFSET($H$3,0,0,'Données projet'!$E$10+1,1))</f>
        <v>157.21429387424644</v>
      </c>
      <c r="AO14" s="62">
        <f t="shared" si="36"/>
        <v>264.58225136820056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5.7692307692307692</v>
      </c>
      <c r="AI15" s="14">
        <f>IF('Données projet'!$A$62&gt;35,AI14+AH15-AQ14,IF(A15&lt;'Données projet'!$A$62,$AF$205^A15,IF(A15='Données projet'!$A$62,'Données projet'!$B$62,AI14+AH15-AQ14)))</f>
        <v>53.805389743951515</v>
      </c>
      <c r="AJ15" s="14">
        <f>AI15*VLOOKUP('Données projet'!$B$10,Paramètres!$A$1:$I$89,3,0)*VLOOKUP('Données projet'!$B$10,Paramètres!$A$1:$I$89,5,0)</f>
        <v>32.175623066883006</v>
      </c>
      <c r="AK15" s="14">
        <f t="shared" si="35"/>
        <v>9.8992636627112418</v>
      </c>
      <c r="AL15" s="22">
        <f t="shared" si="4"/>
        <v>73.28042772070998</v>
      </c>
      <c r="AM15" s="62">
        <f t="shared" si="5"/>
        <v>366.61376105404327</v>
      </c>
      <c r="AN15" s="62">
        <f ca="1">AVERAGE(OFFSET($AM$3,0,0,'Données projet'!$E$10+1,1))-AVERAGE(OFFSET($H$3,0,0,'Données projet'!$E$10+1,1))</f>
        <v>157.21429387424644</v>
      </c>
      <c r="AO15" s="62">
        <f t="shared" si="36"/>
        <v>264.58225136820056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>
        <f>VLOOKUP(A16,'Données projet'!$A$61:$I$81,2,0)</f>
        <v>75</v>
      </c>
      <c r="AG16" s="13">
        <f>VLOOKUP(A16,'Données projet'!$A$61:$I$81,9,0)</f>
        <v>5.7692307692307692</v>
      </c>
      <c r="AH16" s="13">
        <f t="array" ref="AH16">INDEX(AG:AG,MIN(IF(ISNUMBER(AG16:AG212),ROW(AG16:AG212),"")))</f>
        <v>5.7692307692307692</v>
      </c>
      <c r="AI16" s="14">
        <f>IF('Données projet'!$A$62&gt;35,AI15+AH16-AQ15,IF(A16&lt;'Données projet'!$A$62,$AF$205^A16,IF(A16='Données projet'!$A$62,'Données projet'!$B$62,AI15+AH16-AQ15)))</f>
        <v>75</v>
      </c>
      <c r="AJ16" s="14">
        <f>AI16*VLOOKUP('Données projet'!$B$10,Paramètres!$A$1:$I$89,3,0)*VLOOKUP('Données projet'!$B$10,Paramètres!$A$1:$I$89,5,0)</f>
        <v>44.85</v>
      </c>
      <c r="AK16" s="14">
        <f t="shared" si="35"/>
        <v>13.275453424327006</v>
      </c>
      <c r="AL16" s="22">
        <f t="shared" si="4"/>
        <v>101.2351647140362</v>
      </c>
      <c r="AM16" s="62">
        <f t="shared" si="5"/>
        <v>394.56849804736953</v>
      </c>
      <c r="AN16" s="62">
        <f ca="1">AVERAGE(OFFSET($AM$3,0,0,'Données projet'!$E$10+1,1))-AVERAGE(OFFSET($H$3,0,0,'Données projet'!$E$10+1,1))</f>
        <v>157.21429387424644</v>
      </c>
      <c r="AO16" s="62">
        <f t="shared" si="36"/>
        <v>264.58225136820056</v>
      </c>
      <c r="AP16" s="16">
        <f>IF(ISNA(VLOOKUP(A16,'Données projet'!$A$61:$I$81,3,0)),0,VLOOKUP(A16,'Données projet'!$A$61:$I$81,3,0))</f>
        <v>1</v>
      </c>
      <c r="AQ16" s="16">
        <f>IF(ISNA(VLOOKUP(A16,'Données projet'!$A$61:$I$81,4,0)),0,VLOOKUP(A16,'Données projet'!$A$61:$I$81,4,0))</f>
        <v>15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1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10.1561237088124</v>
      </c>
      <c r="AX16" s="23">
        <f t="shared" si="6"/>
        <v>10.1561237088124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17.166666666666668</v>
      </c>
      <c r="AI17" s="14">
        <f>IF('Données projet'!$A$62&gt;35,AI16+AH17-AQ16,IF(A17&lt;'Données projet'!$A$62,$AF$205^A17,IF(A17='Données projet'!$A$62,'Données projet'!$B$62,AI16+AH17-AQ16)))</f>
        <v>77.166666666666671</v>
      </c>
      <c r="AJ17" s="14">
        <f>AI17*VLOOKUP('Données projet'!$B$10,Paramètres!$A$1:$I$89,3,0)*VLOOKUP('Données projet'!$B$10,Paramètres!$A$1:$I$89,5,0)</f>
        <v>46.145666666666671</v>
      </c>
      <c r="AK17" s="14">
        <f t="shared" si="35"/>
        <v>13.613761874667908</v>
      </c>
      <c r="AL17" s="22">
        <f t="shared" si="4"/>
        <v>104.08100470949104</v>
      </c>
      <c r="AM17" s="62">
        <f t="shared" si="5"/>
        <v>397.41433804282434</v>
      </c>
      <c r="AN17" s="62">
        <f ca="1">AVERAGE(OFFSET($AM$3,0,0,'Données projet'!$E$10+1,1))-AVERAGE(OFFSET($H$3,0,0,'Données projet'!$E$10+1,1))</f>
        <v>157.21429387424644</v>
      </c>
      <c r="AO17" s="62">
        <f t="shared" si="36"/>
        <v>264.58225136820056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7.1814639450707176</v>
      </c>
      <c r="AX17" s="23">
        <f t="shared" si="6"/>
        <v>7.1814639450707176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17.166666666666668</v>
      </c>
      <c r="AI18" s="14">
        <f>IF('Données projet'!$A$62&gt;35,AI17+AH18-AQ17,IF(A18&lt;'Données projet'!$A$62,$AF$205^A18,IF(A18='Données projet'!$A$62,'Données projet'!$B$62,AI17+AH18-AQ17)))</f>
        <v>94.333333333333343</v>
      </c>
      <c r="AJ18" s="14">
        <f>AI18*VLOOKUP('Données projet'!$B$10,Paramètres!$A$1:$I$89,3,0)*VLOOKUP('Données projet'!$B$10,Paramètres!$A$1:$I$89,5,0)</f>
        <v>56.411333333333339</v>
      </c>
      <c r="AK18" s="14">
        <f t="shared" si="35"/>
        <v>16.257710461388346</v>
      </c>
      <c r="AL18" s="22">
        <f t="shared" si="4"/>
        <v>126.56525127580693</v>
      </c>
      <c r="AM18" s="62">
        <f t="shared" si="5"/>
        <v>419.89858460914024</v>
      </c>
      <c r="AN18" s="62">
        <f ca="1">AVERAGE(OFFSET($AM$3,0,0,'Données projet'!$E$10+1,1))-AVERAGE(OFFSET($H$3,0,0,'Données projet'!$E$10+1,1))</f>
        <v>157.21429387424644</v>
      </c>
      <c r="AO18" s="62">
        <f t="shared" si="36"/>
        <v>264.58225136820056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5.0780618544062008</v>
      </c>
      <c r="AX18" s="23">
        <f t="shared" si="6"/>
        <v>5.0780618544062008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17.166666666666668</v>
      </c>
      <c r="AI19" s="14">
        <f>IF('Données projet'!$A$62&gt;35,AI18+AH19-AQ18,IF(A19&lt;'Données projet'!$A$62,$AF$205^A19,IF(A19='Données projet'!$A$62,'Données projet'!$B$62,AI18+AH19-AQ18)))</f>
        <v>111.50000000000001</v>
      </c>
      <c r="AJ19" s="14">
        <f>AI19*VLOOKUP('Données projet'!$B$10,Paramètres!$A$1:$I$89,3,0)*VLOOKUP('Données projet'!$B$10,Paramètres!$A$1:$I$89,5,0)</f>
        <v>66.677000000000007</v>
      </c>
      <c r="AK19" s="14">
        <f t="shared" si="35"/>
        <v>18.845918291779732</v>
      </c>
      <c r="AL19" s="22">
        <f t="shared" si="4"/>
        <v>148.95241602484973</v>
      </c>
      <c r="AM19" s="62">
        <f t="shared" si="5"/>
        <v>442.28574935818301</v>
      </c>
      <c r="AN19" s="62">
        <f ca="1">AVERAGE(OFFSET($AM$3,0,0,'Données projet'!$E$10+1,1))-AVERAGE(OFFSET($H$3,0,0,'Données projet'!$E$10+1,1))</f>
        <v>157.21429387424644</v>
      </c>
      <c r="AO19" s="62">
        <f t="shared" si="36"/>
        <v>264.58225136820056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3.5907319725353593</v>
      </c>
      <c r="AX19" s="23">
        <f t="shared" si="6"/>
        <v>3.5907319725353593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17.166666666666668</v>
      </c>
      <c r="AI20" s="14">
        <f>IF('Données projet'!$A$62&gt;35,AI19+AH20-AQ19,IF(A20&lt;'Données projet'!$A$62,$AF$205^A20,IF(A20='Données projet'!$A$62,'Données projet'!$B$62,AI19+AH20-AQ19)))</f>
        <v>128.66666666666669</v>
      </c>
      <c r="AJ20" s="14">
        <f>AI20*VLOOKUP('Données projet'!$B$10,Paramètres!$A$1:$I$89,3,0)*VLOOKUP('Données projet'!$B$10,Paramètres!$A$1:$I$89,5,0)</f>
        <v>76.942666666666682</v>
      </c>
      <c r="AK20" s="14">
        <f t="shared" si="35"/>
        <v>21.387963426287346</v>
      </c>
      <c r="AL20" s="22">
        <f t="shared" si="4"/>
        <v>171.25918074522826</v>
      </c>
      <c r="AM20" s="62">
        <f t="shared" si="5"/>
        <v>464.59251407856158</v>
      </c>
      <c r="AN20" s="62">
        <f ca="1">AVERAGE(OFFSET($AM$3,0,0,'Données projet'!$E$10+1,1))-AVERAGE(OFFSET($H$3,0,0,'Données projet'!$E$10+1,1))</f>
        <v>157.21429387424644</v>
      </c>
      <c r="AO20" s="62">
        <f t="shared" si="36"/>
        <v>264.58225136820056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2.5390309272031004</v>
      </c>
      <c r="AX20" s="23">
        <f t="shared" si="6"/>
        <v>2.5390309272031004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17.166666666666668</v>
      </c>
      <c r="AI21" s="14">
        <f>IF('Données projet'!$A$62&gt;35,AI20+AH21-AQ20,IF(A21&lt;'Données projet'!$A$62,$AF$205^A21,IF(A21='Données projet'!$A$62,'Données projet'!$B$62,AI20+AH21-AQ20)))</f>
        <v>145.83333333333334</v>
      </c>
      <c r="AJ21" s="14">
        <f>AI21*VLOOKUP('Données projet'!$B$10,Paramètres!$A$1:$I$89,3,0)*VLOOKUP('Données projet'!$B$10,Paramètres!$A$1:$I$89,5,0)</f>
        <v>87.208333333333343</v>
      </c>
      <c r="AK21" s="14">
        <f t="shared" si="35"/>
        <v>23.890712489742075</v>
      </c>
      <c r="AL21" s="22">
        <f t="shared" si="4"/>
        <v>193.49750480852299</v>
      </c>
      <c r="AM21" s="62">
        <f t="shared" si="5"/>
        <v>486.8308381418563</v>
      </c>
      <c r="AN21" s="62">
        <f ca="1">AVERAGE(OFFSET($AM$3,0,0,'Données projet'!$E$10+1,1))-AVERAGE(OFFSET($H$3,0,0,'Données projet'!$E$10+1,1))</f>
        <v>157.21429387424644</v>
      </c>
      <c r="AO21" s="62">
        <f t="shared" si="36"/>
        <v>264.58225136820056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1.7953659862676796</v>
      </c>
      <c r="AX21" s="23">
        <f t="shared" si="6"/>
        <v>1.7953659862676796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>
        <f>VLOOKUP(A22,'Données projet'!$A$61:$I$81,2,0)</f>
        <v>163</v>
      </c>
      <c r="AG22" s="13">
        <f>VLOOKUP(A22,'Données projet'!$A$61:$I$81,9,0)</f>
        <v>17.166666666666668</v>
      </c>
      <c r="AH22" s="13">
        <f t="array" ref="AH22">INDEX(AG:AG,MIN(IF(ISNUMBER(AG22:AG218),ROW(AG22:AG218),"")))</f>
        <v>17.166666666666668</v>
      </c>
      <c r="AI22" s="14">
        <f>IF('Données projet'!$A$62&gt;35,AI21+AH22-AQ21,IF(A22&lt;'Données projet'!$A$62,$AF$205^A22,IF(A22='Données projet'!$A$62,'Données projet'!$B$62,AI21+AH22-AQ21)))</f>
        <v>163</v>
      </c>
      <c r="AJ22" s="14">
        <f>AI22*VLOOKUP('Données projet'!$B$10,Paramètres!$A$1:$I$89,3,0)*VLOOKUP('Données projet'!$B$10,Paramètres!$A$1:$I$89,5,0)</f>
        <v>97.474000000000004</v>
      </c>
      <c r="AK22" s="14">
        <f t="shared" si="35"/>
        <v>26.359319748929014</v>
      </c>
      <c r="AL22" s="22">
        <f t="shared" si="4"/>
        <v>215.67636522938469</v>
      </c>
      <c r="AM22" s="62">
        <f t="shared" si="5"/>
        <v>509.00969856271797</v>
      </c>
      <c r="AN22" s="62">
        <f ca="1">AVERAGE(OFFSET($AM$3,0,0,'Données projet'!$E$10+1,1))-AVERAGE(OFFSET($H$3,0,0,'Données projet'!$E$10+1,1))</f>
        <v>157.21429387424644</v>
      </c>
      <c r="AO22" s="62">
        <f t="shared" si="36"/>
        <v>264.58225136820056</v>
      </c>
      <c r="AP22" s="16">
        <f>IF(ISNA(VLOOKUP(A22,'Données projet'!$A$61:$I$81,3,0)),0,VLOOKUP(A22,'Données projet'!$A$61:$I$81,3,0))</f>
        <v>2</v>
      </c>
      <c r="AQ22" s="16">
        <f>IF(ISNA(VLOOKUP(A22,'Données projet'!$A$61:$I$81,4,0)),0,VLOOKUP(A22,'Données projet'!$A$61:$I$81,4,0))</f>
        <v>40</v>
      </c>
      <c r="AR22" s="17">
        <f>IF(ISNA(VLOOKUP(A22,'Données projet'!$A$61:$I$81,5,0)),0%,VLOOKUP(A22,'Données projet'!$A$61:$I$81,5,0)*VLOOKUP('Données projet'!$B$10,Paramètres!$A$1:$I$89,7,0))</f>
        <v>0.13500000000000001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0.7</v>
      </c>
      <c r="AU22" s="23">
        <f>EXP(-LN(2)/35)*AU21+(1-EXP(-LN(2)/35))/(LN(2)/35)*AQ22*AR22*VLOOKUP('Données projet'!$B$10,Paramètres!$A$1:$I$89,3,0)*0.475*44/12</f>
        <v>4.2837419395053642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20.227613053384697</v>
      </c>
      <c r="AX22" s="23">
        <f t="shared" si="6"/>
        <v>24.511354992890062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16.5</v>
      </c>
      <c r="AI23" s="14">
        <f>IF('Données projet'!$A$62&gt;35,AI22+AH23-AQ22,IF(A23&lt;'Données projet'!$A$62,$AF$205^A23,IF(A23='Données projet'!$A$62,'Données projet'!$B$62,AI22+AH23-AQ22)))</f>
        <v>139.5</v>
      </c>
      <c r="AJ23" s="14">
        <f>AI23*VLOOKUP('Données projet'!$B$10,Paramètres!$A$1:$I$89,3,0)*VLOOKUP('Données projet'!$B$10,Paramètres!$A$1:$I$89,5,0)</f>
        <v>83.421000000000006</v>
      </c>
      <c r="AK23" s="14">
        <f t="shared" si="35"/>
        <v>22.97158706718762</v>
      </c>
      <c r="AL23" s="22">
        <f t="shared" si="4"/>
        <v>185.30042247535178</v>
      </c>
      <c r="AM23" s="62">
        <f t="shared" si="5"/>
        <v>478.63375580868512</v>
      </c>
      <c r="AN23" s="62">
        <f ca="1">AVERAGE(OFFSET($AM$3,0,0,'Données projet'!$E$10+1,1))-AVERAGE(OFFSET($H$3,0,0,'Données projet'!$E$10+1,1))</f>
        <v>157.21429387424644</v>
      </c>
      <c r="AO23" s="62">
        <f t="shared" si="36"/>
        <v>264.58225136820056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4.1997403728962519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14.303082357265847</v>
      </c>
      <c r="AX23" s="23">
        <f t="shared" si="6"/>
        <v>18.502822730162098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16.5</v>
      </c>
      <c r="AI24" s="14">
        <f>IF('Données projet'!$A$62&gt;35,AI23+AH24-AQ23,IF(A24&lt;'Données projet'!$A$62,$AF$205^A24,IF(A24='Données projet'!$A$62,'Données projet'!$B$62,AI23+AH24-AQ23)))</f>
        <v>156</v>
      </c>
      <c r="AJ24" s="14">
        <f>AI24*VLOOKUP('Données projet'!$B$10,Paramètres!$A$1:$I$89,3,0)*VLOOKUP('Données projet'!$B$10,Paramètres!$A$1:$I$89,5,0)</f>
        <v>93.288000000000011</v>
      </c>
      <c r="AK24" s="14">
        <f t="shared" si="35"/>
        <v>25.356547829040977</v>
      </c>
      <c r="AL24" s="22">
        <f t="shared" si="4"/>
        <v>206.63925413557971</v>
      </c>
      <c r="AM24" s="62">
        <f t="shared" si="5"/>
        <v>499.97258746891305</v>
      </c>
      <c r="AN24" s="62">
        <f ca="1">AVERAGE(OFFSET($AM$3,0,0,'Données projet'!$E$10+1,1))-AVERAGE(OFFSET($H$3,0,0,'Données projet'!$E$10+1,1))</f>
        <v>157.21429387424644</v>
      </c>
      <c r="AO24" s="62">
        <f t="shared" si="36"/>
        <v>264.58225136820056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4.1173860257724479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10.11380652669235</v>
      </c>
      <c r="AX24" s="23">
        <f t="shared" si="6"/>
        <v>14.231192552464798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16.5</v>
      </c>
      <c r="AI25" s="14">
        <f>IF('Données projet'!$A$62&gt;35,AI24+AH25-AQ24,IF(A25&lt;'Données projet'!$A$62,$AF$205^A25,IF(A25='Données projet'!$A$62,'Données projet'!$B$62,AI24+AH25-AQ24)))</f>
        <v>172.5</v>
      </c>
      <c r="AJ25" s="14">
        <f>AI25*VLOOKUP('Données projet'!$B$10,Paramètres!$A$1:$I$89,3,0)*VLOOKUP('Données projet'!$B$10,Paramètres!$A$1:$I$89,5,0)</f>
        <v>103.15500000000002</v>
      </c>
      <c r="AK25" s="14">
        <f t="shared" si="35"/>
        <v>27.71226857071613</v>
      </c>
      <c r="AL25" s="22">
        <f t="shared" si="4"/>
        <v>227.92715942733059</v>
      </c>
      <c r="AM25" s="62">
        <f t="shared" si="5"/>
        <v>521.26049276066396</v>
      </c>
      <c r="AN25" s="62">
        <f ca="1">AVERAGE(OFFSET($AM$3,0,0,'Données projet'!$E$10+1,1))-AVERAGE(OFFSET($H$3,0,0,'Données projet'!$E$10+1,1))</f>
        <v>157.21429387424644</v>
      </c>
      <c r="AO25" s="62">
        <f t="shared" si="36"/>
        <v>264.58225136820056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4.03664659716455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7.1515411786329244</v>
      </c>
      <c r="AX25" s="23">
        <f t="shared" si="6"/>
        <v>11.188187775797473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16.5</v>
      </c>
      <c r="AI26" s="14">
        <f>IF('Données projet'!$A$62&gt;35,AI25+AH26-AQ25,IF(A26&lt;'Données projet'!$A$62,$AF$205^A26,IF(A26='Données projet'!$A$62,'Données projet'!$B$62,AI25+AH26-AQ25)))</f>
        <v>189</v>
      </c>
      <c r="AJ26" s="14">
        <f>AI26*VLOOKUP('Données projet'!$B$10,Paramètres!$A$1:$I$89,3,0)*VLOOKUP('Données projet'!$B$10,Paramètres!$A$1:$I$89,5,0)</f>
        <v>113.02200000000001</v>
      </c>
      <c r="AK26" s="14">
        <f t="shared" si="35"/>
        <v>30.041864379091852</v>
      </c>
      <c r="AL26" s="22">
        <f t="shared" si="4"/>
        <v>249.16956379358496</v>
      </c>
      <c r="AM26" s="62">
        <f t="shared" si="5"/>
        <v>542.50289712691824</v>
      </c>
      <c r="AN26" s="62">
        <f ca="1">AVERAGE(OFFSET($AM$3,0,0,'Données projet'!$E$10+1,1))-AVERAGE(OFFSET($H$3,0,0,'Données projet'!$E$10+1,1))</f>
        <v>157.21429387424644</v>
      </c>
      <c r="AO26" s="62">
        <f t="shared" si="36"/>
        <v>264.58225136820056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3.9574904195054641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5.0569032633461761</v>
      </c>
      <c r="AX26" s="23">
        <f t="shared" si="6"/>
        <v>9.0143936828516402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16.5</v>
      </c>
      <c r="AI27" s="14">
        <f>IF('Données projet'!$A$62&gt;35,AI26+AH27-AQ26,IF(A27&lt;'Données projet'!$A$62,$AF$205^A27,IF(A27='Données projet'!$A$62,'Données projet'!$B$62,AI26+AH27-AQ26)))</f>
        <v>205.5</v>
      </c>
      <c r="AJ27" s="14">
        <f>AI27*VLOOKUP('Données projet'!$B$10,Paramètres!$A$1:$I$89,3,0)*VLOOKUP('Données projet'!$B$10,Paramètres!$A$1:$I$89,5,0)</f>
        <v>122.88900000000001</v>
      </c>
      <c r="AK27" s="14">
        <f t="shared" si="35"/>
        <v>32.347875332170432</v>
      </c>
      <c r="AL27" s="22">
        <f t="shared" si="4"/>
        <v>270.37089120353011</v>
      </c>
      <c r="AM27" s="62">
        <f t="shared" si="5"/>
        <v>563.70422453686342</v>
      </c>
      <c r="AN27" s="62">
        <f ca="1">AVERAGE(OFFSET($AM$3,0,0,'Données projet'!$E$10+1,1))-AVERAGE(OFFSET($H$3,0,0,'Données projet'!$E$10+1,1))</f>
        <v>157.21429387424644</v>
      </c>
      <c r="AO27" s="62">
        <f t="shared" si="36"/>
        <v>264.58225136820056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3.8798864462097717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3.5757705893164631</v>
      </c>
      <c r="AX27" s="23">
        <f t="shared" si="6"/>
        <v>7.4556570355262348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222</v>
      </c>
      <c r="AG28" s="13">
        <f>VLOOKUP(A28,'Données projet'!$A$61:$I$81,9,0)</f>
        <v>16.5</v>
      </c>
      <c r="AH28" s="13">
        <f t="array" ref="AH28">INDEX(AG:AG,MIN(IF(ISNUMBER(AG28:AG224),ROW(AG28:AG224),"")))</f>
        <v>16.5</v>
      </c>
      <c r="AI28" s="14">
        <f>IF('Données projet'!$A$62&gt;35,AI27+AH28-AQ27,IF(A28&lt;'Données projet'!$A$62,$AF$205^A28,IF(A28='Données projet'!$A$62,'Données projet'!$B$62,AI27+AH28-AQ27)))</f>
        <v>222</v>
      </c>
      <c r="AJ28" s="14">
        <f>AI28*VLOOKUP('Données projet'!$B$10,Paramètres!$A$1:$I$89,3,0)*VLOOKUP('Données projet'!$B$10,Paramètres!$A$1:$I$89,5,0)</f>
        <v>132.756</v>
      </c>
      <c r="AK28" s="14">
        <f t="shared" si="35"/>
        <v>34.632410397339967</v>
      </c>
      <c r="AL28" s="22">
        <f t="shared" si="4"/>
        <v>291.53481477536712</v>
      </c>
      <c r="AM28" s="62">
        <f t="shared" si="5"/>
        <v>584.86814810870044</v>
      </c>
      <c r="AN28" s="62">
        <f ca="1">AVERAGE(OFFSET($AM$3,0,0,'Données projet'!$E$10+1,1))-AVERAGE(OFFSET($H$3,0,0,'Données projet'!$E$10+1,1))</f>
        <v>157.21429387424644</v>
      </c>
      <c r="AO28" s="62">
        <f t="shared" si="36"/>
        <v>264.58225136820056</v>
      </c>
      <c r="AP28" s="16">
        <f>IF(ISNA(VLOOKUP(A28,'Données projet'!$A$61:$I$81,3,0)),0,VLOOKUP(A28,'Données projet'!$A$61:$I$81,3,0))</f>
        <v>3</v>
      </c>
      <c r="AQ28" s="16">
        <f>IF(ISNA(VLOOKUP(A28,'Données projet'!$A$61:$I$81,4,0)),0,VLOOKUP(A28,'Données projet'!$A$61:$I$81,4,0))</f>
        <v>54</v>
      </c>
      <c r="AR28" s="17">
        <f>IF(ISNA(VLOOKUP(A28,'Données projet'!$A$61:$I$81,5,0)),0%,VLOOKUP(A28,'Données projet'!$A$61:$I$81,5,0)*VLOOKUP('Données projet'!$B$10,Paramètres!$A$1:$I$89,7,0))</f>
        <v>0.18000000000000002</v>
      </c>
      <c r="AS28" s="17">
        <f>IF(ISNA(VLOOKUP(A28,'Données projet'!$A$61:$I$81,6,0)),0%,VLOOKUP(A28,'Données projet'!$A$61:$I$81,6,0)*VLOOKUP('Données projet'!$B$10,Paramètres!$A$1:$I$89,7,0))</f>
        <v>9.0000000000000011E-2</v>
      </c>
      <c r="AT28" s="17">
        <f>IF(ISNA(VLOOKUP(A28,'Données projet'!$A$61:$I$81,7,0)),0%,VLOOKUP(A28,'Données projet'!$A$61:$I$81,7,0))</f>
        <v>0.4</v>
      </c>
      <c r="AU28" s="23">
        <f>EXP(-LN(2)/35)*AU27+(1-EXP(-LN(2)/35))/(LN(2)/35)*AQ28*AR28*VLOOKUP('Données projet'!$B$10,Paramètres!$A$1:$I$89,3,0)*0.475*44/12</f>
        <v>11.514539730606312</v>
      </c>
      <c r="AV28" s="23">
        <f>EXP(-LN(2)/25)*AV27+(1-EXP(-LN(2)/25))/(LN(2)/25)*Calculateur!AQ28*Calculateur!AS28*VLOOKUP('Données projet'!$B$10,Paramètres!$A$1:$I$89,3,0)*0.475*44/12</f>
        <v>3.8401876937302988</v>
      </c>
      <c r="AW28" s="23">
        <f>EXP(-LN(2)/2)*AW27+(1-EXP(-LN(2)/2))/(LN(2)/2)*AQ28*AT28*VLOOKUP('Données projet'!$B$10,Paramètres!$A$1:$I$89,3,0)*0.475*44/12</f>
        <v>17.153269772362943</v>
      </c>
      <c r="AX28" s="23">
        <f t="shared" si="6"/>
        <v>32.507997196699556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13.076923076923077</v>
      </c>
      <c r="AI29" s="14">
        <f>IF('Données projet'!$A$62&gt;35,AI28+AH29-AQ28,IF(A29&lt;'Données projet'!$A$62,$AF$205^A29,IF(A29='Données projet'!$A$62,'Données projet'!$B$62,AI28+AH29-AQ28)))</f>
        <v>181.07692307692307</v>
      </c>
      <c r="AJ29" s="14">
        <f>AI29*VLOOKUP('Données projet'!$B$10,Paramètres!$A$1:$I$89,3,0)*VLOOKUP('Données projet'!$B$10,Paramètres!$A$1:$I$89,5,0)</f>
        <v>108.28400000000001</v>
      </c>
      <c r="AK29" s="14">
        <f t="shared" si="35"/>
        <v>28.926312364754224</v>
      </c>
      <c r="AL29" s="22">
        <f t="shared" si="4"/>
        <v>238.97462736861362</v>
      </c>
      <c r="AM29" s="62">
        <f t="shared" si="5"/>
        <v>532.30796070194697</v>
      </c>
      <c r="AN29" s="62">
        <f ca="1">AVERAGE(OFFSET($AM$3,0,0,'Données projet'!$E$10+1,1))-AVERAGE(OFFSET($H$3,0,0,'Données projet'!$E$10+1,1))</f>
        <v>157.21429387424644</v>
      </c>
      <c r="AO29" s="62">
        <f t="shared" si="36"/>
        <v>264.58225136820056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11.288746629664876</v>
      </c>
      <c r="AV29" s="23">
        <f>EXP(-LN(2)/25)*AV28+(1-EXP(-LN(2)/25))/(LN(2)/25)*Calculateur!AQ29*Calculateur!AS29*VLOOKUP('Données projet'!$B$10,Paramètres!$A$1:$I$89,3,0)*0.475*44/12</f>
        <v>3.7351775592985499</v>
      </c>
      <c r="AW29" s="23">
        <f>EXP(-LN(2)/2)*AW28+(1-EXP(-LN(2)/2))/(LN(2)/2)*AQ29*AT29*VLOOKUP('Données projet'!$B$10,Paramètres!$A$1:$I$89,3,0)*0.475*44/12</f>
        <v>12.129193375560064</v>
      </c>
      <c r="AX29" s="23">
        <f t="shared" si="6"/>
        <v>27.153117564523491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13.076923076923077</v>
      </c>
      <c r="AI30" s="14">
        <f>IF('Données projet'!$A$62&gt;35,AI29+AH30-AQ29,IF(A30&lt;'Données projet'!$A$62,$AF$205^A30,IF(A30='Données projet'!$A$62,'Données projet'!$B$62,AI29+AH30-AQ29)))</f>
        <v>194.15384615384613</v>
      </c>
      <c r="AJ30" s="14">
        <f>AI30*VLOOKUP('Données projet'!$B$10,Paramètres!$A$1:$I$89,3,0)*VLOOKUP('Données projet'!$B$10,Paramètres!$A$1:$I$89,5,0)</f>
        <v>116.104</v>
      </c>
      <c r="AK30" s="14">
        <f t="shared" si="35"/>
        <v>30.764583163643966</v>
      </c>
      <c r="AL30" s="22">
        <f t="shared" si="4"/>
        <v>255.79611567667988</v>
      </c>
      <c r="AM30" s="62">
        <f t="shared" si="5"/>
        <v>549.12944901001322</v>
      </c>
      <c r="AN30" s="62">
        <f ca="1">AVERAGE(OFFSET($AM$3,0,0,'Données projet'!$E$10+1,1))-AVERAGE(OFFSET($H$3,0,0,'Données projet'!$E$10+1,1))</f>
        <v>157.21429387424644</v>
      </c>
      <c r="AO30" s="62">
        <f t="shared" si="36"/>
        <v>264.58225136820056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11.067381193712711</v>
      </c>
      <c r="AV30" s="23">
        <f>EXP(-LN(2)/25)*AV29+(1-EXP(-LN(2)/25))/(LN(2)/25)*Calculateur!AQ30*Calculateur!AS30*VLOOKUP('Données projet'!$B$10,Paramètres!$A$1:$I$89,3,0)*0.475*44/12</f>
        <v>3.6330389325150803</v>
      </c>
      <c r="AW30" s="23">
        <f>EXP(-LN(2)/2)*AW29+(1-EXP(-LN(2)/2))/(LN(2)/2)*AQ30*AT30*VLOOKUP('Données projet'!$B$10,Paramètres!$A$1:$I$89,3,0)*0.475*44/12</f>
        <v>8.5766348861814716</v>
      </c>
      <c r="AX30" s="23">
        <f t="shared" si="6"/>
        <v>23.277055012409264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13.076923076923077</v>
      </c>
      <c r="AI31" s="14">
        <f>IF('Données projet'!$A$62&gt;35,AI30+AH31-AQ30,IF(A31&lt;'Données projet'!$A$62,$AF$205^A31,IF(A31='Données projet'!$A$62,'Données projet'!$B$62,AI30+AH31-AQ30)))</f>
        <v>207.2307692307692</v>
      </c>
      <c r="AJ31" s="14">
        <f>AI31*VLOOKUP('Données projet'!$B$10,Paramètres!$A$1:$I$89,3,0)*VLOOKUP('Données projet'!$B$10,Paramètres!$A$1:$I$89,5,0)</f>
        <v>123.92399999999998</v>
      </c>
      <c r="AK31" s="14">
        <f t="shared" si="35"/>
        <v>32.588486920489281</v>
      </c>
      <c r="AL31" s="22">
        <f t="shared" si="4"/>
        <v>272.59258138651876</v>
      </c>
      <c r="AM31" s="62">
        <f t="shared" si="5"/>
        <v>565.92591471985202</v>
      </c>
      <c r="AN31" s="62">
        <f ca="1">AVERAGE(OFFSET($AM$3,0,0,'Données projet'!$E$10+1,1))-AVERAGE(OFFSET($H$3,0,0,'Données projet'!$E$10+1,1))</f>
        <v>157.21429387424644</v>
      </c>
      <c r="AO31" s="62">
        <f t="shared" si="36"/>
        <v>264.58225136820056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10.850356598939982</v>
      </c>
      <c r="AV31" s="23">
        <f>EXP(-LN(2)/25)*AV30+(1-EXP(-LN(2)/25))/(LN(2)/25)*Calculateur!AQ31*Calculateur!AS31*VLOOKUP('Données projet'!$B$10,Paramètres!$A$1:$I$89,3,0)*0.475*44/12</f>
        <v>3.5336932918522415</v>
      </c>
      <c r="AW31" s="23">
        <f>EXP(-LN(2)/2)*AW30+(1-EXP(-LN(2)/2))/(LN(2)/2)*AQ31*AT31*VLOOKUP('Données projet'!$B$10,Paramètres!$A$1:$I$89,3,0)*0.475*44/12</f>
        <v>6.0645966877800319</v>
      </c>
      <c r="AX31" s="23">
        <f t="shared" si="6"/>
        <v>20.448646578572255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13.076923076923077</v>
      </c>
      <c r="AI32" s="14">
        <f>IF('Données projet'!$A$62&gt;35,AI31+AH32-AQ31,IF(A32&lt;'Données projet'!$A$62,$AF$205^A32,IF(A32='Données projet'!$A$62,'Données projet'!$B$62,AI31+AH32-AQ31)))</f>
        <v>220.30769230769226</v>
      </c>
      <c r="AJ32" s="14">
        <f>AI32*VLOOKUP('Données projet'!$B$10,Paramètres!$A$1:$I$89,3,0)*VLOOKUP('Données projet'!$B$10,Paramètres!$A$1:$I$89,5,0)</f>
        <v>131.744</v>
      </c>
      <c r="AK32" s="14">
        <f t="shared" si="35"/>
        <v>34.399033444503608</v>
      </c>
      <c r="AL32" s="22">
        <f t="shared" si="4"/>
        <v>289.36578324917713</v>
      </c>
      <c r="AM32" s="62">
        <f t="shared" si="5"/>
        <v>582.69911658251044</v>
      </c>
      <c r="AN32" s="62">
        <f ca="1">AVERAGE(OFFSET($AM$3,0,0,'Données projet'!$E$10+1,1))-AVERAGE(OFFSET($H$3,0,0,'Données projet'!$E$10+1,1))</f>
        <v>157.21429387424644</v>
      </c>
      <c r="AO32" s="62">
        <f t="shared" si="36"/>
        <v>264.58225136820056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10.637587724098815</v>
      </c>
      <c r="AV32" s="23">
        <f>EXP(-LN(2)/25)*AV31+(1-EXP(-LN(2)/25))/(LN(2)/25)*Calculateur!AQ32*Calculateur!AS32*VLOOKUP('Données projet'!$B$10,Paramètres!$A$1:$I$89,3,0)*0.475*44/12</f>
        <v>3.437064262957688</v>
      </c>
      <c r="AW32" s="23">
        <f>EXP(-LN(2)/2)*AW31+(1-EXP(-LN(2)/2))/(LN(2)/2)*AQ32*AT32*VLOOKUP('Données projet'!$B$10,Paramètres!$A$1:$I$89,3,0)*0.475*44/12</f>
        <v>4.2883174430907358</v>
      </c>
      <c r="AX32" s="23">
        <f t="shared" si="6"/>
        <v>18.362969430147238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13.076923076923077</v>
      </c>
      <c r="AI33" s="14">
        <f>IF('Données projet'!$A$62&gt;35,AI32+AH33-AQ32,IF(A33&lt;'Données projet'!$A$62,$AF$205^A33,IF(A33='Données projet'!$A$62,'Données projet'!$B$62,AI32+AH33-AQ32)))</f>
        <v>233.38461538461533</v>
      </c>
      <c r="AJ33" s="14">
        <f>AI33*VLOOKUP('Données projet'!$B$10,Paramètres!$A$1:$I$89,3,0)*VLOOKUP('Données projet'!$B$10,Paramètres!$A$1:$I$89,5,0)</f>
        <v>139.56399999999996</v>
      </c>
      <c r="AK33" s="14">
        <f t="shared" si="35"/>
        <v>36.197105892845229</v>
      </c>
      <c r="AL33" s="22">
        <f t="shared" si="4"/>
        <v>306.1172594300387</v>
      </c>
      <c r="AM33" s="62">
        <f t="shared" si="5"/>
        <v>599.45059276337201</v>
      </c>
      <c r="AN33" s="62">
        <f ca="1">AVERAGE(OFFSET($AM$3,0,0,'Données projet'!$E$10+1,1))-AVERAGE(OFFSET($H$3,0,0,'Données projet'!$E$10+1,1))</f>
        <v>157.21429387424644</v>
      </c>
      <c r="AO33" s="62">
        <f t="shared" si="36"/>
        <v>264.58225136820056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10.428991117117084</v>
      </c>
      <c r="AV33" s="23">
        <f>EXP(-LN(2)/25)*AV32+(1-EXP(-LN(2)/25))/(LN(2)/25)*Calculateur!AQ33*Calculateur!AS33*VLOOKUP('Données projet'!$B$10,Paramètres!$A$1:$I$89,3,0)*0.475*44/12</f>
        <v>3.343077559939756</v>
      </c>
      <c r="AW33" s="23">
        <f>EXP(-LN(2)/2)*AW32+(1-EXP(-LN(2)/2))/(LN(2)/2)*AQ33*AT33*VLOOKUP('Données projet'!$B$10,Paramètres!$A$1:$I$89,3,0)*0.475*44/12</f>
        <v>3.032298343890016</v>
      </c>
      <c r="AX33" s="23">
        <f t="shared" si="6"/>
        <v>16.804367020946856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13.076923076923077</v>
      </c>
      <c r="AI34" s="14">
        <f>IF('Données projet'!$A$62&gt;35,AI33+AH34-AQ33,IF(A34&lt;'Données projet'!$A$62,$AF$205^A34,IF(A34='Données projet'!$A$62,'Données projet'!$B$62,AI33+AH34-AQ33)))</f>
        <v>246.4615384615384</v>
      </c>
      <c r="AJ34" s="14">
        <f>AI34*VLOOKUP('Données projet'!$B$10,Paramètres!$A$1:$I$89,3,0)*VLOOKUP('Données projet'!$B$10,Paramètres!$A$1:$I$89,5,0)</f>
        <v>147.38399999999999</v>
      </c>
      <c r="AK34" s="14">
        <f t="shared" si="35"/>
        <v>37.983482863402315</v>
      </c>
      <c r="AL34" s="22">
        <f t="shared" si="4"/>
        <v>322.84836598709234</v>
      </c>
      <c r="AM34" s="62">
        <f t="shared" si="5"/>
        <v>616.18169932042565</v>
      </c>
      <c r="AN34" s="62">
        <f ca="1">AVERAGE(OFFSET($AM$3,0,0,'Données projet'!$E$10+1,1))-AVERAGE(OFFSET($H$3,0,0,'Données projet'!$E$10+1,1))</f>
        <v>157.21429387424644</v>
      </c>
      <c r="AO34" s="62">
        <f t="shared" si="36"/>
        <v>264.58225136820056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10.224484962366898</v>
      </c>
      <c r="AV34" s="23">
        <f>EXP(-LN(2)/25)*AV33+(1-EXP(-LN(2)/25))/(LN(2)/25)*Calculateur!AQ34*Calculateur!AS34*VLOOKUP('Données projet'!$B$10,Paramètres!$A$1:$I$89,3,0)*0.475*44/12</f>
        <v>3.2516609282583953</v>
      </c>
      <c r="AW34" s="23">
        <f>EXP(-LN(2)/2)*AW33+(1-EXP(-LN(2)/2))/(LN(2)/2)*AQ34*AT34*VLOOKUP('Données projet'!$B$10,Paramètres!$A$1:$I$89,3,0)*0.475*44/12</f>
        <v>2.1441587215453679</v>
      </c>
      <c r="AX34" s="23">
        <f t="shared" si="6"/>
        <v>15.620304612170662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13.076923076923077</v>
      </c>
      <c r="AI35" s="14">
        <f>IF('Données projet'!$A$62&gt;35,AI34+AH35-AQ34,IF(A35&lt;'Données projet'!$A$62,$AF$205^A35,IF(A35='Données projet'!$A$62,'Données projet'!$B$62,AI34+AH35-AQ34)))</f>
        <v>259.53846153846149</v>
      </c>
      <c r="AJ35" s="14">
        <f>AI35*VLOOKUP('Données projet'!$B$10,Paramètres!$A$1:$I$89,3,0)*VLOOKUP('Données projet'!$B$10,Paramètres!$A$1:$I$89,5,0)</f>
        <v>155.20399999999998</v>
      </c>
      <c r="AK35" s="14">
        <f t="shared" si="35"/>
        <v>39.758855664869223</v>
      </c>
      <c r="AL35" s="22">
        <f t="shared" si="4"/>
        <v>339.56030694964716</v>
      </c>
      <c r="AM35" s="62">
        <f t="shared" si="5"/>
        <v>632.89364028298041</v>
      </c>
      <c r="AN35" s="62">
        <f ca="1">AVERAGE(OFFSET($AM$3,0,0,'Données projet'!$E$10+1,1))-AVERAGE(OFFSET($H$3,0,0,'Données projet'!$E$10+1,1))</f>
        <v>157.21429387424644</v>
      </c>
      <c r="AO35" s="62">
        <f t="shared" si="36"/>
        <v>264.58225136820056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10.023989048574924</v>
      </c>
      <c r="AV35" s="23">
        <f>EXP(-LN(2)/25)*AV34+(1-EXP(-LN(2)/25))/(LN(2)/25)*Calculateur!AQ35*Calculateur!AS35*VLOOKUP('Données projet'!$B$10,Paramètres!$A$1:$I$89,3,0)*0.475*44/12</f>
        <v>3.1627440891777532</v>
      </c>
      <c r="AW35" s="23">
        <f>EXP(-LN(2)/2)*AW34+(1-EXP(-LN(2)/2))/(LN(2)/2)*AQ35*AT35*VLOOKUP('Données projet'!$B$10,Paramètres!$A$1:$I$89,3,0)*0.475*44/12</f>
        <v>1.516149171945008</v>
      </c>
      <c r="AX35" s="23">
        <f t="shared" si="6"/>
        <v>14.702882309697685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13.076923076923077</v>
      </c>
      <c r="AI36" s="14">
        <f>IF('Données projet'!$A$62&gt;35,AI35+AH36-AQ35,IF(A36&lt;'Données projet'!$A$62,$AF$205^A36,IF(A36='Données projet'!$A$62,'Données projet'!$B$62,AI35+AH36-AQ35)))</f>
        <v>272.61538461538458</v>
      </c>
      <c r="AJ36" s="14">
        <f>AI36*VLOOKUP('Données projet'!$B$10,Paramètres!$A$1:$I$89,3,0)*VLOOKUP('Données projet'!$B$10,Paramètres!$A$1:$I$89,5,0)</f>
        <v>163.024</v>
      </c>
      <c r="AK36" s="14">
        <f t="shared" si="35"/>
        <v>41.523842007224737</v>
      </c>
      <c r="AL36" s="22">
        <f t="shared" si="4"/>
        <v>356.25415816258305</v>
      </c>
      <c r="AM36" s="62">
        <f t="shared" si="5"/>
        <v>649.58749149591631</v>
      </c>
      <c r="AN36" s="62">
        <f ca="1">AVERAGE(OFFSET($AM$3,0,0,'Données projet'!$E$10+1,1))-AVERAGE(OFFSET($H$3,0,0,'Données projet'!$E$10+1,1))</f>
        <v>157.21429387424644</v>
      </c>
      <c r="AO36" s="62">
        <f t="shared" si="36"/>
        <v>264.58225136820056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9.8274247373619783</v>
      </c>
      <c r="AV36" s="23">
        <f>EXP(-LN(2)/25)*AV35+(1-EXP(-LN(2)/25))/(LN(2)/25)*Calculateur!AQ36*Calculateur!AS36*VLOOKUP('Données projet'!$B$10,Paramètres!$A$1:$I$89,3,0)*0.475*44/12</f>
        <v>3.0762586857377046</v>
      </c>
      <c r="AW36" s="23">
        <f>EXP(-LN(2)/2)*AW35+(1-EXP(-LN(2)/2))/(LN(2)/2)*AQ36*AT36*VLOOKUP('Données projet'!$B$10,Paramètres!$A$1:$I$89,3,0)*0.475*44/12</f>
        <v>1.072079360772684</v>
      </c>
      <c r="AX36" s="23">
        <f t="shared" si="6"/>
        <v>13.975762783872366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13.076923076923077</v>
      </c>
      <c r="AI37" s="14">
        <f>IF('Données projet'!$A$62&gt;35,AI36+AH37-AQ36,IF(A37&lt;'Données projet'!$A$62,$AF$205^A37,IF(A37='Données projet'!$A$62,'Données projet'!$B$62,AI36+AH37-AQ36)))</f>
        <v>285.69230769230768</v>
      </c>
      <c r="AJ37" s="14">
        <f>AI37*VLOOKUP('Données projet'!$B$10,Paramètres!$A$1:$I$89,3,0)*VLOOKUP('Données projet'!$B$10,Paramètres!$A$1:$I$89,5,0)</f>
        <v>170.84400000000002</v>
      </c>
      <c r="AK37" s="14">
        <f t="shared" si="35"/>
        <v>43.278996990911509</v>
      </c>
      <c r="AL37" s="22">
        <f t="shared" si="4"/>
        <v>372.93088642583757</v>
      </c>
      <c r="AM37" s="62">
        <f t="shared" si="5"/>
        <v>666.26421975917083</v>
      </c>
      <c r="AN37" s="62">
        <f ca="1">AVERAGE(OFFSET($AM$3,0,0,'Données projet'!$E$10+1,1))-AVERAGE(OFFSET($H$3,0,0,'Données projet'!$E$10+1,1))</f>
        <v>157.21429387424644</v>
      </c>
      <c r="AO37" s="62">
        <f t="shared" si="36"/>
        <v>264.58225136820056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9.6347149323995271</v>
      </c>
      <c r="AV37" s="23">
        <f>EXP(-LN(2)/25)*AV36+(1-EXP(-LN(2)/25))/(LN(2)/25)*Calculateur!AQ37*Calculateur!AS37*VLOOKUP('Données projet'!$B$10,Paramètres!$A$1:$I$89,3,0)*0.475*44/12</f>
        <v>2.9921382302027935</v>
      </c>
      <c r="AW37" s="23">
        <f>EXP(-LN(2)/2)*AW36+(1-EXP(-LN(2)/2))/(LN(2)/2)*AQ37*AT37*VLOOKUP('Données projet'!$B$10,Paramètres!$A$1:$I$89,3,0)*0.475*44/12</f>
        <v>0.75807458597250399</v>
      </c>
      <c r="AX37" s="23">
        <f t="shared" si="6"/>
        <v>13.384927748574825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13.076923076923077</v>
      </c>
      <c r="AI38" s="14">
        <f>IF('Données projet'!$A$62&gt;35,AI37+AH38-AQ37,IF(A38&lt;'Données projet'!$A$62,$AF$205^A38,IF(A38='Données projet'!$A$62,'Données projet'!$B$62,AI37+AH38-AQ37)))</f>
        <v>298.76923076923077</v>
      </c>
      <c r="AJ38" s="14">
        <f>AI38*VLOOKUP('Données projet'!$B$10,Paramètres!$A$1:$I$89,3,0)*VLOOKUP('Données projet'!$B$10,Paramètres!$A$1:$I$89,5,0)</f>
        <v>178.66400000000002</v>
      </c>
      <c r="AK38" s="14">
        <f t="shared" si="35"/>
        <v>45.024822027102132</v>
      </c>
      <c r="AL38" s="22">
        <f t="shared" si="4"/>
        <v>389.59136503053628</v>
      </c>
      <c r="AM38" s="62">
        <f t="shared" si="5"/>
        <v>682.92469836386954</v>
      </c>
      <c r="AN38" s="62">
        <f ca="1">AVERAGE(OFFSET($AM$3,0,0,'Données projet'!$E$10+1,1))-AVERAGE(OFFSET($H$3,0,0,'Données projet'!$E$10+1,1))</f>
        <v>157.21429387424644</v>
      </c>
      <c r="AO38" s="62">
        <f t="shared" si="36"/>
        <v>264.58225136820056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9.4457840491710154</v>
      </c>
      <c r="AV38" s="23">
        <f>EXP(-LN(2)/25)*AV37+(1-EXP(-LN(2)/25))/(LN(2)/25)*Calculateur!AQ38*Calculateur!AS38*VLOOKUP('Données projet'!$B$10,Paramètres!$A$1:$I$89,3,0)*0.475*44/12</f>
        <v>2.9103180529481874</v>
      </c>
      <c r="AW38" s="23">
        <f>EXP(-LN(2)/2)*AW37+(1-EXP(-LN(2)/2))/(LN(2)/2)*AQ38*AT38*VLOOKUP('Données projet'!$B$10,Paramètres!$A$1:$I$89,3,0)*0.475*44/12</f>
        <v>0.53603968038634198</v>
      </c>
      <c r="AX38" s="23">
        <f t="shared" si="6"/>
        <v>12.892141782505544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13.076923076923077</v>
      </c>
      <c r="AI39" s="14">
        <f>IF('Données projet'!$A$62&gt;35,AI38+AH39-AQ38,IF(A39&lt;'Données projet'!$A$62,$AF$205^A39,IF(A39='Données projet'!$A$62,'Données projet'!$B$62,AI38+AH39-AQ38)))</f>
        <v>311.84615384615387</v>
      </c>
      <c r="AJ39" s="14">
        <f>AI39*VLOOKUP('Données projet'!$B$10,Paramètres!$A$1:$I$89,3,0)*VLOOKUP('Données projet'!$B$10,Paramètres!$A$1:$I$89,5,0)</f>
        <v>186.48400000000001</v>
      </c>
      <c r="AK39" s="14">
        <f t="shared" si="35"/>
        <v>46.761772152151593</v>
      </c>
      <c r="AL39" s="22">
        <f t="shared" si="4"/>
        <v>406.23638649833066</v>
      </c>
      <c r="AM39" s="62">
        <f t="shared" si="5"/>
        <v>699.56971983166397</v>
      </c>
      <c r="AN39" s="62">
        <f ca="1">AVERAGE(OFFSET($AM$3,0,0,'Données projet'!$E$10+1,1))-AVERAGE(OFFSET($H$3,0,0,'Données projet'!$E$10+1,1))</f>
        <v>157.21429387424644</v>
      </c>
      <c r="AO39" s="62">
        <f t="shared" si="36"/>
        <v>264.58225136820056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9.2605579853261553</v>
      </c>
      <c r="AV39" s="23">
        <f>EXP(-LN(2)/25)*AV38+(1-EXP(-LN(2)/25))/(LN(2)/25)*Calculateur!AQ39*Calculateur!AS39*VLOOKUP('Données projet'!$B$10,Paramètres!$A$1:$I$89,3,0)*0.475*44/12</f>
        <v>2.8307352527433443</v>
      </c>
      <c r="AW39" s="23">
        <f>EXP(-LN(2)/2)*AW38+(1-EXP(-LN(2)/2))/(LN(2)/2)*AQ39*AT39*VLOOKUP('Données projet'!$B$10,Paramètres!$A$1:$I$89,3,0)*0.475*44/12</f>
        <v>0.37903729298625199</v>
      </c>
      <c r="AX39" s="23">
        <f t="shared" si="6"/>
        <v>12.470330531055753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13.076923076923077</v>
      </c>
      <c r="AI40" s="14">
        <f>IF('Données projet'!$A$62&gt;35,AI39+AH40-AQ39,IF(A40&lt;'Données projet'!$A$62,$AF$205^A40,IF(A40='Données projet'!$A$62,'Données projet'!$B$62,AI39+AH40-AQ39)))</f>
        <v>324.92307692307696</v>
      </c>
      <c r="AJ40" s="14">
        <f>AI40*VLOOKUP('Données projet'!$B$10,Paramètres!$A$1:$I$89,3,0)*VLOOKUP('Données projet'!$B$10,Paramètres!$A$1:$I$89,5,0)</f>
        <v>194.30400000000003</v>
      </c>
      <c r="AK40" s="14">
        <f t="shared" si="35"/>
        <v>48.490262080577637</v>
      </c>
      <c r="AL40" s="22">
        <f t="shared" si="4"/>
        <v>422.8666731236728</v>
      </c>
      <c r="AM40" s="62">
        <f t="shared" si="5"/>
        <v>716.20000645700611</v>
      </c>
      <c r="AN40" s="62">
        <f ca="1">AVERAGE(OFFSET($AM$3,0,0,'Données projet'!$E$10+1,1))-AVERAGE(OFFSET($H$3,0,0,'Données projet'!$E$10+1,1))</f>
        <v>157.21429387424644</v>
      </c>
      <c r="AO40" s="62">
        <f t="shared" si="36"/>
        <v>264.58225136820056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9.0789640916165482</v>
      </c>
      <c r="AV40" s="23">
        <f>EXP(-LN(2)/25)*AV39+(1-EXP(-LN(2)/25))/(LN(2)/25)*Calculateur!AQ40*Calculateur!AS40*VLOOKUP('Données projet'!$B$10,Paramètres!$A$1:$I$89,3,0)*0.475*44/12</f>
        <v>2.7533286483951804</v>
      </c>
      <c r="AW40" s="23">
        <f>EXP(-LN(2)/2)*AW39+(1-EXP(-LN(2)/2))/(LN(2)/2)*AQ40*AT40*VLOOKUP('Données projet'!$B$10,Paramètres!$A$1:$I$89,3,0)*0.475*44/12</f>
        <v>0.26801984019317099</v>
      </c>
      <c r="AX40" s="23">
        <f t="shared" si="6"/>
        <v>12.1003125802049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>
        <f>VLOOKUP(A41,'Données projet'!$A$61:$I$81,2,0)</f>
        <v>338</v>
      </c>
      <c r="AG41" s="13">
        <f>VLOOKUP(A41,'Données projet'!$A$61:$I$81,9,0)</f>
        <v>13.076923076923077</v>
      </c>
      <c r="AH41" s="13">
        <f t="array" ref="AH41">INDEX(AG:AG,MIN(IF(ISNUMBER(AG41:AG237),ROW(AG41:AG237),"")))</f>
        <v>13.076923076923077</v>
      </c>
      <c r="AI41" s="14">
        <f>IF('Données projet'!$A$62&gt;35,AI40+AH41-AQ40,IF(A41&lt;'Données projet'!$A$62,$AF$205^A41,IF(A41='Données projet'!$A$62,'Données projet'!$B$62,AI40+AH41-AQ40)))</f>
        <v>338.00000000000006</v>
      </c>
      <c r="AJ41" s="14">
        <f>AI41*VLOOKUP('Données projet'!$B$10,Paramètres!$A$1:$I$89,3,0)*VLOOKUP('Données projet'!$B$10,Paramètres!$A$1:$I$89,5,0)</f>
        <v>202.12400000000008</v>
      </c>
      <c r="AK41" s="14">
        <f t="shared" si="35"/>
        <v>50.210671256169846</v>
      </c>
      <c r="AL41" s="22">
        <f t="shared" si="4"/>
        <v>439.48288577116256</v>
      </c>
      <c r="AM41" s="62">
        <f t="shared" si="5"/>
        <v>732.81621910449587</v>
      </c>
      <c r="AN41" s="62">
        <f ca="1">AVERAGE(OFFSET($AM$3,0,0,'Données projet'!$E$10+1,1))-AVERAGE(OFFSET($H$3,0,0,'Données projet'!$E$10+1,1))</f>
        <v>157.21429387424644</v>
      </c>
      <c r="AO41" s="62">
        <f t="shared" si="36"/>
        <v>264.58225136820056</v>
      </c>
      <c r="AP41" s="16">
        <f>IF(ISNA(VLOOKUP(A41,'Données projet'!$A$61:$I$81,3,0)),0,VLOOKUP(A41,'Données projet'!$A$61:$I$81,3,0))</f>
        <v>4</v>
      </c>
      <c r="AQ41" s="16">
        <f>IF(ISNA(VLOOKUP(A41,'Données projet'!$A$61:$I$81,4,0)),0,VLOOKUP(A41,'Données projet'!$A$61:$I$81,4,0))</f>
        <v>338</v>
      </c>
      <c r="AR41" s="17">
        <f>IF(ISNA(VLOOKUP(A41,'Données projet'!$A$61:$I$81,5,0)),0%,VLOOKUP(A41,'Données projet'!$A$61:$I$81,5,0)*VLOOKUP('Données projet'!$B$10,Paramètres!$A$1:$I$89,7,0))</f>
        <v>0.315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0.3</v>
      </c>
      <c r="AU41" s="23">
        <f>EXP(-LN(2)/35)*AU40+(1-EXP(-LN(2)/35))/(LN(2)/35)*AQ41*AR41*VLOOKUP('Données projet'!$B$10,Paramètres!$A$1:$I$89,3,0)*0.475*44/12</f>
        <v>93.362043050648666</v>
      </c>
      <c r="AV41" s="23">
        <f>EXP(-LN(2)/25)*AV40+(1-EXP(-LN(2)/25))/(LN(2)/25)*Calculateur!AQ41*Calculateur!AS41*VLOOKUP('Données projet'!$B$10,Paramètres!$A$1:$I$89,3,0)*0.475*44/12</f>
        <v>2.6780387317135532</v>
      </c>
      <c r="AW41" s="23">
        <f>EXP(-LN(2)/2)*AW40+(1-EXP(-LN(2)/2))/(LN(2)/2)*AQ41*AT41*VLOOKUP('Données projet'!$B$10,Paramètres!$A$1:$I$89,3,0)*0.475*44/12</f>
        <v>68.844914918064944</v>
      </c>
      <c r="AX41" s="23">
        <f t="shared" si="6"/>
        <v>164.88499670042717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5.6843418860808015E-14</v>
      </c>
      <c r="AJ42" s="14">
        <f>AI42*VLOOKUP('Données projet'!$B$10,Paramètres!$A$1:$I$89,3,0)*VLOOKUP('Données projet'!$B$10,Paramètres!$A$1:$I$89,5,0)</f>
        <v>3.3992364478763198E-14</v>
      </c>
      <c r="AK42" s="14">
        <f t="shared" si="35"/>
        <v>5.790027782444094E-13</v>
      </c>
      <c r="AL42" s="22">
        <f t="shared" si="4"/>
        <v>1.0676332069095257E-12</v>
      </c>
      <c r="AM42" s="62">
        <f t="shared" si="5"/>
        <v>293.33333333333439</v>
      </c>
      <c r="AN42" s="62">
        <f ca="1">AVERAGE(OFFSET($AM$3,0,0,'Données projet'!$E$10+1,1))-AVERAGE(OFFSET($H$3,0,0,'Données projet'!$E$10+1,1))</f>
        <v>157.21429387424644</v>
      </c>
      <c r="AO42" s="62">
        <f t="shared" si="36"/>
        <v>264.58225136820056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91.531270331648827</v>
      </c>
      <c r="AV42" s="23">
        <f>EXP(-LN(2)/25)*AV41+(1-EXP(-LN(2)/25))/(LN(2)/25)*Calculateur!AQ42*Calculateur!AS42*VLOOKUP('Données projet'!$B$10,Paramètres!$A$1:$I$89,3,0)*0.475*44/12</f>
        <v>2.6048076217629101</v>
      </c>
      <c r="AW42" s="23">
        <f>EXP(-LN(2)/2)*AW41+(1-EXP(-LN(2)/2))/(LN(2)/2)*AQ42*AT42*VLOOKUP('Données projet'!$B$10,Paramètres!$A$1:$I$89,3,0)*0.475*44/12</f>
        <v>48.680706188774636</v>
      </c>
      <c r="AX42" s="23">
        <f t="shared" si="6"/>
        <v>142.81678414218638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5.6843418860808015E-14</v>
      </c>
      <c r="AJ43" s="14">
        <f>AI43*VLOOKUP('Données projet'!$B$10,Paramètres!$A$1:$I$89,3,0)*VLOOKUP('Données projet'!$B$10,Paramètres!$A$1:$I$89,5,0)</f>
        <v>3.3992364478763198E-14</v>
      </c>
      <c r="AK43" s="14">
        <f t="shared" si="35"/>
        <v>5.790027782444094E-13</v>
      </c>
      <c r="AL43" s="22">
        <f t="shared" si="4"/>
        <v>1.0676332069095257E-12</v>
      </c>
      <c r="AM43" s="62">
        <f t="shared" si="5"/>
        <v>293.33333333333439</v>
      </c>
      <c r="AN43" s="62">
        <f ca="1">AVERAGE(OFFSET($AM$3,0,0,'Données projet'!$E$10+1,1))-AVERAGE(OFFSET($H$3,0,0,'Données projet'!$E$10+1,1))</f>
        <v>157.21429387424644</v>
      </c>
      <c r="AO43" s="62">
        <f t="shared" si="36"/>
        <v>264.58225136820056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89.736397949007483</v>
      </c>
      <c r="AV43" s="23">
        <f>EXP(-LN(2)/25)*AV42+(1-EXP(-LN(2)/25))/(LN(2)/25)*Calculateur!AQ43*Calculateur!AS43*VLOOKUP('Données projet'!$B$10,Paramètres!$A$1:$I$89,3,0)*0.475*44/12</f>
        <v>2.533579020364924</v>
      </c>
      <c r="AW43" s="23">
        <f>EXP(-LN(2)/2)*AW42+(1-EXP(-LN(2)/2))/(LN(2)/2)*AQ43*AT43*VLOOKUP('Données projet'!$B$10,Paramètres!$A$1:$I$89,3,0)*0.475*44/12</f>
        <v>34.422457459032479</v>
      </c>
      <c r="AX43" s="23">
        <f t="shared" si="6"/>
        <v>126.69243442840488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5.6843418860808015E-14</v>
      </c>
      <c r="AJ44" s="14">
        <f>AI44*VLOOKUP('Données projet'!$B$10,Paramètres!$A$1:$I$89,3,0)*VLOOKUP('Données projet'!$B$10,Paramètres!$A$1:$I$89,5,0)</f>
        <v>3.3992364478763198E-14</v>
      </c>
      <c r="AK44" s="14">
        <f t="shared" si="35"/>
        <v>5.790027782444094E-13</v>
      </c>
      <c r="AL44" s="22">
        <f t="shared" si="4"/>
        <v>1.0676332069095257E-12</v>
      </c>
      <c r="AM44" s="62">
        <f t="shared" si="5"/>
        <v>293.33333333333439</v>
      </c>
      <c r="AN44" s="62">
        <f ca="1">AVERAGE(OFFSET($AM$3,0,0,'Données projet'!$E$10+1,1))-AVERAGE(OFFSET($H$3,0,0,'Données projet'!$E$10+1,1))</f>
        <v>157.21429387424644</v>
      </c>
      <c r="AO44" s="62">
        <f t="shared" si="36"/>
        <v>264.58225136820056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87.976721919025678</v>
      </c>
      <c r="AV44" s="23">
        <f>EXP(-LN(2)/25)*AV43+(1-EXP(-LN(2)/25))/(LN(2)/25)*Calculateur!AQ44*Calculateur!AS44*VLOOKUP('Données projet'!$B$10,Paramètres!$A$1:$I$89,3,0)*0.475*44/12</f>
        <v>2.4642981688179151</v>
      </c>
      <c r="AW44" s="23">
        <f>EXP(-LN(2)/2)*AW43+(1-EXP(-LN(2)/2))/(LN(2)/2)*AQ44*AT44*VLOOKUP('Données projet'!$B$10,Paramètres!$A$1:$I$89,3,0)*0.475*44/12</f>
        <v>24.340353094387321</v>
      </c>
      <c r="AX44" s="23">
        <f t="shared" si="6"/>
        <v>114.78137318223092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5.6843418860808015E-14</v>
      </c>
      <c r="AJ45" s="14">
        <f>AI45*VLOOKUP('Données projet'!$B$10,Paramètres!$A$1:$I$89,3,0)*VLOOKUP('Données projet'!$B$10,Paramètres!$A$1:$I$89,5,0)</f>
        <v>3.3992364478763198E-14</v>
      </c>
      <c r="AK45" s="14">
        <f t="shared" si="35"/>
        <v>5.790027782444094E-13</v>
      </c>
      <c r="AL45" s="22">
        <f t="shared" si="4"/>
        <v>1.0676332069095257E-12</v>
      </c>
      <c r="AM45" s="62">
        <f t="shared" si="5"/>
        <v>293.33333333333439</v>
      </c>
      <c r="AN45" s="62">
        <f ca="1">AVERAGE(OFFSET($AM$3,0,0,'Données projet'!$E$10+1,1))-AVERAGE(OFFSET($H$3,0,0,'Données projet'!$E$10+1,1))</f>
        <v>157.21429387424644</v>
      </c>
      <c r="AO45" s="62">
        <f t="shared" si="36"/>
        <v>264.58225136820056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86.251552062695424</v>
      </c>
      <c r="AV45" s="23">
        <f>EXP(-LN(2)/25)*AV44+(1-EXP(-LN(2)/25))/(LN(2)/25)*Calculateur!AQ45*Calculateur!AS45*VLOOKUP('Données projet'!$B$10,Paramètres!$A$1:$I$89,3,0)*0.475*44/12</f>
        <v>2.3969118057997809</v>
      </c>
      <c r="AW45" s="23">
        <f>EXP(-LN(2)/2)*AW44+(1-EXP(-LN(2)/2))/(LN(2)/2)*AQ45*AT45*VLOOKUP('Données projet'!$B$10,Paramètres!$A$1:$I$89,3,0)*0.475*44/12</f>
        <v>17.211228729516243</v>
      </c>
      <c r="AX45" s="23">
        <f t="shared" si="6"/>
        <v>105.85969259801143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5.6843418860808015E-14</v>
      </c>
      <c r="AJ46" s="14">
        <f>AI46*VLOOKUP('Données projet'!$B$10,Paramètres!$A$1:$I$89,3,0)*VLOOKUP('Données projet'!$B$10,Paramètres!$A$1:$I$89,5,0)</f>
        <v>3.3992364478763198E-14</v>
      </c>
      <c r="AK46" s="14">
        <f t="shared" si="35"/>
        <v>5.790027782444094E-13</v>
      </c>
      <c r="AL46" s="22">
        <f t="shared" si="4"/>
        <v>1.0676332069095257E-12</v>
      </c>
      <c r="AM46" s="62">
        <f t="shared" si="5"/>
        <v>293.33333333333439</v>
      </c>
      <c r="AN46" s="62">
        <f ca="1">AVERAGE(OFFSET($AM$3,0,0,'Données projet'!$E$10+1,1))-AVERAGE(OFFSET($H$3,0,0,'Données projet'!$E$10+1,1))</f>
        <v>157.21429387424644</v>
      </c>
      <c r="AO46" s="62">
        <f t="shared" si="36"/>
        <v>264.58225136820056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84.560211734998092</v>
      </c>
      <c r="AV46" s="23">
        <f>EXP(-LN(2)/25)*AV45+(1-EXP(-LN(2)/25))/(LN(2)/25)*Calculateur!AQ46*Calculateur!AS46*VLOOKUP('Données projet'!$B$10,Paramètres!$A$1:$I$89,3,0)*0.475*44/12</f>
        <v>2.3313681264220723</v>
      </c>
      <c r="AW46" s="23">
        <f>EXP(-LN(2)/2)*AW45+(1-EXP(-LN(2)/2))/(LN(2)/2)*AQ46*AT46*VLOOKUP('Données projet'!$B$10,Paramètres!$A$1:$I$89,3,0)*0.475*44/12</f>
        <v>12.170176547193662</v>
      </c>
      <c r="AX46" s="23">
        <f t="shared" si="6"/>
        <v>99.061756408613832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5.6843418860808015E-14</v>
      </c>
      <c r="AJ47" s="14">
        <f>AI47*VLOOKUP('Données projet'!$B$10,Paramètres!$A$1:$I$89,3,0)*VLOOKUP('Données projet'!$B$10,Paramètres!$A$1:$I$89,5,0)</f>
        <v>3.3992364478763198E-14</v>
      </c>
      <c r="AK47" s="14">
        <f t="shared" si="35"/>
        <v>5.790027782444094E-13</v>
      </c>
      <c r="AL47" s="22">
        <f t="shared" si="4"/>
        <v>1.0676332069095257E-12</v>
      </c>
      <c r="AM47" s="62">
        <f t="shared" si="5"/>
        <v>293.33333333333439</v>
      </c>
      <c r="AN47" s="62">
        <f ca="1">AVERAGE(OFFSET($AM$3,0,0,'Données projet'!$E$10+1,1))-AVERAGE(OFFSET($H$3,0,0,'Données projet'!$E$10+1,1))</f>
        <v>157.21429387424644</v>
      </c>
      <c r="AO47" s="62">
        <f t="shared" si="36"/>
        <v>264.58225136820056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82.902037559511172</v>
      </c>
      <c r="AV47" s="23">
        <f>EXP(-LN(2)/25)*AV46+(1-EXP(-LN(2)/25))/(LN(2)/25)*Calculateur!AQ47*Calculateur!AS47*VLOOKUP('Données projet'!$B$10,Paramètres!$A$1:$I$89,3,0)*0.475*44/12</f>
        <v>2.2676167424037392</v>
      </c>
      <c r="AW47" s="23">
        <f>EXP(-LN(2)/2)*AW46+(1-EXP(-LN(2)/2))/(LN(2)/2)*AQ47*AT47*VLOOKUP('Données projet'!$B$10,Paramètres!$A$1:$I$89,3,0)*0.475*44/12</f>
        <v>8.6056143647581216</v>
      </c>
      <c r="AX47" s="23">
        <f t="shared" si="6"/>
        <v>93.775268666673043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5.6843418860808015E-14</v>
      </c>
      <c r="AJ48" s="14">
        <f>AI48*VLOOKUP('Données projet'!$B$10,Paramètres!$A$1:$I$89,3,0)*VLOOKUP('Données projet'!$B$10,Paramètres!$A$1:$I$89,5,0)</f>
        <v>3.3992364478763198E-14</v>
      </c>
      <c r="AK48" s="14">
        <f t="shared" si="35"/>
        <v>5.790027782444094E-13</v>
      </c>
      <c r="AL48" s="22">
        <f t="shared" si="4"/>
        <v>1.0676332069095257E-12</v>
      </c>
      <c r="AM48" s="62">
        <f t="shared" si="5"/>
        <v>293.33333333333439</v>
      </c>
      <c r="AN48" s="62">
        <f ca="1">AVERAGE(OFFSET($AM$3,0,0,'Données projet'!$E$10+1,1))-AVERAGE(OFFSET($H$3,0,0,'Données projet'!$E$10+1,1))</f>
        <v>157.21429387424644</v>
      </c>
      <c r="AO48" s="62">
        <f t="shared" si="36"/>
        <v>264.58225136820056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81.276379168219165</v>
      </c>
      <c r="AV48" s="23">
        <f>EXP(-LN(2)/25)*AV47+(1-EXP(-LN(2)/25))/(LN(2)/25)*Calculateur!AQ48*Calculateur!AS48*VLOOKUP('Données projet'!$B$10,Paramètres!$A$1:$I$89,3,0)*0.475*44/12</f>
        <v>2.2056086433339273</v>
      </c>
      <c r="AW48" s="23">
        <f>EXP(-LN(2)/2)*AW47+(1-EXP(-LN(2)/2))/(LN(2)/2)*AQ48*AT48*VLOOKUP('Données projet'!$B$10,Paramètres!$A$1:$I$89,3,0)*0.475*44/12</f>
        <v>6.0850882735968312</v>
      </c>
      <c r="AX48" s="23">
        <f t="shared" si="6"/>
        <v>89.567076085149921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5.6843418860808015E-14</v>
      </c>
      <c r="AJ49" s="14">
        <f>AI49*VLOOKUP('Données projet'!$B$10,Paramètres!$A$1:$I$89,3,0)*VLOOKUP('Données projet'!$B$10,Paramètres!$A$1:$I$89,5,0)</f>
        <v>3.3992364478763198E-14</v>
      </c>
      <c r="AK49" s="14">
        <f t="shared" si="35"/>
        <v>5.790027782444094E-13</v>
      </c>
      <c r="AL49" s="22">
        <f t="shared" si="4"/>
        <v>1.0676332069095257E-12</v>
      </c>
      <c r="AM49" s="62">
        <f t="shared" si="5"/>
        <v>293.33333333333439</v>
      </c>
      <c r="AN49" s="62">
        <f ca="1">AVERAGE(OFFSET($AM$3,0,0,'Données projet'!$E$10+1,1))-AVERAGE(OFFSET($H$3,0,0,'Données projet'!$E$10+1,1))</f>
        <v>157.21429387424644</v>
      </c>
      <c r="AO49" s="62">
        <f t="shared" si="36"/>
        <v>264.58225136820056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79.68259894642668</v>
      </c>
      <c r="AV49" s="23">
        <f>EXP(-LN(2)/25)*AV48+(1-EXP(-LN(2)/25))/(LN(2)/25)*Calculateur!AQ49*Calculateur!AS49*VLOOKUP('Données projet'!$B$10,Paramètres!$A$1:$I$89,3,0)*0.475*44/12</f>
        <v>2.1452961589940434</v>
      </c>
      <c r="AW49" s="23">
        <f>EXP(-LN(2)/2)*AW48+(1-EXP(-LN(2)/2))/(LN(2)/2)*AQ49*AT49*VLOOKUP('Données projet'!$B$10,Paramètres!$A$1:$I$89,3,0)*0.475*44/12</f>
        <v>4.3028071823790608</v>
      </c>
      <c r="AX49" s="23">
        <f t="shared" si="6"/>
        <v>86.130702287799778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5.6843418860808015E-14</v>
      </c>
      <c r="AJ50" s="14">
        <f>AI50*VLOOKUP('Données projet'!$B$10,Paramètres!$A$1:$I$89,3,0)*VLOOKUP('Données projet'!$B$10,Paramètres!$A$1:$I$89,5,0)</f>
        <v>3.3992364478763198E-14</v>
      </c>
      <c r="AK50" s="14">
        <f t="shared" si="35"/>
        <v>5.790027782444094E-13</v>
      </c>
      <c r="AL50" s="22">
        <f t="shared" si="4"/>
        <v>1.0676332069095257E-12</v>
      </c>
      <c r="AM50" s="62">
        <f t="shared" si="5"/>
        <v>293.33333333333439</v>
      </c>
      <c r="AN50" s="62">
        <f ca="1">AVERAGE(OFFSET($AM$3,0,0,'Données projet'!$E$10+1,1))-AVERAGE(OFFSET($H$3,0,0,'Données projet'!$E$10+1,1))</f>
        <v>157.21429387424644</v>
      </c>
      <c r="AO50" s="62">
        <f t="shared" si="36"/>
        <v>264.58225136820056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78.120071782673605</v>
      </c>
      <c r="AV50" s="23">
        <f>EXP(-LN(2)/25)*AV49+(1-EXP(-LN(2)/25))/(LN(2)/25)*Calculateur!AQ50*Calculateur!AS50*VLOOKUP('Données projet'!$B$10,Paramètres!$A$1:$I$89,3,0)*0.475*44/12</f>
        <v>2.0866329227101295</v>
      </c>
      <c r="AW50" s="23">
        <f>EXP(-LN(2)/2)*AW49+(1-EXP(-LN(2)/2))/(LN(2)/2)*AQ50*AT50*VLOOKUP('Données projet'!$B$10,Paramètres!$A$1:$I$89,3,0)*0.475*44/12</f>
        <v>3.0425441367984156</v>
      </c>
      <c r="AX50" s="23">
        <f t="shared" si="6"/>
        <v>83.249248842182141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5.6843418860808015E-14</v>
      </c>
      <c r="AJ51" s="14">
        <f>AI51*VLOOKUP('Données projet'!$B$10,Paramètres!$A$1:$I$89,3,0)*VLOOKUP('Données projet'!$B$10,Paramètres!$A$1:$I$89,5,0)</f>
        <v>3.3992364478763198E-14</v>
      </c>
      <c r="AK51" s="14">
        <f t="shared" si="35"/>
        <v>5.790027782444094E-13</v>
      </c>
      <c r="AL51" s="22">
        <f t="shared" si="4"/>
        <v>1.0676332069095257E-12</v>
      </c>
      <c r="AM51" s="62">
        <f t="shared" si="5"/>
        <v>293.33333333333439</v>
      </c>
      <c r="AN51" s="62">
        <f ca="1">AVERAGE(OFFSET($AM$3,0,0,'Données projet'!$E$10+1,1))-AVERAGE(OFFSET($H$3,0,0,'Données projet'!$E$10+1,1))</f>
        <v>157.21429387424644</v>
      </c>
      <c r="AO51" s="62">
        <f t="shared" si="36"/>
        <v>264.58225136820056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76.588184823554258</v>
      </c>
      <c r="AV51" s="23">
        <f>EXP(-LN(2)/25)*AV50+(1-EXP(-LN(2)/25))/(LN(2)/25)*Calculateur!AQ51*Calculateur!AS51*VLOOKUP('Données projet'!$B$10,Paramètres!$A$1:$I$89,3,0)*0.475*44/12</f>
        <v>2.0295738357073647</v>
      </c>
      <c r="AW51" s="23">
        <f>EXP(-LN(2)/2)*AW50+(1-EXP(-LN(2)/2))/(LN(2)/2)*AQ51*AT51*VLOOKUP('Données projet'!$B$10,Paramètres!$A$1:$I$89,3,0)*0.475*44/12</f>
        <v>2.1514035911895304</v>
      </c>
      <c r="AX51" s="23">
        <f t="shared" si="6"/>
        <v>80.76916225045116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5.6843418860808015E-14</v>
      </c>
      <c r="AJ52" s="14">
        <f>AI52*VLOOKUP('Données projet'!$B$10,Paramètres!$A$1:$I$89,3,0)*VLOOKUP('Données projet'!$B$10,Paramètres!$A$1:$I$89,5,0)</f>
        <v>3.3992364478763198E-14</v>
      </c>
      <c r="AK52" s="14">
        <f t="shared" si="35"/>
        <v>5.790027782444094E-13</v>
      </c>
      <c r="AL52" s="22">
        <f t="shared" si="4"/>
        <v>1.0676332069095257E-12</v>
      </c>
      <c r="AM52" s="62">
        <f t="shared" si="5"/>
        <v>293.33333333333439</v>
      </c>
      <c r="AN52" s="62">
        <f ca="1">AVERAGE(OFFSET($AM$3,0,0,'Données projet'!$E$10+1,1))-AVERAGE(OFFSET($H$3,0,0,'Données projet'!$E$10+1,1))</f>
        <v>157.21429387424644</v>
      </c>
      <c r="AO52" s="62">
        <f t="shared" si="36"/>
        <v>264.58225136820056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75.086337233344466</v>
      </c>
      <c r="AV52" s="23">
        <f>EXP(-LN(2)/25)*AV51+(1-EXP(-LN(2)/25))/(LN(2)/25)*Calculateur!AQ52*Calculateur!AS52*VLOOKUP('Données projet'!$B$10,Paramètres!$A$1:$I$89,3,0)*0.475*44/12</f>
        <v>1.9740750324392975</v>
      </c>
      <c r="AW52" s="23">
        <f>EXP(-LN(2)/2)*AW51+(1-EXP(-LN(2)/2))/(LN(2)/2)*AQ52*AT52*VLOOKUP('Données projet'!$B$10,Paramètres!$A$1:$I$89,3,0)*0.475*44/12</f>
        <v>1.5212720683992078</v>
      </c>
      <c r="AX52" s="23">
        <f t="shared" si="6"/>
        <v>78.581684334182981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5.6843418860808015E-14</v>
      </c>
      <c r="AJ53" s="14">
        <f>AI53*VLOOKUP('Données projet'!$B$10,Paramètres!$A$1:$I$89,3,0)*VLOOKUP('Données projet'!$B$10,Paramètres!$A$1:$I$89,5,0)</f>
        <v>3.3992364478763198E-14</v>
      </c>
      <c r="AK53" s="14">
        <f t="shared" si="35"/>
        <v>5.790027782444094E-13</v>
      </c>
      <c r="AL53" s="22">
        <f t="shared" si="4"/>
        <v>1.0676332069095257E-12</v>
      </c>
      <c r="AM53" s="62">
        <f t="shared" si="5"/>
        <v>293.33333333333439</v>
      </c>
      <c r="AN53" s="62">
        <f ca="1">AVERAGE(OFFSET($AM$3,0,0,'Données projet'!$E$10+1,1))-AVERAGE(OFFSET($H$3,0,0,'Données projet'!$E$10+1,1))</f>
        <v>157.21429387424644</v>
      </c>
      <c r="AO53" s="62">
        <f t="shared" si="36"/>
        <v>264.58225136820056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73.613939958342101</v>
      </c>
      <c r="AV53" s="23">
        <f>EXP(-LN(2)/25)*AV52+(1-EXP(-LN(2)/25))/(LN(2)/25)*Calculateur!AQ53*Calculateur!AS53*VLOOKUP('Données projet'!$B$10,Paramètres!$A$1:$I$89,3,0)*0.475*44/12</f>
        <v>1.9200938468651507</v>
      </c>
      <c r="AW53" s="23">
        <f>EXP(-LN(2)/2)*AW52+(1-EXP(-LN(2)/2))/(LN(2)/2)*AQ53*AT53*VLOOKUP('Données projet'!$B$10,Paramètres!$A$1:$I$89,3,0)*0.475*44/12</f>
        <v>1.0757017955947652</v>
      </c>
      <c r="AX53" s="23">
        <f t="shared" si="6"/>
        <v>76.609735600802026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5.6843418860808015E-14</v>
      </c>
      <c r="AJ54" s="14">
        <f>AI54*VLOOKUP('Données projet'!$B$10,Paramètres!$A$1:$I$89,3,0)*VLOOKUP('Données projet'!$B$10,Paramètres!$A$1:$I$89,5,0)</f>
        <v>3.3992364478763198E-14</v>
      </c>
      <c r="AK54" s="14">
        <f t="shared" si="35"/>
        <v>5.790027782444094E-13</v>
      </c>
      <c r="AL54" s="22">
        <f t="shared" si="4"/>
        <v>1.0676332069095257E-12</v>
      </c>
      <c r="AM54" s="62">
        <f t="shared" si="5"/>
        <v>293.33333333333439</v>
      </c>
      <c r="AN54" s="62">
        <f ca="1">AVERAGE(OFFSET($AM$3,0,0,'Données projet'!$E$10+1,1))-AVERAGE(OFFSET($H$3,0,0,'Données projet'!$E$10+1,1))</f>
        <v>157.21429387424644</v>
      </c>
      <c r="AO54" s="62">
        <f t="shared" si="36"/>
        <v>264.58225136820056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72.170415495828877</v>
      </c>
      <c r="AV54" s="23">
        <f>EXP(-LN(2)/25)*AV53+(1-EXP(-LN(2)/25))/(LN(2)/25)*Calculateur!AQ54*Calculateur!AS54*VLOOKUP('Données projet'!$B$10,Paramètres!$A$1:$I$89,3,0)*0.475*44/12</f>
        <v>1.8675887796492763</v>
      </c>
      <c r="AW54" s="23">
        <f>EXP(-LN(2)/2)*AW53+(1-EXP(-LN(2)/2))/(LN(2)/2)*AQ54*AT54*VLOOKUP('Données projet'!$B$10,Paramètres!$A$1:$I$89,3,0)*0.475*44/12</f>
        <v>0.76063603419960391</v>
      </c>
      <c r="AX54" s="23">
        <f t="shared" si="6"/>
        <v>74.798640309677765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5.6843418860808015E-14</v>
      </c>
      <c r="AJ55" s="14">
        <f>AI55*VLOOKUP('Données projet'!$B$10,Paramètres!$A$1:$I$89,3,0)*VLOOKUP('Données projet'!$B$10,Paramètres!$A$1:$I$89,5,0)</f>
        <v>3.3992364478763198E-14</v>
      </c>
      <c r="AK55" s="14">
        <f t="shared" si="35"/>
        <v>5.790027782444094E-13</v>
      </c>
      <c r="AL55" s="22">
        <f t="shared" si="4"/>
        <v>1.0676332069095257E-12</v>
      </c>
      <c r="AM55" s="62">
        <f t="shared" si="5"/>
        <v>293.33333333333439</v>
      </c>
      <c r="AN55" s="62">
        <f ca="1">AVERAGE(OFFSET($AM$3,0,0,'Données projet'!$E$10+1,1))-AVERAGE(OFFSET($H$3,0,0,'Données projet'!$E$10+1,1))</f>
        <v>157.21429387424644</v>
      </c>
      <c r="AO55" s="62">
        <f t="shared" si="36"/>
        <v>264.58225136820056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70.755197667562555</v>
      </c>
      <c r="AV55" s="23">
        <f>EXP(-LN(2)/25)*AV54+(1-EXP(-LN(2)/25))/(LN(2)/25)*Calculateur!AQ55*Calculateur!AS55*VLOOKUP('Données projet'!$B$10,Paramètres!$A$1:$I$89,3,0)*0.475*44/12</f>
        <v>1.8165194662575412</v>
      </c>
      <c r="AW55" s="23">
        <f>EXP(-LN(2)/2)*AW54+(1-EXP(-LN(2)/2))/(LN(2)/2)*AQ55*AT55*VLOOKUP('Données projet'!$B$10,Paramètres!$A$1:$I$89,3,0)*0.475*44/12</f>
        <v>0.5378508977973826</v>
      </c>
      <c r="AX55" s="23">
        <f t="shared" si="6"/>
        <v>73.109568031617485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5.6843418860808015E-14</v>
      </c>
      <c r="AJ56" s="14">
        <f>AI56*VLOOKUP('Données projet'!$B$10,Paramètres!$A$1:$I$89,3,0)*VLOOKUP('Données projet'!$B$10,Paramètres!$A$1:$I$89,5,0)</f>
        <v>3.3992364478763198E-14</v>
      </c>
      <c r="AK56" s="14">
        <f t="shared" si="35"/>
        <v>5.790027782444094E-13</v>
      </c>
      <c r="AL56" s="22">
        <f t="shared" si="4"/>
        <v>1.0676332069095257E-12</v>
      </c>
      <c r="AM56" s="62">
        <f t="shared" si="5"/>
        <v>293.33333333333439</v>
      </c>
      <c r="AN56" s="62">
        <f ca="1">AVERAGE(OFFSET($AM$3,0,0,'Données projet'!$E$10+1,1))-AVERAGE(OFFSET($H$3,0,0,'Données projet'!$E$10+1,1))</f>
        <v>157.21429387424644</v>
      </c>
      <c r="AO56" s="62">
        <f t="shared" si="36"/>
        <v>264.58225136820056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69.367731397710884</v>
      </c>
      <c r="AV56" s="23">
        <f>EXP(-LN(2)/25)*AV55+(1-EXP(-LN(2)/25))/(LN(2)/25)*Calculateur!AQ56*Calculateur!AS56*VLOOKUP('Données projet'!$B$10,Paramètres!$A$1:$I$89,3,0)*0.475*44/12</f>
        <v>1.7668466459261218</v>
      </c>
      <c r="AW56" s="23">
        <f>EXP(-LN(2)/2)*AW55+(1-EXP(-LN(2)/2))/(LN(2)/2)*AQ56*AT56*VLOOKUP('Données projet'!$B$10,Paramètres!$A$1:$I$89,3,0)*0.475*44/12</f>
        <v>0.38031801709980195</v>
      </c>
      <c r="AX56" s="23">
        <f t="shared" si="6"/>
        <v>71.514896060736802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5.6843418860808015E-14</v>
      </c>
      <c r="AJ57" s="14">
        <f>AI57*VLOOKUP('Données projet'!$B$10,Paramètres!$A$1:$I$89,3,0)*VLOOKUP('Données projet'!$B$10,Paramètres!$A$1:$I$89,5,0)</f>
        <v>3.3992364478763198E-14</v>
      </c>
      <c r="AK57" s="14">
        <f t="shared" si="35"/>
        <v>5.790027782444094E-13</v>
      </c>
      <c r="AL57" s="22">
        <f t="shared" si="4"/>
        <v>1.0676332069095257E-12</v>
      </c>
      <c r="AM57" s="62">
        <f t="shared" si="5"/>
        <v>293.33333333333439</v>
      </c>
      <c r="AN57" s="62">
        <f ca="1">AVERAGE(OFFSET($AM$3,0,0,'Données projet'!$E$10+1,1))-AVERAGE(OFFSET($H$3,0,0,'Données projet'!$E$10+1,1))</f>
        <v>157.21429387424644</v>
      </c>
      <c r="AO57" s="62">
        <f t="shared" si="36"/>
        <v>264.58225136820056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68.007472495140149</v>
      </c>
      <c r="AV57" s="23">
        <f>EXP(-LN(2)/25)*AV56+(1-EXP(-LN(2)/25))/(LN(2)/25)*Calculateur!AQ57*Calculateur!AS57*VLOOKUP('Données projet'!$B$10,Paramètres!$A$1:$I$89,3,0)*0.475*44/12</f>
        <v>1.7185321314788451</v>
      </c>
      <c r="AW57" s="23">
        <f>EXP(-LN(2)/2)*AW56+(1-EXP(-LN(2)/2))/(LN(2)/2)*AQ57*AT57*VLOOKUP('Données projet'!$B$10,Paramètres!$A$1:$I$89,3,0)*0.475*44/12</f>
        <v>0.2689254488986913</v>
      </c>
      <c r="AX57" s="23">
        <f t="shared" si="6"/>
        <v>69.994930075517672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5.6843418860808015E-14</v>
      </c>
      <c r="AJ58" s="14">
        <f>AI58*VLOOKUP('Données projet'!$B$10,Paramètres!$A$1:$I$89,3,0)*VLOOKUP('Données projet'!$B$10,Paramètres!$A$1:$I$89,5,0)</f>
        <v>3.3992364478763198E-14</v>
      </c>
      <c r="AK58" s="14">
        <f t="shared" si="35"/>
        <v>5.790027782444094E-13</v>
      </c>
      <c r="AL58" s="22">
        <f t="shared" si="4"/>
        <v>1.0676332069095257E-12</v>
      </c>
      <c r="AM58" s="62">
        <f t="shared" si="5"/>
        <v>293.33333333333439</v>
      </c>
      <c r="AN58" s="62">
        <f ca="1">AVERAGE(OFFSET($AM$3,0,0,'Données projet'!$E$10+1,1))-AVERAGE(OFFSET($H$3,0,0,'Données projet'!$E$10+1,1))</f>
        <v>157.21429387424644</v>
      </c>
      <c r="AO58" s="62">
        <f t="shared" si="36"/>
        <v>264.58225136820056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66.673887439972816</v>
      </c>
      <c r="AV58" s="23">
        <f>EXP(-LN(2)/25)*AV57+(1-EXP(-LN(2)/25))/(LN(2)/25)*Calculateur!AQ58*Calculateur!AS58*VLOOKUP('Données projet'!$B$10,Paramètres!$A$1:$I$89,3,0)*0.475*44/12</f>
        <v>1.6715387799698791</v>
      </c>
      <c r="AW58" s="23">
        <f>EXP(-LN(2)/2)*AW57+(1-EXP(-LN(2)/2))/(LN(2)/2)*AQ58*AT58*VLOOKUP('Données projet'!$B$10,Paramètres!$A$1:$I$89,3,0)*0.475*44/12</f>
        <v>0.19015900854990098</v>
      </c>
      <c r="AX58" s="23">
        <f t="shared" si="6"/>
        <v>68.535585228492593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5.6843418860808015E-14</v>
      </c>
      <c r="AJ59" s="14">
        <f>AI59*VLOOKUP('Données projet'!$B$10,Paramètres!$A$1:$I$89,3,0)*VLOOKUP('Données projet'!$B$10,Paramètres!$A$1:$I$89,5,0)</f>
        <v>3.3992364478763198E-14</v>
      </c>
      <c r="AK59" s="14">
        <f t="shared" si="35"/>
        <v>5.790027782444094E-13</v>
      </c>
      <c r="AL59" s="22">
        <f t="shared" si="4"/>
        <v>1.0676332069095257E-12</v>
      </c>
      <c r="AM59" s="62">
        <f t="shared" si="5"/>
        <v>293.33333333333439</v>
      </c>
      <c r="AN59" s="62">
        <f ca="1">AVERAGE(OFFSET($AM$3,0,0,'Données projet'!$E$10+1,1))-AVERAGE(OFFSET($H$3,0,0,'Données projet'!$E$10+1,1))</f>
        <v>157.21429387424644</v>
      </c>
      <c r="AO59" s="62">
        <f t="shared" si="36"/>
        <v>264.58225136820056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65.366453174330744</v>
      </c>
      <c r="AV59" s="23">
        <f>EXP(-LN(2)/25)*AV58+(1-EXP(-LN(2)/25))/(LN(2)/25)*Calculateur!AQ59*Calculateur!AS59*VLOOKUP('Données projet'!$B$10,Paramètres!$A$1:$I$89,3,0)*0.475*44/12</f>
        <v>1.6258304641291987</v>
      </c>
      <c r="AW59" s="23">
        <f>EXP(-LN(2)/2)*AW58+(1-EXP(-LN(2)/2))/(LN(2)/2)*AQ59*AT59*VLOOKUP('Données projet'!$B$10,Paramètres!$A$1:$I$89,3,0)*0.475*44/12</f>
        <v>0.13446272444934565</v>
      </c>
      <c r="AX59" s="23">
        <f t="shared" si="6"/>
        <v>67.126746362909287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5.6843418860808015E-14</v>
      </c>
      <c r="AJ60" s="14">
        <f>AI60*VLOOKUP('Données projet'!$B$10,Paramètres!$A$1:$I$89,3,0)*VLOOKUP('Données projet'!$B$10,Paramètres!$A$1:$I$89,5,0)</f>
        <v>3.3992364478763198E-14</v>
      </c>
      <c r="AK60" s="14">
        <f t="shared" si="35"/>
        <v>5.790027782444094E-13</v>
      </c>
      <c r="AL60" s="22">
        <f t="shared" si="4"/>
        <v>1.0676332069095257E-12</v>
      </c>
      <c r="AM60" s="62">
        <f t="shared" si="5"/>
        <v>293.33333333333439</v>
      </c>
      <c r="AN60" s="62">
        <f ca="1">AVERAGE(OFFSET($AM$3,0,0,'Données projet'!$E$10+1,1))-AVERAGE(OFFSET($H$3,0,0,'Données projet'!$E$10+1,1))</f>
        <v>157.21429387424644</v>
      </c>
      <c r="AO60" s="62">
        <f t="shared" si="36"/>
        <v>264.58225136820056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64.084656897181759</v>
      </c>
      <c r="AV60" s="23">
        <f>EXP(-LN(2)/25)*AV59+(1-EXP(-LN(2)/25))/(LN(2)/25)*Calculateur!AQ60*Calculateur!AS60*VLOOKUP('Données projet'!$B$10,Paramètres!$A$1:$I$89,3,0)*0.475*44/12</f>
        <v>1.5813720445888775</v>
      </c>
      <c r="AW60" s="23">
        <f>EXP(-LN(2)/2)*AW59+(1-EXP(-LN(2)/2))/(LN(2)/2)*AQ60*AT60*VLOOKUP('Données projet'!$B$10,Paramètres!$A$1:$I$89,3,0)*0.475*44/12</f>
        <v>9.5079504274950488E-2</v>
      </c>
      <c r="AX60" s="23">
        <f t="shared" si="6"/>
        <v>65.761108446045583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5.6843418860808015E-14</v>
      </c>
      <c r="AJ61" s="14">
        <f>AI61*VLOOKUP('Données projet'!$B$10,Paramètres!$A$1:$I$89,3,0)*VLOOKUP('Données projet'!$B$10,Paramètres!$A$1:$I$89,5,0)</f>
        <v>3.3992364478763198E-14</v>
      </c>
      <c r="AK61" s="14">
        <f t="shared" si="35"/>
        <v>5.790027782444094E-13</v>
      </c>
      <c r="AL61" s="22">
        <f t="shared" si="4"/>
        <v>1.0676332069095257E-12</v>
      </c>
      <c r="AM61" s="62">
        <f t="shared" si="5"/>
        <v>293.33333333333439</v>
      </c>
      <c r="AN61" s="62">
        <f ca="1">AVERAGE(OFFSET($AM$3,0,0,'Données projet'!$E$10+1,1))-AVERAGE(OFFSET($H$3,0,0,'Données projet'!$E$10+1,1))</f>
        <v>157.21429387424644</v>
      </c>
      <c r="AO61" s="62">
        <f t="shared" si="36"/>
        <v>264.58225136820056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62.827995863209132</v>
      </c>
      <c r="AV61" s="23">
        <f>EXP(-LN(2)/25)*AV60+(1-EXP(-LN(2)/25))/(LN(2)/25)*Calculateur!AQ61*Calculateur!AS61*VLOOKUP('Données projet'!$B$10,Paramètres!$A$1:$I$89,3,0)*0.475*44/12</f>
        <v>1.5381293428688532</v>
      </c>
      <c r="AW61" s="23">
        <f>EXP(-LN(2)/2)*AW60+(1-EXP(-LN(2)/2))/(LN(2)/2)*AQ61*AT61*VLOOKUP('Données projet'!$B$10,Paramètres!$A$1:$I$89,3,0)*0.475*44/12</f>
        <v>6.7231362224672825E-2</v>
      </c>
      <c r="AX61" s="23">
        <f t="shared" si="6"/>
        <v>64.433356568302656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5.6843418860808015E-14</v>
      </c>
      <c r="AJ62" s="14">
        <f>AI62*VLOOKUP('Données projet'!$B$10,Paramètres!$A$1:$I$89,3,0)*VLOOKUP('Données projet'!$B$10,Paramètres!$A$1:$I$89,5,0)</f>
        <v>3.3992364478763198E-14</v>
      </c>
      <c r="AK62" s="14">
        <f t="shared" si="35"/>
        <v>5.790027782444094E-13</v>
      </c>
      <c r="AL62" s="22">
        <f t="shared" si="4"/>
        <v>1.0676332069095257E-12</v>
      </c>
      <c r="AM62" s="62">
        <f t="shared" si="5"/>
        <v>293.33333333333439</v>
      </c>
      <c r="AN62" s="62">
        <f ca="1">AVERAGE(OFFSET($AM$3,0,0,'Données projet'!$E$10+1,1))-AVERAGE(OFFSET($H$3,0,0,'Données projet'!$E$10+1,1))</f>
        <v>157.21429387424644</v>
      </c>
      <c r="AO62" s="62">
        <f t="shared" si="36"/>
        <v>264.58225136820056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61.595977185625166</v>
      </c>
      <c r="AV62" s="23">
        <f>EXP(-LN(2)/25)*AV61+(1-EXP(-LN(2)/25))/(LN(2)/25)*Calculateur!AQ62*Calculateur!AS62*VLOOKUP('Données projet'!$B$10,Paramètres!$A$1:$I$89,3,0)*0.475*44/12</f>
        <v>1.4960691151013976</v>
      </c>
      <c r="AW62" s="23">
        <f>EXP(-LN(2)/2)*AW61+(1-EXP(-LN(2)/2))/(LN(2)/2)*AQ62*AT62*VLOOKUP('Données projet'!$B$10,Paramètres!$A$1:$I$89,3,0)*0.475*44/12</f>
        <v>4.7539752137475244E-2</v>
      </c>
      <c r="AX62" s="23">
        <f t="shared" si="6"/>
        <v>63.13958605286404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5.6843418860808015E-14</v>
      </c>
      <c r="AJ63" s="14">
        <f>AI63*VLOOKUP('Données projet'!$B$10,Paramètres!$A$1:$I$89,3,0)*VLOOKUP('Données projet'!$B$10,Paramètres!$A$1:$I$89,5,0)</f>
        <v>3.3992364478763198E-14</v>
      </c>
      <c r="AK63" s="14">
        <f t="shared" si="35"/>
        <v>5.790027782444094E-13</v>
      </c>
      <c r="AL63" s="22">
        <f t="shared" si="4"/>
        <v>1.0676332069095257E-12</v>
      </c>
      <c r="AM63" s="62">
        <f t="shared" si="5"/>
        <v>293.33333333333439</v>
      </c>
      <c r="AN63" s="62">
        <f ca="1">AVERAGE(OFFSET($AM$3,0,0,'Données projet'!$E$10+1,1))-AVERAGE(OFFSET($H$3,0,0,'Données projet'!$E$10+1,1))</f>
        <v>157.21429387424644</v>
      </c>
      <c r="AO63" s="62">
        <f t="shared" si="36"/>
        <v>264.58225136820056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60.388117642851427</v>
      </c>
      <c r="AV63" s="23">
        <f>EXP(-LN(2)/25)*AV62+(1-EXP(-LN(2)/25))/(LN(2)/25)*Calculateur!AQ63*Calculateur!AS63*VLOOKUP('Données projet'!$B$10,Paramètres!$A$1:$I$89,3,0)*0.475*44/12</f>
        <v>1.4551590264740943</v>
      </c>
      <c r="AW63" s="23">
        <f>EXP(-LN(2)/2)*AW62+(1-EXP(-LN(2)/2))/(LN(2)/2)*AQ63*AT63*VLOOKUP('Données projet'!$B$10,Paramètres!$A$1:$I$89,3,0)*0.475*44/12</f>
        <v>3.3615681112336412E-2</v>
      </c>
      <c r="AX63" s="23">
        <f t="shared" si="6"/>
        <v>61.876892350437856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5.6843418860808015E-14</v>
      </c>
      <c r="AJ64" s="14">
        <f>AI64*VLOOKUP('Données projet'!$B$10,Paramètres!$A$1:$I$89,3,0)*VLOOKUP('Données projet'!$B$10,Paramètres!$A$1:$I$89,5,0)</f>
        <v>3.3992364478763198E-14</v>
      </c>
      <c r="AK64" s="14">
        <f t="shared" si="35"/>
        <v>5.790027782444094E-13</v>
      </c>
      <c r="AL64" s="22">
        <f t="shared" si="4"/>
        <v>1.0676332069095257E-12</v>
      </c>
      <c r="AM64" s="62">
        <f t="shared" si="5"/>
        <v>293.33333333333439</v>
      </c>
      <c r="AN64" s="62">
        <f ca="1">AVERAGE(OFFSET($AM$3,0,0,'Données projet'!$E$10+1,1))-AVERAGE(OFFSET($H$3,0,0,'Données projet'!$E$10+1,1))</f>
        <v>157.21429387424644</v>
      </c>
      <c r="AO64" s="62">
        <f t="shared" si="36"/>
        <v>264.58225136820056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59.203943488989907</v>
      </c>
      <c r="AV64" s="23">
        <f>EXP(-LN(2)/25)*AV63+(1-EXP(-LN(2)/25))/(LN(2)/25)*Calculateur!AQ64*Calculateur!AS64*VLOOKUP('Données projet'!$B$10,Paramètres!$A$1:$I$89,3,0)*0.475*44/12</f>
        <v>1.4153676263716728</v>
      </c>
      <c r="AW64" s="23">
        <f>EXP(-LN(2)/2)*AW63+(1-EXP(-LN(2)/2))/(LN(2)/2)*AQ64*AT64*VLOOKUP('Données projet'!$B$10,Paramètres!$A$1:$I$89,3,0)*0.475*44/12</f>
        <v>2.3769876068737622E-2</v>
      </c>
      <c r="AX64" s="23">
        <f t="shared" si="6"/>
        <v>60.643080991430324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5.6843418860808015E-14</v>
      </c>
      <c r="AJ65" s="14">
        <f>AI65*VLOOKUP('Données projet'!$B$10,Paramètres!$A$1:$I$89,3,0)*VLOOKUP('Données projet'!$B$10,Paramètres!$A$1:$I$89,5,0)</f>
        <v>3.3992364478763198E-14</v>
      </c>
      <c r="AK65" s="14">
        <f t="shared" si="35"/>
        <v>5.790027782444094E-13</v>
      </c>
      <c r="AL65" s="22">
        <f t="shared" si="4"/>
        <v>1.0676332069095257E-12</v>
      </c>
      <c r="AM65" s="62">
        <f t="shared" si="5"/>
        <v>293.33333333333439</v>
      </c>
      <c r="AN65" s="62">
        <f ca="1">AVERAGE(OFFSET($AM$3,0,0,'Données projet'!$E$10+1,1))-AVERAGE(OFFSET($H$3,0,0,'Données projet'!$E$10+1,1))</f>
        <v>157.21429387424644</v>
      </c>
      <c r="AO65" s="62">
        <f t="shared" si="36"/>
        <v>264.58225136820056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58.042990268010691</v>
      </c>
      <c r="AV65" s="23">
        <f>EXP(-LN(2)/25)*AV64+(1-EXP(-LN(2)/25))/(LN(2)/25)*Calculateur!AQ65*Calculateur!AS65*VLOOKUP('Données projet'!$B$10,Paramètres!$A$1:$I$89,3,0)*0.475*44/12</f>
        <v>1.3766643241975909</v>
      </c>
      <c r="AW65" s="23">
        <f>EXP(-LN(2)/2)*AW64+(1-EXP(-LN(2)/2))/(LN(2)/2)*AQ65*AT65*VLOOKUP('Données projet'!$B$10,Paramètres!$A$1:$I$89,3,0)*0.475*44/12</f>
        <v>1.6807840556168206E-2</v>
      </c>
      <c r="AX65" s="23">
        <f t="shared" si="6"/>
        <v>59.436462432764451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5.6843418860808015E-14</v>
      </c>
      <c r="AJ66" s="14">
        <f>AI66*VLOOKUP('Données projet'!$B$10,Paramètres!$A$1:$I$89,3,0)*VLOOKUP('Données projet'!$B$10,Paramètres!$A$1:$I$89,5,0)</f>
        <v>3.3992364478763198E-14</v>
      </c>
      <c r="AK66" s="14">
        <f t="shared" si="35"/>
        <v>5.790027782444094E-13</v>
      </c>
      <c r="AL66" s="22">
        <f t="shared" si="4"/>
        <v>1.0676332069095257E-12</v>
      </c>
      <c r="AM66" s="62">
        <f t="shared" si="5"/>
        <v>293.33333333333439</v>
      </c>
      <c r="AN66" s="62">
        <f ca="1">AVERAGE(OFFSET($AM$3,0,0,'Données projet'!$E$10+1,1))-AVERAGE(OFFSET($H$3,0,0,'Données projet'!$E$10+1,1))</f>
        <v>157.21429387424644</v>
      </c>
      <c r="AO66" s="62">
        <f t="shared" si="36"/>
        <v>264.58225136820056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56.904802631583337</v>
      </c>
      <c r="AV66" s="23">
        <f>EXP(-LN(2)/25)*AV65+(1-EXP(-LN(2)/25))/(LN(2)/25)*Calculateur!AQ66*Calculateur!AS66*VLOOKUP('Données projet'!$B$10,Paramètres!$A$1:$I$89,3,0)*0.475*44/12</f>
        <v>1.3390193658567773</v>
      </c>
      <c r="AW66" s="23">
        <f>EXP(-LN(2)/2)*AW65+(1-EXP(-LN(2)/2))/(LN(2)/2)*AQ66*AT66*VLOOKUP('Données projet'!$B$10,Paramètres!$A$1:$I$89,3,0)*0.475*44/12</f>
        <v>1.1884938034368811E-2</v>
      </c>
      <c r="AX66" s="23">
        <f t="shared" si="6"/>
        <v>58.255706935474485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5.6843418860808015E-14</v>
      </c>
      <c r="AJ67" s="14">
        <f>AI67*VLOOKUP('Données projet'!$B$10,Paramètres!$A$1:$I$89,3,0)*VLOOKUP('Données projet'!$B$10,Paramètres!$A$1:$I$89,5,0)</f>
        <v>3.3992364478763198E-14</v>
      </c>
      <c r="AK67" s="14">
        <f t="shared" si="35"/>
        <v>5.790027782444094E-13</v>
      </c>
      <c r="AL67" s="22">
        <f t="shared" si="4"/>
        <v>1.0676332069095257E-12</v>
      </c>
      <c r="AM67" s="62">
        <f t="shared" si="5"/>
        <v>293.33333333333439</v>
      </c>
      <c r="AN67" s="62">
        <f ca="1">AVERAGE(OFFSET($AM$3,0,0,'Données projet'!$E$10+1,1))-AVERAGE(OFFSET($H$3,0,0,'Données projet'!$E$10+1,1))</f>
        <v>157.21429387424644</v>
      </c>
      <c r="AO67" s="62">
        <f t="shared" si="36"/>
        <v>264.58225136820056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55.788934160480416</v>
      </c>
      <c r="AV67" s="23">
        <f>EXP(-LN(2)/25)*AV66+(1-EXP(-LN(2)/25))/(LN(2)/25)*Calculateur!AQ67*Calculateur!AS67*VLOOKUP('Données projet'!$B$10,Paramètres!$A$1:$I$89,3,0)*0.475*44/12</f>
        <v>1.3024038108814555</v>
      </c>
      <c r="AW67" s="23">
        <f>EXP(-LN(2)/2)*AW66+(1-EXP(-LN(2)/2))/(LN(2)/2)*AQ67*AT67*VLOOKUP('Données projet'!$B$10,Paramètres!$A$1:$I$89,3,0)*0.475*44/12</f>
        <v>8.4039202780841031E-3</v>
      </c>
      <c r="AX67" s="23">
        <f t="shared" si="6"/>
        <v>57.099741891639958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5.6843418860808015E-14</v>
      </c>
      <c r="AJ68" s="14">
        <f>AI68*VLOOKUP('Données projet'!$B$10,Paramètres!$A$1:$I$89,3,0)*VLOOKUP('Données projet'!$B$10,Paramètres!$A$1:$I$89,5,0)</f>
        <v>3.3992364478763198E-14</v>
      </c>
      <c r="AK68" s="14">
        <f t="shared" si="35"/>
        <v>5.790027782444094E-13</v>
      </c>
      <c r="AL68" s="22">
        <f t="shared" ref="AL68:AL131" si="58">(AJ68+AK68)*0.475*44/12</f>
        <v>1.0676332069095257E-12</v>
      </c>
      <c r="AM68" s="62">
        <f t="shared" ref="AM68:AM131" si="59">AL68+(AD68+AE68)*44/12</f>
        <v>293.33333333333439</v>
      </c>
      <c r="AN68" s="62">
        <f ca="1">AVERAGE(OFFSET($AM$3,0,0,'Données projet'!$E$10+1,1))-AVERAGE(OFFSET($H$3,0,0,'Données projet'!$E$10+1,1))</f>
        <v>157.21429387424644</v>
      </c>
      <c r="AO68" s="62">
        <f t="shared" si="36"/>
        <v>264.58225136820056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54.694947189483258</v>
      </c>
      <c r="AV68" s="23">
        <f>EXP(-LN(2)/25)*AV67+(1-EXP(-LN(2)/25))/(LN(2)/25)*Calculateur!AQ68*Calculateur!AS68*VLOOKUP('Données projet'!$B$10,Paramètres!$A$1:$I$89,3,0)*0.475*44/12</f>
        <v>1.2667895101824624</v>
      </c>
      <c r="AW68" s="23">
        <f>EXP(-LN(2)/2)*AW67+(1-EXP(-LN(2)/2))/(LN(2)/2)*AQ68*AT68*VLOOKUP('Données projet'!$B$10,Paramètres!$A$1:$I$89,3,0)*0.475*44/12</f>
        <v>5.9424690171844055E-3</v>
      </c>
      <c r="AX68" s="23">
        <f t="shared" ref="AX68:AX131" si="60">SUM(AU68:AW68)</f>
        <v>55.967679168682906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5.6843418860808015E-14</v>
      </c>
      <c r="AJ69" s="14">
        <f>AI69*VLOOKUP('Données projet'!$B$10,Paramètres!$A$1:$I$89,3,0)*VLOOKUP('Données projet'!$B$10,Paramètres!$A$1:$I$89,5,0)</f>
        <v>3.3992364478763198E-14</v>
      </c>
      <c r="AK69" s="14">
        <f t="shared" ref="AK69:AK132" si="89">EXP(-1.0587+0.8836*LN(AJ69)+0.284)</f>
        <v>5.790027782444094E-13</v>
      </c>
      <c r="AL69" s="22">
        <f t="shared" si="58"/>
        <v>1.0676332069095257E-12</v>
      </c>
      <c r="AM69" s="62">
        <f t="shared" si="59"/>
        <v>293.33333333333439</v>
      </c>
      <c r="AN69" s="62">
        <f ca="1">AVERAGE(OFFSET($AM$3,0,0,'Données projet'!$E$10+1,1))-AVERAGE(OFFSET($H$3,0,0,'Données projet'!$E$10+1,1))</f>
        <v>157.21429387424644</v>
      </c>
      <c r="AO69" s="62">
        <f t="shared" ref="AO69:AO132" si="90">$AO$3</f>
        <v>264.58225136820056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53.62241263572119</v>
      </c>
      <c r="AV69" s="23">
        <f>EXP(-LN(2)/25)*AV68+(1-EXP(-LN(2)/25))/(LN(2)/25)*Calculateur!AQ69*Calculateur!AS69*VLOOKUP('Données projet'!$B$10,Paramètres!$A$1:$I$89,3,0)*0.475*44/12</f>
        <v>1.232149084408958</v>
      </c>
      <c r="AW69" s="23">
        <f>EXP(-LN(2)/2)*AW68+(1-EXP(-LN(2)/2))/(LN(2)/2)*AQ69*AT69*VLOOKUP('Données projet'!$B$10,Paramètres!$A$1:$I$89,3,0)*0.475*44/12</f>
        <v>4.2019601390420516E-3</v>
      </c>
      <c r="AX69" s="23">
        <f t="shared" si="60"/>
        <v>54.858763680269192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5.6843418860808015E-14</v>
      </c>
      <c r="AJ70" s="14">
        <f>AI70*VLOOKUP('Données projet'!$B$10,Paramètres!$A$1:$I$89,3,0)*VLOOKUP('Données projet'!$B$10,Paramètres!$A$1:$I$89,5,0)</f>
        <v>3.3992364478763198E-14</v>
      </c>
      <c r="AK70" s="14">
        <f t="shared" si="89"/>
        <v>5.790027782444094E-13</v>
      </c>
      <c r="AL70" s="22">
        <f t="shared" si="58"/>
        <v>1.0676332069095257E-12</v>
      </c>
      <c r="AM70" s="62">
        <f t="shared" si="59"/>
        <v>293.33333333333439</v>
      </c>
      <c r="AN70" s="62">
        <f ca="1">AVERAGE(OFFSET($AM$3,0,0,'Données projet'!$E$10+1,1))-AVERAGE(OFFSET($H$3,0,0,'Données projet'!$E$10+1,1))</f>
        <v>157.21429387424644</v>
      </c>
      <c r="AO70" s="62">
        <f t="shared" si="90"/>
        <v>264.58225136820056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52.570909830376912</v>
      </c>
      <c r="AV70" s="23">
        <f>EXP(-LN(2)/25)*AV69+(1-EXP(-LN(2)/25))/(LN(2)/25)*Calculateur!AQ70*Calculateur!AS70*VLOOKUP('Données projet'!$B$10,Paramètres!$A$1:$I$89,3,0)*0.475*44/12</f>
        <v>1.1984559028998909</v>
      </c>
      <c r="AW70" s="23">
        <f>EXP(-LN(2)/2)*AW69+(1-EXP(-LN(2)/2))/(LN(2)/2)*AQ70*AT70*VLOOKUP('Données projet'!$B$10,Paramètres!$A$1:$I$89,3,0)*0.475*44/12</f>
        <v>2.9712345085922028E-3</v>
      </c>
      <c r="AX70" s="23">
        <f t="shared" si="60"/>
        <v>53.772336967785392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5.6843418860808015E-14</v>
      </c>
      <c r="AJ71" s="14">
        <f>AI71*VLOOKUP('Données projet'!$B$10,Paramètres!$A$1:$I$89,3,0)*VLOOKUP('Données projet'!$B$10,Paramètres!$A$1:$I$89,5,0)</f>
        <v>3.3992364478763198E-14</v>
      </c>
      <c r="AK71" s="14">
        <f t="shared" si="89"/>
        <v>5.790027782444094E-13</v>
      </c>
      <c r="AL71" s="22">
        <f t="shared" si="58"/>
        <v>1.0676332069095257E-12</v>
      </c>
      <c r="AM71" s="62">
        <f t="shared" si="59"/>
        <v>293.33333333333439</v>
      </c>
      <c r="AN71" s="62">
        <f ca="1">AVERAGE(OFFSET($AM$3,0,0,'Données projet'!$E$10+1,1))-AVERAGE(OFFSET($H$3,0,0,'Données projet'!$E$10+1,1))</f>
        <v>157.21429387424644</v>
      </c>
      <c r="AO71" s="62">
        <f t="shared" si="90"/>
        <v>264.58225136820056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51.540026353692056</v>
      </c>
      <c r="AV71" s="23">
        <f>EXP(-LN(2)/25)*AV70+(1-EXP(-LN(2)/25))/(LN(2)/25)*Calculateur!AQ71*Calculateur!AS71*VLOOKUP('Données projet'!$B$10,Paramètres!$A$1:$I$89,3,0)*0.475*44/12</f>
        <v>1.1656840632110366</v>
      </c>
      <c r="AW71" s="23">
        <f>EXP(-LN(2)/2)*AW70+(1-EXP(-LN(2)/2))/(LN(2)/2)*AQ71*AT71*VLOOKUP('Données projet'!$B$10,Paramètres!$A$1:$I$89,3,0)*0.475*44/12</f>
        <v>2.1009800695210258E-3</v>
      </c>
      <c r="AX71" s="23">
        <f t="shared" si="60"/>
        <v>52.707811396972616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5.6843418860808015E-14</v>
      </c>
      <c r="AJ72" s="14">
        <f>AI72*VLOOKUP('Données projet'!$B$10,Paramètres!$A$1:$I$89,3,0)*VLOOKUP('Données projet'!$B$10,Paramètres!$A$1:$I$89,5,0)</f>
        <v>3.3992364478763198E-14</v>
      </c>
      <c r="AK72" s="14">
        <f t="shared" si="89"/>
        <v>5.790027782444094E-13</v>
      </c>
      <c r="AL72" s="22">
        <f t="shared" si="58"/>
        <v>1.0676332069095257E-12</v>
      </c>
      <c r="AM72" s="62">
        <f t="shared" si="59"/>
        <v>293.33333333333439</v>
      </c>
      <c r="AN72" s="62">
        <f ca="1">AVERAGE(OFFSET($AM$3,0,0,'Données projet'!$E$10+1,1))-AVERAGE(OFFSET($H$3,0,0,'Données projet'!$E$10+1,1))</f>
        <v>157.21429387424644</v>
      </c>
      <c r="AO72" s="62">
        <f t="shared" si="90"/>
        <v>264.58225136820056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50.529357873208156</v>
      </c>
      <c r="AV72" s="23">
        <f>EXP(-LN(2)/25)*AV71+(1-EXP(-LN(2)/25))/(LN(2)/25)*Calculateur!AQ72*Calculateur!AS72*VLOOKUP('Données projet'!$B$10,Paramètres!$A$1:$I$89,3,0)*0.475*44/12</f>
        <v>1.1338083712018701</v>
      </c>
      <c r="AW72" s="23">
        <f>EXP(-LN(2)/2)*AW71+(1-EXP(-LN(2)/2))/(LN(2)/2)*AQ72*AT72*VLOOKUP('Données projet'!$B$10,Paramètres!$A$1:$I$89,3,0)*0.475*44/12</f>
        <v>1.4856172542961014E-3</v>
      </c>
      <c r="AX72" s="23">
        <f t="shared" si="60"/>
        <v>51.664651861664325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5.6843418860808015E-14</v>
      </c>
      <c r="AJ73" s="14">
        <f>AI73*VLOOKUP('Données projet'!$B$10,Paramètres!$A$1:$I$89,3,0)*VLOOKUP('Données projet'!$B$10,Paramètres!$A$1:$I$89,5,0)</f>
        <v>3.3992364478763198E-14</v>
      </c>
      <c r="AK73" s="14">
        <f t="shared" si="89"/>
        <v>5.790027782444094E-13</v>
      </c>
      <c r="AL73" s="22">
        <f t="shared" si="58"/>
        <v>1.0676332069095257E-12</v>
      </c>
      <c r="AM73" s="62">
        <f t="shared" si="59"/>
        <v>293.33333333333439</v>
      </c>
      <c r="AN73" s="62">
        <f ca="1">AVERAGE(OFFSET($AM$3,0,0,'Données projet'!$E$10+1,1))-AVERAGE(OFFSET($H$3,0,0,'Données projet'!$E$10+1,1))</f>
        <v>157.21429387424644</v>
      </c>
      <c r="AO73" s="62">
        <f t="shared" si="90"/>
        <v>264.58225136820056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49.538507985179635</v>
      </c>
      <c r="AV73" s="23">
        <f>EXP(-LN(2)/25)*AV72+(1-EXP(-LN(2)/25))/(LN(2)/25)*Calculateur!AQ73*Calculateur!AS73*VLOOKUP('Données projet'!$B$10,Paramètres!$A$1:$I$89,3,0)*0.475*44/12</f>
        <v>1.1028043216669641</v>
      </c>
      <c r="AW73" s="23">
        <f>EXP(-LN(2)/2)*AW72+(1-EXP(-LN(2)/2))/(LN(2)/2)*AQ73*AT73*VLOOKUP('Données projet'!$B$10,Paramètres!$A$1:$I$89,3,0)*0.475*44/12</f>
        <v>1.0504900347605129E-3</v>
      </c>
      <c r="AX73" s="23">
        <f t="shared" si="60"/>
        <v>50.642362796881358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5.6843418860808015E-14</v>
      </c>
      <c r="AJ74" s="14">
        <f>AI74*VLOOKUP('Données projet'!$B$10,Paramètres!$A$1:$I$89,3,0)*VLOOKUP('Données projet'!$B$10,Paramètres!$A$1:$I$89,5,0)</f>
        <v>3.3992364478763198E-14</v>
      </c>
      <c r="AK74" s="14">
        <f t="shared" si="89"/>
        <v>5.790027782444094E-13</v>
      </c>
      <c r="AL74" s="22">
        <f t="shared" si="58"/>
        <v>1.0676332069095257E-12</v>
      </c>
      <c r="AM74" s="62">
        <f t="shared" si="59"/>
        <v>293.33333333333439</v>
      </c>
      <c r="AN74" s="62">
        <f ca="1">AVERAGE(OFFSET($AM$3,0,0,'Données projet'!$E$10+1,1))-AVERAGE(OFFSET($H$3,0,0,'Données projet'!$E$10+1,1))</f>
        <v>157.21429387424644</v>
      </c>
      <c r="AO74" s="62">
        <f t="shared" si="90"/>
        <v>264.58225136820056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48.567088059096598</v>
      </c>
      <c r="AV74" s="23">
        <f>EXP(-LN(2)/25)*AV73+(1-EXP(-LN(2)/25))/(LN(2)/25)*Calculateur!AQ74*Calculateur!AS74*VLOOKUP('Données projet'!$B$10,Paramètres!$A$1:$I$89,3,0)*0.475*44/12</f>
        <v>1.0726480794970221</v>
      </c>
      <c r="AW74" s="23">
        <f>EXP(-LN(2)/2)*AW73+(1-EXP(-LN(2)/2))/(LN(2)/2)*AQ74*AT74*VLOOKUP('Données projet'!$B$10,Paramètres!$A$1:$I$89,3,0)*0.475*44/12</f>
        <v>7.4280862714805069E-4</v>
      </c>
      <c r="AX74" s="23">
        <f t="shared" si="60"/>
        <v>49.640478947220764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5.6843418860808015E-14</v>
      </c>
      <c r="AJ75" s="14">
        <f>AI75*VLOOKUP('Données projet'!$B$10,Paramètres!$A$1:$I$89,3,0)*VLOOKUP('Données projet'!$B$10,Paramètres!$A$1:$I$89,5,0)</f>
        <v>3.3992364478763198E-14</v>
      </c>
      <c r="AK75" s="14">
        <f t="shared" si="89"/>
        <v>5.790027782444094E-13</v>
      </c>
      <c r="AL75" s="22">
        <f t="shared" si="58"/>
        <v>1.0676332069095257E-12</v>
      </c>
      <c r="AM75" s="62">
        <f t="shared" si="59"/>
        <v>293.33333333333439</v>
      </c>
      <c r="AN75" s="62">
        <f ca="1">AVERAGE(OFFSET($AM$3,0,0,'Données projet'!$E$10+1,1))-AVERAGE(OFFSET($H$3,0,0,'Données projet'!$E$10+1,1))</f>
        <v>157.21429387424644</v>
      </c>
      <c r="AO75" s="62">
        <f t="shared" si="90"/>
        <v>264.58225136820056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47.614717085256402</v>
      </c>
      <c r="AV75" s="23">
        <f>EXP(-LN(2)/25)*AV74+(1-EXP(-LN(2)/25))/(LN(2)/25)*Calculateur!AQ75*Calculateur!AS75*VLOOKUP('Données projet'!$B$10,Paramètres!$A$1:$I$89,3,0)*0.475*44/12</f>
        <v>1.0433164613550652</v>
      </c>
      <c r="AW75" s="23">
        <f>EXP(-LN(2)/2)*AW74+(1-EXP(-LN(2)/2))/(LN(2)/2)*AQ75*AT75*VLOOKUP('Données projet'!$B$10,Paramètres!$A$1:$I$89,3,0)*0.475*44/12</f>
        <v>5.2524501738025644E-4</v>
      </c>
      <c r="AX75" s="23">
        <f t="shared" si="60"/>
        <v>48.658558791628842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5.6843418860808015E-14</v>
      </c>
      <c r="AJ76" s="14">
        <f>AI76*VLOOKUP('Données projet'!$B$10,Paramètres!$A$1:$I$89,3,0)*VLOOKUP('Données projet'!$B$10,Paramètres!$A$1:$I$89,5,0)</f>
        <v>3.3992364478763198E-14</v>
      </c>
      <c r="AK76" s="14">
        <f t="shared" si="89"/>
        <v>5.790027782444094E-13</v>
      </c>
      <c r="AL76" s="22">
        <f t="shared" si="58"/>
        <v>1.0676332069095257E-12</v>
      </c>
      <c r="AM76" s="62">
        <f t="shared" si="59"/>
        <v>293.33333333333439</v>
      </c>
      <c r="AN76" s="62">
        <f ca="1">AVERAGE(OFFSET($AM$3,0,0,'Données projet'!$E$10+1,1))-AVERAGE(OFFSET($H$3,0,0,'Données projet'!$E$10+1,1))</f>
        <v>157.21429387424644</v>
      </c>
      <c r="AO76" s="62">
        <f t="shared" si="90"/>
        <v>264.58225136820056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46.681021525324276</v>
      </c>
      <c r="AV76" s="23">
        <f>EXP(-LN(2)/25)*AV75+(1-EXP(-LN(2)/25))/(LN(2)/25)*Calculateur!AQ76*Calculateur!AS76*VLOOKUP('Données projet'!$B$10,Paramètres!$A$1:$I$89,3,0)*0.475*44/12</f>
        <v>1.0147869178536828</v>
      </c>
      <c r="AW76" s="23">
        <f>EXP(-LN(2)/2)*AW75+(1-EXP(-LN(2)/2))/(LN(2)/2)*AQ76*AT76*VLOOKUP('Données projet'!$B$10,Paramètres!$A$1:$I$89,3,0)*0.475*44/12</f>
        <v>3.7140431357402534E-4</v>
      </c>
      <c r="AX76" s="23">
        <f t="shared" si="60"/>
        <v>47.696179847491535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5.6843418860808015E-14</v>
      </c>
      <c r="AJ77" s="14">
        <f>AI77*VLOOKUP('Données projet'!$B$10,Paramètres!$A$1:$I$89,3,0)*VLOOKUP('Données projet'!$B$10,Paramètres!$A$1:$I$89,5,0)</f>
        <v>3.3992364478763198E-14</v>
      </c>
      <c r="AK77" s="14">
        <f t="shared" si="89"/>
        <v>5.790027782444094E-13</v>
      </c>
      <c r="AL77" s="22">
        <f t="shared" si="58"/>
        <v>1.0676332069095257E-12</v>
      </c>
      <c r="AM77" s="62">
        <f t="shared" si="59"/>
        <v>293.33333333333439</v>
      </c>
      <c r="AN77" s="62">
        <f ca="1">AVERAGE(OFFSET($AM$3,0,0,'Données projet'!$E$10+1,1))-AVERAGE(OFFSET($H$3,0,0,'Données projet'!$E$10+1,1))</f>
        <v>157.21429387424644</v>
      </c>
      <c r="AO77" s="62">
        <f t="shared" si="90"/>
        <v>264.58225136820056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45.765635165824364</v>
      </c>
      <c r="AV77" s="23">
        <f>EXP(-LN(2)/25)*AV76+(1-EXP(-LN(2)/25))/(LN(2)/25)*Calculateur!AQ77*Calculateur!AS77*VLOOKUP('Données projet'!$B$10,Paramètres!$A$1:$I$89,3,0)*0.475*44/12</f>
        <v>0.98703751621964919</v>
      </c>
      <c r="AW77" s="23">
        <f>EXP(-LN(2)/2)*AW76+(1-EXP(-LN(2)/2))/(LN(2)/2)*AQ77*AT77*VLOOKUP('Données projet'!$B$10,Paramètres!$A$1:$I$89,3,0)*0.475*44/12</f>
        <v>2.6262250869012822E-4</v>
      </c>
      <c r="AX77" s="23">
        <f t="shared" si="60"/>
        <v>46.752935304552707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5.6843418860808015E-14</v>
      </c>
      <c r="AJ78" s="14">
        <f>AI78*VLOOKUP('Données projet'!$B$10,Paramètres!$A$1:$I$89,3,0)*VLOOKUP('Données projet'!$B$10,Paramètres!$A$1:$I$89,5,0)</f>
        <v>3.3992364478763198E-14</v>
      </c>
      <c r="AK78" s="14">
        <f t="shared" si="89"/>
        <v>5.790027782444094E-13</v>
      </c>
      <c r="AL78" s="22">
        <f t="shared" si="58"/>
        <v>1.0676332069095257E-12</v>
      </c>
      <c r="AM78" s="62">
        <f t="shared" si="59"/>
        <v>293.33333333333439</v>
      </c>
      <c r="AN78" s="62">
        <f ca="1">AVERAGE(OFFSET($AM$3,0,0,'Données projet'!$E$10+1,1))-AVERAGE(OFFSET($H$3,0,0,'Données projet'!$E$10+1,1))</f>
        <v>157.21429387424644</v>
      </c>
      <c r="AO78" s="62">
        <f t="shared" si="90"/>
        <v>264.58225136820056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44.868198974503692</v>
      </c>
      <c r="AV78" s="23">
        <f>EXP(-LN(2)/25)*AV77+(1-EXP(-LN(2)/25))/(LN(2)/25)*Calculateur!AQ78*Calculateur!AS78*VLOOKUP('Données projet'!$B$10,Paramètres!$A$1:$I$89,3,0)*0.475*44/12</f>
        <v>0.96004692343257581</v>
      </c>
      <c r="AW78" s="23">
        <f>EXP(-LN(2)/2)*AW77+(1-EXP(-LN(2)/2))/(LN(2)/2)*AQ78*AT78*VLOOKUP('Données projet'!$B$10,Paramètres!$A$1:$I$89,3,0)*0.475*44/12</f>
        <v>1.8570215678701267E-4</v>
      </c>
      <c r="AX78" s="23">
        <f t="shared" si="60"/>
        <v>45.828431600093054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5.6843418860808015E-14</v>
      </c>
      <c r="AJ79" s="14">
        <f>AI79*VLOOKUP('Données projet'!$B$10,Paramètres!$A$1:$I$89,3,0)*VLOOKUP('Données projet'!$B$10,Paramètres!$A$1:$I$89,5,0)</f>
        <v>3.3992364478763198E-14</v>
      </c>
      <c r="AK79" s="14">
        <f t="shared" si="89"/>
        <v>5.790027782444094E-13</v>
      </c>
      <c r="AL79" s="22">
        <f t="shared" si="58"/>
        <v>1.0676332069095257E-12</v>
      </c>
      <c r="AM79" s="62">
        <f t="shared" si="59"/>
        <v>293.33333333333439</v>
      </c>
      <c r="AN79" s="62">
        <f ca="1">AVERAGE(OFFSET($AM$3,0,0,'Données projet'!$E$10+1,1))-AVERAGE(OFFSET($H$3,0,0,'Données projet'!$E$10+1,1))</f>
        <v>157.21429387424644</v>
      </c>
      <c r="AO79" s="62">
        <f t="shared" si="90"/>
        <v>264.58225136820056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43.988360959512789</v>
      </c>
      <c r="AV79" s="23">
        <f>EXP(-LN(2)/25)*AV78+(1-EXP(-LN(2)/25))/(LN(2)/25)*Calculateur!AQ79*Calculateur!AS79*VLOOKUP('Données projet'!$B$10,Paramètres!$A$1:$I$89,3,0)*0.475*44/12</f>
        <v>0.93379438982463858</v>
      </c>
      <c r="AW79" s="23">
        <f>EXP(-LN(2)/2)*AW78+(1-EXP(-LN(2)/2))/(LN(2)/2)*AQ79*AT79*VLOOKUP('Données projet'!$B$10,Paramètres!$A$1:$I$89,3,0)*0.475*44/12</f>
        <v>1.3131125434506411E-4</v>
      </c>
      <c r="AX79" s="23">
        <f t="shared" si="60"/>
        <v>44.922286660591773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5.6843418860808015E-14</v>
      </c>
      <c r="AJ80" s="14">
        <f>AI80*VLOOKUP('Données projet'!$B$10,Paramètres!$A$1:$I$89,3,0)*VLOOKUP('Données projet'!$B$10,Paramètres!$A$1:$I$89,5,0)</f>
        <v>3.3992364478763198E-14</v>
      </c>
      <c r="AK80" s="14">
        <f t="shared" si="89"/>
        <v>5.790027782444094E-13</v>
      </c>
      <c r="AL80" s="22">
        <f t="shared" si="58"/>
        <v>1.0676332069095257E-12</v>
      </c>
      <c r="AM80" s="62">
        <f t="shared" si="59"/>
        <v>293.33333333333439</v>
      </c>
      <c r="AN80" s="62">
        <f ca="1">AVERAGE(OFFSET($AM$3,0,0,'Données projet'!$E$10+1,1))-AVERAGE(OFFSET($H$3,0,0,'Données projet'!$E$10+1,1))</f>
        <v>157.21429387424644</v>
      </c>
      <c r="AO80" s="62">
        <f t="shared" si="90"/>
        <v>264.58225136820056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43.125776031347662</v>
      </c>
      <c r="AV80" s="23">
        <f>EXP(-LN(2)/25)*AV79+(1-EXP(-LN(2)/25))/(LN(2)/25)*Calculateur!AQ80*Calculateur!AS80*VLOOKUP('Données projet'!$B$10,Paramètres!$A$1:$I$89,3,0)*0.475*44/12</f>
        <v>0.90825973312877106</v>
      </c>
      <c r="AW80" s="23">
        <f>EXP(-LN(2)/2)*AW79+(1-EXP(-LN(2)/2))/(LN(2)/2)*AQ80*AT80*VLOOKUP('Données projet'!$B$10,Paramètres!$A$1:$I$89,3,0)*0.475*44/12</f>
        <v>9.2851078393506336E-5</v>
      </c>
      <c r="AX80" s="23">
        <f t="shared" si="60"/>
        <v>44.034128615554827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5.6843418860808015E-14</v>
      </c>
      <c r="AJ81" s="14">
        <f>AI81*VLOOKUP('Données projet'!$B$10,Paramètres!$A$1:$I$89,3,0)*VLOOKUP('Données projet'!$B$10,Paramètres!$A$1:$I$89,5,0)</f>
        <v>3.3992364478763198E-14</v>
      </c>
      <c r="AK81" s="14">
        <f t="shared" si="89"/>
        <v>5.790027782444094E-13</v>
      </c>
      <c r="AL81" s="22">
        <f t="shared" si="58"/>
        <v>1.0676332069095257E-12</v>
      </c>
      <c r="AM81" s="62">
        <f t="shared" si="59"/>
        <v>293.33333333333439</v>
      </c>
      <c r="AN81" s="62">
        <f ca="1">AVERAGE(OFFSET($AM$3,0,0,'Données projet'!$E$10+1,1))-AVERAGE(OFFSET($H$3,0,0,'Données projet'!$E$10+1,1))</f>
        <v>157.21429387424644</v>
      </c>
      <c r="AO81" s="62">
        <f t="shared" si="90"/>
        <v>264.58225136820056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42.280105867498996</v>
      </c>
      <c r="AV81" s="23">
        <f>EXP(-LN(2)/25)*AV80+(1-EXP(-LN(2)/25))/(LN(2)/25)*Calculateur!AQ81*Calculateur!AS81*VLOOKUP('Données projet'!$B$10,Paramètres!$A$1:$I$89,3,0)*0.475*44/12</f>
        <v>0.88342332296306136</v>
      </c>
      <c r="AW81" s="23">
        <f>EXP(-LN(2)/2)*AW80+(1-EXP(-LN(2)/2))/(LN(2)/2)*AQ81*AT81*VLOOKUP('Données projet'!$B$10,Paramètres!$A$1:$I$89,3,0)*0.475*44/12</f>
        <v>6.5655627172532056E-5</v>
      </c>
      <c r="AX81" s="23">
        <f t="shared" si="60"/>
        <v>43.163594846089232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5.6843418860808015E-14</v>
      </c>
      <c r="AJ82" s="14">
        <f>AI82*VLOOKUP('Données projet'!$B$10,Paramètres!$A$1:$I$89,3,0)*VLOOKUP('Données projet'!$B$10,Paramètres!$A$1:$I$89,5,0)</f>
        <v>3.3992364478763198E-14</v>
      </c>
      <c r="AK82" s="14">
        <f t="shared" si="89"/>
        <v>5.790027782444094E-13</v>
      </c>
      <c r="AL82" s="22">
        <f t="shared" si="58"/>
        <v>1.0676332069095257E-12</v>
      </c>
      <c r="AM82" s="62">
        <f t="shared" si="59"/>
        <v>293.33333333333439</v>
      </c>
      <c r="AN82" s="62">
        <f ca="1">AVERAGE(OFFSET($AM$3,0,0,'Données projet'!$E$10+1,1))-AVERAGE(OFFSET($H$3,0,0,'Données projet'!$E$10+1,1))</f>
        <v>157.21429387424644</v>
      </c>
      <c r="AO82" s="62">
        <f t="shared" si="90"/>
        <v>264.58225136820056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41.451018779755536</v>
      </c>
      <c r="AV82" s="23">
        <f>EXP(-LN(2)/25)*AV81+(1-EXP(-LN(2)/25))/(LN(2)/25)*Calculateur!AQ82*Calculateur!AS82*VLOOKUP('Données projet'!$B$10,Paramètres!$A$1:$I$89,3,0)*0.475*44/12</f>
        <v>0.85926606573942299</v>
      </c>
      <c r="AW82" s="23">
        <f>EXP(-LN(2)/2)*AW81+(1-EXP(-LN(2)/2))/(LN(2)/2)*AQ82*AT82*VLOOKUP('Données projet'!$B$10,Paramètres!$A$1:$I$89,3,0)*0.475*44/12</f>
        <v>4.6425539196753168E-5</v>
      </c>
      <c r="AX82" s="23">
        <f t="shared" si="60"/>
        <v>42.310331271034158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5.6843418860808015E-14</v>
      </c>
      <c r="AJ83" s="14">
        <f>AI83*VLOOKUP('Données projet'!$B$10,Paramètres!$A$1:$I$89,3,0)*VLOOKUP('Données projet'!$B$10,Paramètres!$A$1:$I$89,5,0)</f>
        <v>3.3992364478763198E-14</v>
      </c>
      <c r="AK83" s="14">
        <f t="shared" si="89"/>
        <v>5.790027782444094E-13</v>
      </c>
      <c r="AL83" s="22">
        <f t="shared" si="58"/>
        <v>1.0676332069095257E-12</v>
      </c>
      <c r="AM83" s="62">
        <f t="shared" si="59"/>
        <v>293.33333333333439</v>
      </c>
      <c r="AN83" s="62">
        <f ca="1">AVERAGE(OFFSET($AM$3,0,0,'Données projet'!$E$10+1,1))-AVERAGE(OFFSET($H$3,0,0,'Données projet'!$E$10+1,1))</f>
        <v>157.21429387424644</v>
      </c>
      <c r="AO83" s="62">
        <f t="shared" si="90"/>
        <v>264.58225136820056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40.638189584109533</v>
      </c>
      <c r="AV83" s="23">
        <f>EXP(-LN(2)/25)*AV82+(1-EXP(-LN(2)/25))/(LN(2)/25)*Calculateur!AQ83*Calculateur!AS83*VLOOKUP('Données projet'!$B$10,Paramètres!$A$1:$I$89,3,0)*0.475*44/12</f>
        <v>0.83576938998493999</v>
      </c>
      <c r="AW83" s="23">
        <f>EXP(-LN(2)/2)*AW82+(1-EXP(-LN(2)/2))/(LN(2)/2)*AQ83*AT83*VLOOKUP('Données projet'!$B$10,Paramètres!$A$1:$I$89,3,0)*0.475*44/12</f>
        <v>3.2827813586266028E-5</v>
      </c>
      <c r="AX83" s="23">
        <f t="shared" si="60"/>
        <v>41.473991801908056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5.6843418860808015E-14</v>
      </c>
      <c r="AJ84" s="14">
        <f>AI84*VLOOKUP('Données projet'!$B$10,Paramètres!$A$1:$I$89,3,0)*VLOOKUP('Données projet'!$B$10,Paramètres!$A$1:$I$89,5,0)</f>
        <v>3.3992364478763198E-14</v>
      </c>
      <c r="AK84" s="14">
        <f t="shared" si="89"/>
        <v>5.790027782444094E-13</v>
      </c>
      <c r="AL84" s="22">
        <f t="shared" si="58"/>
        <v>1.0676332069095257E-12</v>
      </c>
      <c r="AM84" s="62">
        <f t="shared" si="59"/>
        <v>293.33333333333439</v>
      </c>
      <c r="AN84" s="62">
        <f ca="1">AVERAGE(OFFSET($AM$3,0,0,'Données projet'!$E$10+1,1))-AVERAGE(OFFSET($H$3,0,0,'Données projet'!$E$10+1,1))</f>
        <v>157.21429387424644</v>
      </c>
      <c r="AO84" s="62">
        <f t="shared" si="90"/>
        <v>264.58225136820056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39.84129947321329</v>
      </c>
      <c r="AV84" s="23">
        <f>EXP(-LN(2)/25)*AV83+(1-EXP(-LN(2)/25))/(LN(2)/25)*Calculateur!AQ84*Calculateur!AS84*VLOOKUP('Données projet'!$B$10,Paramètres!$A$1:$I$89,3,0)*0.475*44/12</f>
        <v>0.81291523206459981</v>
      </c>
      <c r="AW84" s="23">
        <f>EXP(-LN(2)/2)*AW83+(1-EXP(-LN(2)/2))/(LN(2)/2)*AQ84*AT84*VLOOKUP('Données projet'!$B$10,Paramètres!$A$1:$I$89,3,0)*0.475*44/12</f>
        <v>2.3212769598376584E-5</v>
      </c>
      <c r="AX84" s="23">
        <f t="shared" si="60"/>
        <v>40.654237918047485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5.6843418860808015E-14</v>
      </c>
      <c r="AJ85" s="14">
        <f>AI85*VLOOKUP('Données projet'!$B$10,Paramètres!$A$1:$I$89,3,0)*VLOOKUP('Données projet'!$B$10,Paramètres!$A$1:$I$89,5,0)</f>
        <v>3.3992364478763198E-14</v>
      </c>
      <c r="AK85" s="14">
        <f t="shared" si="89"/>
        <v>5.790027782444094E-13</v>
      </c>
      <c r="AL85" s="22">
        <f t="shared" si="58"/>
        <v>1.0676332069095257E-12</v>
      </c>
      <c r="AM85" s="62">
        <f t="shared" si="59"/>
        <v>293.33333333333439</v>
      </c>
      <c r="AN85" s="62">
        <f ca="1">AVERAGE(OFFSET($AM$3,0,0,'Données projet'!$E$10+1,1))-AVERAGE(OFFSET($H$3,0,0,'Données projet'!$E$10+1,1))</f>
        <v>157.21429387424644</v>
      </c>
      <c r="AO85" s="62">
        <f t="shared" si="90"/>
        <v>264.58225136820056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39.060035891336753</v>
      </c>
      <c r="AV85" s="23">
        <f>EXP(-LN(2)/25)*AV84+(1-EXP(-LN(2)/25))/(LN(2)/25)*Calculateur!AQ85*Calculateur!AS85*VLOOKUP('Données projet'!$B$10,Paramètres!$A$1:$I$89,3,0)*0.475*44/12</f>
        <v>0.79068602229443918</v>
      </c>
      <c r="AW85" s="23">
        <f>EXP(-LN(2)/2)*AW84+(1-EXP(-LN(2)/2))/(LN(2)/2)*AQ85*AT85*VLOOKUP('Données projet'!$B$10,Paramètres!$A$1:$I$89,3,0)*0.475*44/12</f>
        <v>1.6413906793133014E-5</v>
      </c>
      <c r="AX85" s="23">
        <f t="shared" si="60"/>
        <v>39.850738327537982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5.6843418860808015E-14</v>
      </c>
      <c r="AJ86" s="14">
        <f>AI86*VLOOKUP('Données projet'!$B$10,Paramètres!$A$1:$I$89,3,0)*VLOOKUP('Données projet'!$B$10,Paramètres!$A$1:$I$89,5,0)</f>
        <v>3.3992364478763198E-14</v>
      </c>
      <c r="AK86" s="14">
        <f t="shared" si="89"/>
        <v>5.790027782444094E-13</v>
      </c>
      <c r="AL86" s="22">
        <f t="shared" si="58"/>
        <v>1.0676332069095257E-12</v>
      </c>
      <c r="AM86" s="62">
        <f t="shared" si="59"/>
        <v>293.33333333333439</v>
      </c>
      <c r="AN86" s="62">
        <f ca="1">AVERAGE(OFFSET($AM$3,0,0,'Données projet'!$E$10+1,1))-AVERAGE(OFFSET($H$3,0,0,'Données projet'!$E$10+1,1))</f>
        <v>157.21429387424644</v>
      </c>
      <c r="AO86" s="62">
        <f t="shared" si="90"/>
        <v>264.58225136820056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38.294092411777079</v>
      </c>
      <c r="AV86" s="23">
        <f>EXP(-LN(2)/25)*AV85+(1-EXP(-LN(2)/25))/(LN(2)/25)*Calculateur!AQ86*Calculateur!AS86*VLOOKUP('Données projet'!$B$10,Paramètres!$A$1:$I$89,3,0)*0.475*44/12</f>
        <v>0.76906467143442692</v>
      </c>
      <c r="AW86" s="23">
        <f>EXP(-LN(2)/2)*AW85+(1-EXP(-LN(2)/2))/(LN(2)/2)*AQ86*AT86*VLOOKUP('Données projet'!$B$10,Paramètres!$A$1:$I$89,3,0)*0.475*44/12</f>
        <v>1.1606384799188292E-5</v>
      </c>
      <c r="AX86" s="23">
        <f t="shared" si="60"/>
        <v>39.06316868959631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5.6843418860808015E-14</v>
      </c>
      <c r="AJ87" s="14">
        <f>AI87*VLOOKUP('Données projet'!$B$10,Paramètres!$A$1:$I$89,3,0)*VLOOKUP('Données projet'!$B$10,Paramètres!$A$1:$I$89,5,0)</f>
        <v>3.3992364478763198E-14</v>
      </c>
      <c r="AK87" s="14">
        <f t="shared" si="89"/>
        <v>5.790027782444094E-13</v>
      </c>
      <c r="AL87" s="22">
        <f t="shared" si="58"/>
        <v>1.0676332069095257E-12</v>
      </c>
      <c r="AM87" s="62">
        <f t="shared" si="59"/>
        <v>293.33333333333439</v>
      </c>
      <c r="AN87" s="62">
        <f ca="1">AVERAGE(OFFSET($AM$3,0,0,'Données projet'!$E$10+1,1))-AVERAGE(OFFSET($H$3,0,0,'Données projet'!$E$10+1,1))</f>
        <v>157.21429387424644</v>
      </c>
      <c r="AO87" s="62">
        <f t="shared" si="90"/>
        <v>264.58225136820056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37.543168616672183</v>
      </c>
      <c r="AV87" s="23">
        <f>EXP(-LN(2)/25)*AV86+(1-EXP(-LN(2)/25))/(LN(2)/25)*Calculateur!AQ87*Calculateur!AS87*VLOOKUP('Données projet'!$B$10,Paramètres!$A$1:$I$89,3,0)*0.475*44/12</f>
        <v>0.74803455755069914</v>
      </c>
      <c r="AW87" s="23">
        <f>EXP(-LN(2)/2)*AW86+(1-EXP(-LN(2)/2))/(LN(2)/2)*AQ87*AT87*VLOOKUP('Données projet'!$B$10,Paramètres!$A$1:$I$89,3,0)*0.475*44/12</f>
        <v>8.2069533965665069E-6</v>
      </c>
      <c r="AX87" s="23">
        <f t="shared" si="60"/>
        <v>38.291211381176275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5.6843418860808015E-14</v>
      </c>
      <c r="AJ88" s="14">
        <f>AI88*VLOOKUP('Données projet'!$B$10,Paramètres!$A$1:$I$89,3,0)*VLOOKUP('Données projet'!$B$10,Paramètres!$A$1:$I$89,5,0)</f>
        <v>3.3992364478763198E-14</v>
      </c>
      <c r="AK88" s="14">
        <f t="shared" si="89"/>
        <v>5.790027782444094E-13</v>
      </c>
      <c r="AL88" s="22">
        <f t="shared" si="58"/>
        <v>1.0676332069095257E-12</v>
      </c>
      <c r="AM88" s="62">
        <f t="shared" si="59"/>
        <v>293.33333333333439</v>
      </c>
      <c r="AN88" s="62">
        <f ca="1">AVERAGE(OFFSET($AM$3,0,0,'Données projet'!$E$10+1,1))-AVERAGE(OFFSET($H$3,0,0,'Données projet'!$E$10+1,1))</f>
        <v>157.21429387424644</v>
      </c>
      <c r="AO88" s="62">
        <f t="shared" si="90"/>
        <v>264.58225136820056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36.806969979171001</v>
      </c>
      <c r="AV88" s="23">
        <f>EXP(-LN(2)/25)*AV87+(1-EXP(-LN(2)/25))/(LN(2)/25)*Calculateur!AQ88*Calculateur!AS88*VLOOKUP('Données projet'!$B$10,Paramètres!$A$1:$I$89,3,0)*0.475*44/12</f>
        <v>0.7275795132370475</v>
      </c>
      <c r="AW88" s="23">
        <f>EXP(-LN(2)/2)*AW87+(1-EXP(-LN(2)/2))/(LN(2)/2)*AQ88*AT88*VLOOKUP('Données projet'!$B$10,Paramètres!$A$1:$I$89,3,0)*0.475*44/12</f>
        <v>5.803192399594146E-6</v>
      </c>
      <c r="AX88" s="23">
        <f t="shared" si="60"/>
        <v>37.534555295600448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5.6843418860808015E-14</v>
      </c>
      <c r="AJ89" s="14">
        <f>AI89*VLOOKUP('Données projet'!$B$10,Paramètres!$A$1:$I$89,3,0)*VLOOKUP('Données projet'!$B$10,Paramètres!$A$1:$I$89,5,0)</f>
        <v>3.3992364478763198E-14</v>
      </c>
      <c r="AK89" s="14">
        <f t="shared" si="89"/>
        <v>5.790027782444094E-13</v>
      </c>
      <c r="AL89" s="22">
        <f t="shared" si="58"/>
        <v>1.0676332069095257E-12</v>
      </c>
      <c r="AM89" s="62">
        <f t="shared" si="59"/>
        <v>293.33333333333439</v>
      </c>
      <c r="AN89" s="62">
        <f ca="1">AVERAGE(OFFSET($AM$3,0,0,'Données projet'!$E$10+1,1))-AVERAGE(OFFSET($H$3,0,0,'Données projet'!$E$10+1,1))</f>
        <v>157.21429387424644</v>
      </c>
      <c r="AO89" s="62">
        <f t="shared" si="90"/>
        <v>264.58225136820056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36.085207747914389</v>
      </c>
      <c r="AV89" s="23">
        <f>EXP(-LN(2)/25)*AV88+(1-EXP(-LN(2)/25))/(LN(2)/25)*Calculateur!AQ89*Calculateur!AS89*VLOOKUP('Données projet'!$B$10,Paramètres!$A$1:$I$89,3,0)*0.475*44/12</f>
        <v>0.70768381318583673</v>
      </c>
      <c r="AW89" s="23">
        <f>EXP(-LN(2)/2)*AW88+(1-EXP(-LN(2)/2))/(LN(2)/2)*AQ89*AT89*VLOOKUP('Données projet'!$B$10,Paramètres!$A$1:$I$89,3,0)*0.475*44/12</f>
        <v>4.1034766982832535E-6</v>
      </c>
      <c r="AX89" s="23">
        <f t="shared" si="60"/>
        <v>36.792895664576925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5.6843418860808015E-14</v>
      </c>
      <c r="AJ90" s="14">
        <f>AI90*VLOOKUP('Données projet'!$B$10,Paramètres!$A$1:$I$89,3,0)*VLOOKUP('Données projet'!$B$10,Paramètres!$A$1:$I$89,5,0)</f>
        <v>3.3992364478763198E-14</v>
      </c>
      <c r="AK90" s="14">
        <f t="shared" si="89"/>
        <v>5.790027782444094E-13</v>
      </c>
      <c r="AL90" s="22">
        <f t="shared" si="58"/>
        <v>1.0676332069095257E-12</v>
      </c>
      <c r="AM90" s="62">
        <f t="shared" si="59"/>
        <v>293.33333333333439</v>
      </c>
      <c r="AN90" s="62">
        <f ca="1">AVERAGE(OFFSET($AM$3,0,0,'Données projet'!$E$10+1,1))-AVERAGE(OFFSET($H$3,0,0,'Données projet'!$E$10+1,1))</f>
        <v>157.21429387424644</v>
      </c>
      <c r="AO90" s="62">
        <f t="shared" si="90"/>
        <v>264.58225136820056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35.377598833781228</v>
      </c>
      <c r="AV90" s="23">
        <f>EXP(-LN(2)/25)*AV89+(1-EXP(-LN(2)/25))/(LN(2)/25)*Calculateur!AQ90*Calculateur!AS90*VLOOKUP('Données projet'!$B$10,Paramètres!$A$1:$I$89,3,0)*0.475*44/12</f>
        <v>0.68833216209879577</v>
      </c>
      <c r="AW90" s="23">
        <f>EXP(-LN(2)/2)*AW89+(1-EXP(-LN(2)/2))/(LN(2)/2)*AQ90*AT90*VLOOKUP('Données projet'!$B$10,Paramètres!$A$1:$I$89,3,0)*0.475*44/12</f>
        <v>2.901596199797073E-6</v>
      </c>
      <c r="AX90" s="23">
        <f t="shared" si="60"/>
        <v>36.065933897476221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5.6843418860808015E-14</v>
      </c>
      <c r="AJ91" s="14">
        <f>AI91*VLOOKUP('Données projet'!$B$10,Paramètres!$A$1:$I$89,3,0)*VLOOKUP('Données projet'!$B$10,Paramètres!$A$1:$I$89,5,0)</f>
        <v>3.3992364478763198E-14</v>
      </c>
      <c r="AK91" s="14">
        <f t="shared" si="89"/>
        <v>5.790027782444094E-13</v>
      </c>
      <c r="AL91" s="22">
        <f t="shared" si="58"/>
        <v>1.0676332069095257E-12</v>
      </c>
      <c r="AM91" s="62">
        <f t="shared" si="59"/>
        <v>293.33333333333439</v>
      </c>
      <c r="AN91" s="62">
        <f ca="1">AVERAGE(OFFSET($AM$3,0,0,'Données projet'!$E$10+1,1))-AVERAGE(OFFSET($H$3,0,0,'Données projet'!$E$10+1,1))</f>
        <v>157.21429387424644</v>
      </c>
      <c r="AO91" s="62">
        <f t="shared" si="90"/>
        <v>264.58225136820056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34.683865698855399</v>
      </c>
      <c r="AV91" s="23">
        <f>EXP(-LN(2)/25)*AV90+(1-EXP(-LN(2)/25))/(LN(2)/25)*Calculateur!AQ91*Calculateur!AS91*VLOOKUP('Données projet'!$B$10,Paramètres!$A$1:$I$89,3,0)*0.475*44/12</f>
        <v>0.66950968292838897</v>
      </c>
      <c r="AW91" s="23">
        <f>EXP(-LN(2)/2)*AW90+(1-EXP(-LN(2)/2))/(LN(2)/2)*AQ91*AT91*VLOOKUP('Données projet'!$B$10,Paramètres!$A$1:$I$89,3,0)*0.475*44/12</f>
        <v>2.0517383491416267E-6</v>
      </c>
      <c r="AX91" s="23">
        <f t="shared" si="60"/>
        <v>35.353377433522134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5.6843418860808015E-14</v>
      </c>
      <c r="AJ92" s="14">
        <f>AI92*VLOOKUP('Données projet'!$B$10,Paramètres!$A$1:$I$89,3,0)*VLOOKUP('Données projet'!$B$10,Paramètres!$A$1:$I$89,5,0)</f>
        <v>3.3992364478763198E-14</v>
      </c>
      <c r="AK92" s="14">
        <f t="shared" si="89"/>
        <v>5.790027782444094E-13</v>
      </c>
      <c r="AL92" s="22">
        <f t="shared" si="58"/>
        <v>1.0676332069095257E-12</v>
      </c>
      <c r="AM92" s="62">
        <f t="shared" si="59"/>
        <v>293.33333333333439</v>
      </c>
      <c r="AN92" s="62">
        <f ca="1">AVERAGE(OFFSET($AM$3,0,0,'Données projet'!$E$10+1,1))-AVERAGE(OFFSET($H$3,0,0,'Données projet'!$E$10+1,1))</f>
        <v>157.21429387424644</v>
      </c>
      <c r="AO92" s="62">
        <f t="shared" si="90"/>
        <v>264.58225136820056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34.003736247570032</v>
      </c>
      <c r="AV92" s="23">
        <f>EXP(-LN(2)/25)*AV91+(1-EXP(-LN(2)/25))/(LN(2)/25)*Calculateur!AQ92*Calculateur!AS92*VLOOKUP('Données projet'!$B$10,Paramètres!$A$1:$I$89,3,0)*0.475*44/12</f>
        <v>0.65120190544072809</v>
      </c>
      <c r="AW92" s="23">
        <f>EXP(-LN(2)/2)*AW91+(1-EXP(-LN(2)/2))/(LN(2)/2)*AQ92*AT92*VLOOKUP('Données projet'!$B$10,Paramètres!$A$1:$I$89,3,0)*0.475*44/12</f>
        <v>1.4507980998985365E-6</v>
      </c>
      <c r="AX92" s="23">
        <f t="shared" si="60"/>
        <v>34.654939603808863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5.6843418860808015E-14</v>
      </c>
      <c r="AJ93" s="14">
        <f>AI93*VLOOKUP('Données projet'!$B$10,Paramètres!$A$1:$I$89,3,0)*VLOOKUP('Données projet'!$B$10,Paramètres!$A$1:$I$89,5,0)</f>
        <v>3.3992364478763198E-14</v>
      </c>
      <c r="AK93" s="14">
        <f t="shared" si="89"/>
        <v>5.790027782444094E-13</v>
      </c>
      <c r="AL93" s="22">
        <f t="shared" si="58"/>
        <v>1.0676332069095257E-12</v>
      </c>
      <c r="AM93" s="62">
        <f t="shared" si="59"/>
        <v>293.33333333333439</v>
      </c>
      <c r="AN93" s="62">
        <f ca="1">AVERAGE(OFFSET($AM$3,0,0,'Données projet'!$E$10+1,1))-AVERAGE(OFFSET($H$3,0,0,'Données projet'!$E$10+1,1))</f>
        <v>157.21429387424644</v>
      </c>
      <c r="AO93" s="62">
        <f t="shared" si="90"/>
        <v>264.58225136820056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33.336943719986365</v>
      </c>
      <c r="AV93" s="23">
        <f>EXP(-LN(2)/25)*AV92+(1-EXP(-LN(2)/25))/(LN(2)/25)*Calculateur!AQ93*Calculateur!AS93*VLOOKUP('Données projet'!$B$10,Paramètres!$A$1:$I$89,3,0)*0.475*44/12</f>
        <v>0.63339475509123155</v>
      </c>
      <c r="AW93" s="23">
        <f>EXP(-LN(2)/2)*AW92+(1-EXP(-LN(2)/2))/(LN(2)/2)*AQ93*AT93*VLOOKUP('Données projet'!$B$10,Paramètres!$A$1:$I$89,3,0)*0.475*44/12</f>
        <v>1.0258691745708134E-6</v>
      </c>
      <c r="AX93" s="23">
        <f t="shared" si="60"/>
        <v>33.970339500946771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5.6843418860808015E-14</v>
      </c>
      <c r="AJ94" s="14">
        <f>AI94*VLOOKUP('Données projet'!$B$10,Paramètres!$A$1:$I$89,3,0)*VLOOKUP('Données projet'!$B$10,Paramètres!$A$1:$I$89,5,0)</f>
        <v>3.3992364478763198E-14</v>
      </c>
      <c r="AK94" s="14">
        <f t="shared" si="89"/>
        <v>5.790027782444094E-13</v>
      </c>
      <c r="AL94" s="22">
        <f t="shared" si="58"/>
        <v>1.0676332069095257E-12</v>
      </c>
      <c r="AM94" s="62">
        <f t="shared" si="59"/>
        <v>293.33333333333439</v>
      </c>
      <c r="AN94" s="62">
        <f ca="1">AVERAGE(OFFSET($AM$3,0,0,'Données projet'!$E$10+1,1))-AVERAGE(OFFSET($H$3,0,0,'Données projet'!$E$10+1,1))</f>
        <v>157.21429387424644</v>
      </c>
      <c r="AO94" s="62">
        <f t="shared" si="90"/>
        <v>264.58225136820056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32.683226587165336</v>
      </c>
      <c r="AV94" s="23">
        <f>EXP(-LN(2)/25)*AV93+(1-EXP(-LN(2)/25))/(LN(2)/25)*Calculateur!AQ94*Calculateur!AS94*VLOOKUP('Données projet'!$B$10,Paramètres!$A$1:$I$89,3,0)*0.475*44/12</f>
        <v>0.61607454220447933</v>
      </c>
      <c r="AW94" s="23">
        <f>EXP(-LN(2)/2)*AW93+(1-EXP(-LN(2)/2))/(LN(2)/2)*AQ94*AT94*VLOOKUP('Données projet'!$B$10,Paramètres!$A$1:$I$89,3,0)*0.475*44/12</f>
        <v>7.2539904994926825E-7</v>
      </c>
      <c r="AX94" s="23">
        <f t="shared" si="60"/>
        <v>33.299301854768864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5.6843418860808015E-14</v>
      </c>
      <c r="AJ95" s="14">
        <f>AI95*VLOOKUP('Données projet'!$B$10,Paramètres!$A$1:$I$89,3,0)*VLOOKUP('Données projet'!$B$10,Paramètres!$A$1:$I$89,5,0)</f>
        <v>3.3992364478763198E-14</v>
      </c>
      <c r="AK95" s="14">
        <f t="shared" si="89"/>
        <v>5.790027782444094E-13</v>
      </c>
      <c r="AL95" s="22">
        <f t="shared" si="58"/>
        <v>1.0676332069095257E-12</v>
      </c>
      <c r="AM95" s="62">
        <f t="shared" si="59"/>
        <v>293.33333333333439</v>
      </c>
      <c r="AN95" s="62">
        <f ca="1">AVERAGE(OFFSET($AM$3,0,0,'Données projet'!$E$10+1,1))-AVERAGE(OFFSET($H$3,0,0,'Données projet'!$E$10+1,1))</f>
        <v>157.21429387424644</v>
      </c>
      <c r="AO95" s="62">
        <f t="shared" si="90"/>
        <v>264.58225136820056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32.042328448590844</v>
      </c>
      <c r="AV95" s="23">
        <f>EXP(-LN(2)/25)*AV94+(1-EXP(-LN(2)/25))/(LN(2)/25)*Calculateur!AQ95*Calculateur!AS95*VLOOKUP('Données projet'!$B$10,Paramètres!$A$1:$I$89,3,0)*0.475*44/12</f>
        <v>0.59922795144994567</v>
      </c>
      <c r="AW95" s="23">
        <f>EXP(-LN(2)/2)*AW94+(1-EXP(-LN(2)/2))/(LN(2)/2)*AQ95*AT95*VLOOKUP('Données projet'!$B$10,Paramètres!$A$1:$I$89,3,0)*0.475*44/12</f>
        <v>5.1293458728540668E-7</v>
      </c>
      <c r="AX95" s="23">
        <f t="shared" si="60"/>
        <v>32.641556912975382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5.6843418860808015E-14</v>
      </c>
      <c r="AJ96" s="14">
        <f>AI96*VLOOKUP('Données projet'!$B$10,Paramètres!$A$1:$I$89,3,0)*VLOOKUP('Données projet'!$B$10,Paramètres!$A$1:$I$89,5,0)</f>
        <v>3.3992364478763198E-14</v>
      </c>
      <c r="AK96" s="14">
        <f t="shared" si="89"/>
        <v>5.790027782444094E-13</v>
      </c>
      <c r="AL96" s="22">
        <f t="shared" si="58"/>
        <v>1.0676332069095257E-12</v>
      </c>
      <c r="AM96" s="62">
        <f t="shared" si="59"/>
        <v>293.33333333333439</v>
      </c>
      <c r="AN96" s="62">
        <f ca="1">AVERAGE(OFFSET($AM$3,0,0,'Données projet'!$E$10+1,1))-AVERAGE(OFFSET($H$3,0,0,'Données projet'!$E$10+1,1))</f>
        <v>157.21429387424644</v>
      </c>
      <c r="AO96" s="62">
        <f t="shared" si="90"/>
        <v>264.58225136820056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31.413997931604531</v>
      </c>
      <c r="AV96" s="23">
        <f>EXP(-LN(2)/25)*AV95+(1-EXP(-LN(2)/25))/(LN(2)/25)*Calculateur!AQ96*Calculateur!AS96*VLOOKUP('Données projet'!$B$10,Paramètres!$A$1:$I$89,3,0)*0.475*44/12</f>
        <v>0.58284203160551851</v>
      </c>
      <c r="AW96" s="23">
        <f>EXP(-LN(2)/2)*AW95+(1-EXP(-LN(2)/2))/(LN(2)/2)*AQ96*AT96*VLOOKUP('Données projet'!$B$10,Paramètres!$A$1:$I$89,3,0)*0.475*44/12</f>
        <v>3.6269952497463413E-7</v>
      </c>
      <c r="AX96" s="23">
        <f t="shared" si="60"/>
        <v>31.996840325909574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5.6843418860808015E-14</v>
      </c>
      <c r="AJ97" s="14">
        <f>AI97*VLOOKUP('Données projet'!$B$10,Paramètres!$A$1:$I$89,3,0)*VLOOKUP('Données projet'!$B$10,Paramètres!$A$1:$I$89,5,0)</f>
        <v>3.3992364478763198E-14</v>
      </c>
      <c r="AK97" s="14">
        <f t="shared" si="89"/>
        <v>5.790027782444094E-13</v>
      </c>
      <c r="AL97" s="22">
        <f t="shared" si="58"/>
        <v>1.0676332069095257E-12</v>
      </c>
      <c r="AM97" s="62">
        <f t="shared" si="59"/>
        <v>293.33333333333439</v>
      </c>
      <c r="AN97" s="62">
        <f ca="1">AVERAGE(OFFSET($AM$3,0,0,'Données projet'!$E$10+1,1))-AVERAGE(OFFSET($H$3,0,0,'Données projet'!$E$10+1,1))</f>
        <v>157.21429387424644</v>
      </c>
      <c r="AO97" s="62">
        <f t="shared" si="90"/>
        <v>264.58225136820056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30.797988592812548</v>
      </c>
      <c r="AV97" s="23">
        <f>EXP(-LN(2)/25)*AV96+(1-EXP(-LN(2)/25))/(LN(2)/25)*Calculateur!AQ97*Calculateur!AS97*VLOOKUP('Données projet'!$B$10,Paramètres!$A$1:$I$89,3,0)*0.475*44/12</f>
        <v>0.56690418560093525</v>
      </c>
      <c r="AW97" s="23">
        <f>EXP(-LN(2)/2)*AW96+(1-EXP(-LN(2)/2))/(LN(2)/2)*AQ97*AT97*VLOOKUP('Données projet'!$B$10,Paramètres!$A$1:$I$89,3,0)*0.475*44/12</f>
        <v>2.5646729364270334E-7</v>
      </c>
      <c r="AX97" s="23">
        <f t="shared" si="60"/>
        <v>31.36489303488078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5.6843418860808015E-14</v>
      </c>
      <c r="AJ98" s="14">
        <f>AI98*VLOOKUP('Données projet'!$B$10,Paramètres!$A$1:$I$89,3,0)*VLOOKUP('Données projet'!$B$10,Paramètres!$A$1:$I$89,5,0)</f>
        <v>3.3992364478763198E-14</v>
      </c>
      <c r="AK98" s="14">
        <f t="shared" si="89"/>
        <v>5.790027782444094E-13</v>
      </c>
      <c r="AL98" s="22">
        <f t="shared" si="58"/>
        <v>1.0676332069095257E-12</v>
      </c>
      <c r="AM98" s="62">
        <f t="shared" si="59"/>
        <v>293.33333333333439</v>
      </c>
      <c r="AN98" s="62">
        <f ca="1">AVERAGE(OFFSET($AM$3,0,0,'Données projet'!$E$10+1,1))-AVERAGE(OFFSET($H$3,0,0,'Données projet'!$E$10+1,1))</f>
        <v>157.21429387424644</v>
      </c>
      <c r="AO98" s="62">
        <f t="shared" si="90"/>
        <v>264.58225136820056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30.194058821425678</v>
      </c>
      <c r="AV98" s="23">
        <f>EXP(-LN(2)/25)*AV97+(1-EXP(-LN(2)/25))/(LN(2)/25)*Calculateur!AQ98*Calculateur!AS98*VLOOKUP('Données projet'!$B$10,Paramètres!$A$1:$I$89,3,0)*0.475*44/12</f>
        <v>0.55140216083348226</v>
      </c>
      <c r="AW98" s="23">
        <f>EXP(-LN(2)/2)*AW97+(1-EXP(-LN(2)/2))/(LN(2)/2)*AQ98*AT98*VLOOKUP('Données projet'!$B$10,Paramètres!$A$1:$I$89,3,0)*0.475*44/12</f>
        <v>1.8134976248731706E-7</v>
      </c>
      <c r="AX98" s="23">
        <f t="shared" si="60"/>
        <v>30.745461163608923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5.6843418860808015E-14</v>
      </c>
      <c r="AJ99" s="14">
        <f>AI99*VLOOKUP('Données projet'!$B$10,Paramètres!$A$1:$I$89,3,0)*VLOOKUP('Données projet'!$B$10,Paramètres!$A$1:$I$89,5,0)</f>
        <v>3.3992364478763198E-14</v>
      </c>
      <c r="AK99" s="14">
        <f t="shared" si="89"/>
        <v>5.790027782444094E-13</v>
      </c>
      <c r="AL99" s="22">
        <f t="shared" si="58"/>
        <v>1.0676332069095257E-12</v>
      </c>
      <c r="AM99" s="62">
        <f t="shared" si="59"/>
        <v>293.33333333333439</v>
      </c>
      <c r="AN99" s="62">
        <f ca="1">AVERAGE(OFFSET($AM$3,0,0,'Données projet'!$E$10+1,1))-AVERAGE(OFFSET($H$3,0,0,'Données projet'!$E$10+1,1))</f>
        <v>157.21429387424644</v>
      </c>
      <c r="AO99" s="62">
        <f t="shared" si="90"/>
        <v>264.58225136820056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29.601971744494918</v>
      </c>
      <c r="AV99" s="23">
        <f>EXP(-LN(2)/25)*AV98+(1-EXP(-LN(2)/25))/(LN(2)/25)*Calculateur!AQ99*Calculateur!AS99*VLOOKUP('Données projet'!$B$10,Paramètres!$A$1:$I$89,3,0)*0.475*44/12</f>
        <v>0.53632403974851128</v>
      </c>
      <c r="AW99" s="23">
        <f>EXP(-LN(2)/2)*AW98+(1-EXP(-LN(2)/2))/(LN(2)/2)*AQ99*AT99*VLOOKUP('Données projet'!$B$10,Paramètres!$A$1:$I$89,3,0)*0.475*44/12</f>
        <v>1.2823364682135167E-7</v>
      </c>
      <c r="AX99" s="23">
        <f t="shared" si="60"/>
        <v>30.138295912477076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5.6843418860808015E-14</v>
      </c>
      <c r="AJ100" s="14">
        <f>AI100*VLOOKUP('Données projet'!$B$10,Paramètres!$A$1:$I$89,3,0)*VLOOKUP('Données projet'!$B$10,Paramètres!$A$1:$I$89,5,0)</f>
        <v>3.3992364478763198E-14</v>
      </c>
      <c r="AK100" s="14">
        <f t="shared" si="89"/>
        <v>5.790027782444094E-13</v>
      </c>
      <c r="AL100" s="22">
        <f t="shared" si="58"/>
        <v>1.0676332069095257E-12</v>
      </c>
      <c r="AM100" s="62">
        <f t="shared" si="59"/>
        <v>293.33333333333439</v>
      </c>
      <c r="AN100" s="62">
        <f ca="1">AVERAGE(OFFSET($AM$3,0,0,'Données projet'!$E$10+1,1))-AVERAGE(OFFSET($H$3,0,0,'Données projet'!$E$10+1,1))</f>
        <v>157.21429387424644</v>
      </c>
      <c r="AO100" s="62">
        <f t="shared" si="90"/>
        <v>264.58225136820056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29.021495134005313</v>
      </c>
      <c r="AV100" s="23">
        <f>EXP(-LN(2)/25)*AV99+(1-EXP(-LN(2)/25))/(LN(2)/25)*Calculateur!AQ100*Calculateur!AS100*VLOOKUP('Données projet'!$B$10,Paramètres!$A$1:$I$89,3,0)*0.475*44/12</f>
        <v>0.52165823067753281</v>
      </c>
      <c r="AW100" s="23">
        <f>EXP(-LN(2)/2)*AW99+(1-EXP(-LN(2)/2))/(LN(2)/2)*AQ100*AT100*VLOOKUP('Données projet'!$B$10,Paramètres!$A$1:$I$89,3,0)*0.475*44/12</f>
        <v>9.0674881243658531E-8</v>
      </c>
      <c r="AX100" s="23">
        <f t="shared" si="60"/>
        <v>29.543153455357729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5.6843418860808015E-14</v>
      </c>
      <c r="AJ101" s="14">
        <f>AI101*VLOOKUP('Données projet'!$B$10,Paramètres!$A$1:$I$89,3,0)*VLOOKUP('Données projet'!$B$10,Paramètres!$A$1:$I$89,5,0)</f>
        <v>3.3992364478763198E-14</v>
      </c>
      <c r="AK101" s="14">
        <f t="shared" si="89"/>
        <v>5.790027782444094E-13</v>
      </c>
      <c r="AL101" s="22">
        <f t="shared" si="58"/>
        <v>1.0676332069095257E-12</v>
      </c>
      <c r="AM101" s="62">
        <f t="shared" si="59"/>
        <v>293.33333333333439</v>
      </c>
      <c r="AN101" s="62">
        <f ca="1">AVERAGE(OFFSET($AM$3,0,0,'Données projet'!$E$10+1,1))-AVERAGE(OFFSET($H$3,0,0,'Données projet'!$E$10+1,1))</f>
        <v>157.21429387424644</v>
      </c>
      <c r="AO101" s="62">
        <f t="shared" si="90"/>
        <v>264.58225136820056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28.452401315791636</v>
      </c>
      <c r="AV101" s="23">
        <f>EXP(-LN(2)/25)*AV100+(1-EXP(-LN(2)/25))/(LN(2)/25)*Calculateur!AQ101*Calculateur!AS101*VLOOKUP('Données projet'!$B$10,Paramètres!$A$1:$I$89,3,0)*0.475*44/12</f>
        <v>0.50739345892684162</v>
      </c>
      <c r="AW101" s="23">
        <f>EXP(-LN(2)/2)*AW100+(1-EXP(-LN(2)/2))/(LN(2)/2)*AQ101*AT101*VLOOKUP('Données projet'!$B$10,Paramètres!$A$1:$I$89,3,0)*0.475*44/12</f>
        <v>6.4116823410675835E-8</v>
      </c>
      <c r="AX101" s="23">
        <f t="shared" si="60"/>
        <v>28.9597948388353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5.6843418860808015E-14</v>
      </c>
      <c r="AJ102" s="14">
        <f>AI102*VLOOKUP('Données projet'!$B$10,Paramètres!$A$1:$I$89,3,0)*VLOOKUP('Données projet'!$B$10,Paramètres!$A$1:$I$89,5,0)</f>
        <v>3.3992364478763198E-14</v>
      </c>
      <c r="AK102" s="14">
        <f t="shared" si="89"/>
        <v>5.790027782444094E-13</v>
      </c>
      <c r="AL102" s="22">
        <f t="shared" si="58"/>
        <v>1.0676332069095257E-12</v>
      </c>
      <c r="AM102" s="62">
        <f t="shared" si="59"/>
        <v>293.33333333333439</v>
      </c>
      <c r="AN102" s="62">
        <f ca="1">AVERAGE(OFFSET($AM$3,0,0,'Données projet'!$E$10+1,1))-AVERAGE(OFFSET($H$3,0,0,'Données projet'!$E$10+1,1))</f>
        <v>157.21429387424644</v>
      </c>
      <c r="AO102" s="62">
        <f t="shared" si="90"/>
        <v>264.58225136820056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27.894467080240176</v>
      </c>
      <c r="AV102" s="23">
        <f>EXP(-LN(2)/25)*AV101+(1-EXP(-LN(2)/25))/(LN(2)/25)*Calculateur!AQ102*Calculateur!AS102*VLOOKUP('Données projet'!$B$10,Paramètres!$A$1:$I$89,3,0)*0.475*44/12</f>
        <v>0.49351875810982482</v>
      </c>
      <c r="AW102" s="23">
        <f>EXP(-LN(2)/2)*AW101+(1-EXP(-LN(2)/2))/(LN(2)/2)*AQ102*AT102*VLOOKUP('Données projet'!$B$10,Paramètres!$A$1:$I$89,3,0)*0.475*44/12</f>
        <v>4.5337440621829266E-8</v>
      </c>
      <c r="AX102" s="23">
        <f t="shared" si="60"/>
        <v>28.387985883687442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5.6843418860808015E-14</v>
      </c>
      <c r="AJ103" s="14">
        <f>AI103*VLOOKUP('Données projet'!$B$10,Paramètres!$A$1:$I$89,3,0)*VLOOKUP('Données projet'!$B$10,Paramètres!$A$1:$I$89,5,0)</f>
        <v>3.3992364478763198E-14</v>
      </c>
      <c r="AK103" s="14">
        <f t="shared" si="89"/>
        <v>5.790027782444094E-13</v>
      </c>
      <c r="AL103" s="22">
        <f t="shared" si="58"/>
        <v>1.0676332069095257E-12</v>
      </c>
      <c r="AM103" s="62">
        <f t="shared" si="59"/>
        <v>293.33333333333439</v>
      </c>
      <c r="AN103" s="62">
        <f ca="1">AVERAGE(OFFSET($AM$3,0,0,'Données projet'!$E$10+1,1))-AVERAGE(OFFSET($H$3,0,0,'Données projet'!$E$10+1,1))</f>
        <v>157.21429387424644</v>
      </c>
      <c r="AO103" s="62">
        <f t="shared" si="90"/>
        <v>264.58225136820056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27.347473594741597</v>
      </c>
      <c r="AV103" s="23">
        <f>EXP(-LN(2)/25)*AV102+(1-EXP(-LN(2)/25))/(LN(2)/25)*Calculateur!AQ103*Calculateur!AS103*VLOOKUP('Données projet'!$B$10,Paramètres!$A$1:$I$89,3,0)*0.475*44/12</f>
        <v>0.48002346171628812</v>
      </c>
      <c r="AW103" s="23">
        <f>EXP(-LN(2)/2)*AW102+(1-EXP(-LN(2)/2))/(LN(2)/2)*AQ103*AT103*VLOOKUP('Données projet'!$B$10,Paramètres!$A$1:$I$89,3,0)*0.475*44/12</f>
        <v>3.2058411705337918E-8</v>
      </c>
      <c r="AX103" s="23">
        <f t="shared" si="60"/>
        <v>27.827497088516299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5.6843418860808015E-14</v>
      </c>
      <c r="AJ104" s="14">
        <f>AI104*VLOOKUP('Données projet'!$B$10,Paramètres!$A$1:$I$89,3,0)*VLOOKUP('Données projet'!$B$10,Paramètres!$A$1:$I$89,5,0)</f>
        <v>3.3992364478763198E-14</v>
      </c>
      <c r="AK104" s="14">
        <f t="shared" si="89"/>
        <v>5.790027782444094E-13</v>
      </c>
      <c r="AL104" s="22">
        <f t="shared" si="58"/>
        <v>1.0676332069095257E-12</v>
      </c>
      <c r="AM104" s="62">
        <f t="shared" si="59"/>
        <v>293.33333333333439</v>
      </c>
      <c r="AN104" s="62">
        <f ca="1">AVERAGE(OFFSET($AM$3,0,0,'Données projet'!$E$10+1,1))-AVERAGE(OFFSET($H$3,0,0,'Données projet'!$E$10+1,1))</f>
        <v>157.21429387424644</v>
      </c>
      <c r="AO104" s="62">
        <f t="shared" si="90"/>
        <v>264.58225136820056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26.811206317860563</v>
      </c>
      <c r="AV104" s="23">
        <f>EXP(-LN(2)/25)*AV103+(1-EXP(-LN(2)/25))/(LN(2)/25)*Calculateur!AQ104*Calculateur!AS104*VLOOKUP('Données projet'!$B$10,Paramètres!$A$1:$I$89,3,0)*0.475*44/12</f>
        <v>0.46689719491231946</v>
      </c>
      <c r="AW104" s="23">
        <f>EXP(-LN(2)/2)*AW103+(1-EXP(-LN(2)/2))/(LN(2)/2)*AQ104*AT104*VLOOKUP('Données projet'!$B$10,Paramètres!$A$1:$I$89,3,0)*0.475*44/12</f>
        <v>2.2668720310914633E-8</v>
      </c>
      <c r="AX104" s="23">
        <f t="shared" si="60"/>
        <v>27.278103535441605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5.6843418860808015E-14</v>
      </c>
      <c r="AJ105" s="14">
        <f>AI105*VLOOKUP('Données projet'!$B$10,Paramètres!$A$1:$I$89,3,0)*VLOOKUP('Données projet'!$B$10,Paramètres!$A$1:$I$89,5,0)</f>
        <v>3.3992364478763198E-14</v>
      </c>
      <c r="AK105" s="14">
        <f t="shared" si="89"/>
        <v>5.790027782444094E-13</v>
      </c>
      <c r="AL105" s="22">
        <f t="shared" si="58"/>
        <v>1.0676332069095257E-12</v>
      </c>
      <c r="AM105" s="62">
        <f t="shared" si="59"/>
        <v>293.33333333333439</v>
      </c>
      <c r="AN105" s="62">
        <f ca="1">AVERAGE(OFFSET($AM$3,0,0,'Données projet'!$E$10+1,1))-AVERAGE(OFFSET($H$3,0,0,'Données projet'!$E$10+1,1))</f>
        <v>157.21429387424644</v>
      </c>
      <c r="AO105" s="62">
        <f t="shared" si="90"/>
        <v>264.58225136820056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26.285454915188424</v>
      </c>
      <c r="AV105" s="23">
        <f>EXP(-LN(2)/25)*AV104+(1-EXP(-LN(2)/25))/(LN(2)/25)*Calculateur!AQ105*Calculateur!AS105*VLOOKUP('Données projet'!$B$10,Paramètres!$A$1:$I$89,3,0)*0.475*44/12</f>
        <v>0.4541298665643857</v>
      </c>
      <c r="AW105" s="23">
        <f>EXP(-LN(2)/2)*AW104+(1-EXP(-LN(2)/2))/(LN(2)/2)*AQ105*AT105*VLOOKUP('Données projet'!$B$10,Paramètres!$A$1:$I$89,3,0)*0.475*44/12</f>
        <v>1.6029205852668959E-8</v>
      </c>
      <c r="AX105" s="23">
        <f t="shared" si="60"/>
        <v>26.739584797782015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5.6843418860808015E-14</v>
      </c>
      <c r="AJ106" s="14">
        <f>AI106*VLOOKUP('Données projet'!$B$10,Paramètres!$A$1:$I$89,3,0)*VLOOKUP('Données projet'!$B$10,Paramètres!$A$1:$I$89,5,0)</f>
        <v>3.3992364478763198E-14</v>
      </c>
      <c r="AK106" s="14">
        <f t="shared" si="89"/>
        <v>5.790027782444094E-13</v>
      </c>
      <c r="AL106" s="22">
        <f t="shared" si="58"/>
        <v>1.0676332069095257E-12</v>
      </c>
      <c r="AM106" s="62">
        <f t="shared" si="59"/>
        <v>293.33333333333439</v>
      </c>
      <c r="AN106" s="62">
        <f ca="1">AVERAGE(OFFSET($AM$3,0,0,'Données projet'!$E$10+1,1))-AVERAGE(OFFSET($H$3,0,0,'Données projet'!$E$10+1,1))</f>
        <v>157.21429387424644</v>
      </c>
      <c r="AO106" s="62">
        <f t="shared" si="90"/>
        <v>264.58225136820056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25.770013176845996</v>
      </c>
      <c r="AV106" s="23">
        <f>EXP(-LN(2)/25)*AV105+(1-EXP(-LN(2)/25))/(LN(2)/25)*Calculateur!AQ106*Calculateur!AS106*VLOOKUP('Données projet'!$B$10,Paramètres!$A$1:$I$89,3,0)*0.475*44/12</f>
        <v>0.44171166148153079</v>
      </c>
      <c r="AW106" s="23">
        <f>EXP(-LN(2)/2)*AW105+(1-EXP(-LN(2)/2))/(LN(2)/2)*AQ106*AT106*VLOOKUP('Données projet'!$B$10,Paramètres!$A$1:$I$89,3,0)*0.475*44/12</f>
        <v>1.1334360155457316E-8</v>
      </c>
      <c r="AX106" s="23">
        <f t="shared" si="60"/>
        <v>26.211724849661888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5.6843418860808015E-14</v>
      </c>
      <c r="AJ107" s="14">
        <f>AI107*VLOOKUP('Données projet'!$B$10,Paramètres!$A$1:$I$89,3,0)*VLOOKUP('Données projet'!$B$10,Paramètres!$A$1:$I$89,5,0)</f>
        <v>3.3992364478763198E-14</v>
      </c>
      <c r="AK107" s="14">
        <f t="shared" si="89"/>
        <v>5.790027782444094E-13</v>
      </c>
      <c r="AL107" s="22">
        <f t="shared" si="58"/>
        <v>1.0676332069095257E-12</v>
      </c>
      <c r="AM107" s="62">
        <f t="shared" si="59"/>
        <v>293.33333333333439</v>
      </c>
      <c r="AN107" s="62">
        <f ca="1">AVERAGE(OFFSET($AM$3,0,0,'Données projet'!$E$10+1,1))-AVERAGE(OFFSET($H$3,0,0,'Données projet'!$E$10+1,1))</f>
        <v>157.21429387424644</v>
      </c>
      <c r="AO107" s="62">
        <f t="shared" si="90"/>
        <v>264.58225136820056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25.264678936604046</v>
      </c>
      <c r="AV107" s="23">
        <f>EXP(-LN(2)/25)*AV106+(1-EXP(-LN(2)/25))/(LN(2)/25)*Calculateur!AQ107*Calculateur!AS107*VLOOKUP('Données projet'!$B$10,Paramètres!$A$1:$I$89,3,0)*0.475*44/12</f>
        <v>0.42963303286971161</v>
      </c>
      <c r="AW107" s="23">
        <f>EXP(-LN(2)/2)*AW106+(1-EXP(-LN(2)/2))/(LN(2)/2)*AQ107*AT107*VLOOKUP('Données projet'!$B$10,Paramètres!$A$1:$I$89,3,0)*0.475*44/12</f>
        <v>8.0146029263344794E-9</v>
      </c>
      <c r="AX107" s="23">
        <f t="shared" si="60"/>
        <v>25.694311977488361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5.6843418860808015E-14</v>
      </c>
      <c r="AJ108" s="14">
        <f>AI108*VLOOKUP('Données projet'!$B$10,Paramètres!$A$1:$I$89,3,0)*VLOOKUP('Données projet'!$B$10,Paramètres!$A$1:$I$89,5,0)</f>
        <v>3.3992364478763198E-14</v>
      </c>
      <c r="AK108" s="14">
        <f t="shared" si="89"/>
        <v>5.790027782444094E-13</v>
      </c>
      <c r="AL108" s="22">
        <f t="shared" si="58"/>
        <v>1.0676332069095257E-12</v>
      </c>
      <c r="AM108" s="62">
        <f t="shared" si="59"/>
        <v>293.33333333333439</v>
      </c>
      <c r="AN108" s="62">
        <f ca="1">AVERAGE(OFFSET($AM$3,0,0,'Données projet'!$E$10+1,1))-AVERAGE(OFFSET($H$3,0,0,'Données projet'!$E$10+1,1))</f>
        <v>157.21429387424644</v>
      </c>
      <c r="AO108" s="62">
        <f t="shared" si="90"/>
        <v>264.58225136820056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24.769253992589789</v>
      </c>
      <c r="AV108" s="23">
        <f>EXP(-LN(2)/25)*AV107+(1-EXP(-LN(2)/25))/(LN(2)/25)*Calculateur!AQ108*Calculateur!AS108*VLOOKUP('Données projet'!$B$10,Paramètres!$A$1:$I$89,3,0)*0.475*44/12</f>
        <v>0.41788469499247011</v>
      </c>
      <c r="AW108" s="23">
        <f>EXP(-LN(2)/2)*AW107+(1-EXP(-LN(2)/2))/(LN(2)/2)*AQ108*AT108*VLOOKUP('Données projet'!$B$10,Paramètres!$A$1:$I$89,3,0)*0.475*44/12</f>
        <v>5.6671800777286582E-9</v>
      </c>
      <c r="AX108" s="23">
        <f t="shared" si="60"/>
        <v>25.187138693249437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5.6843418860808015E-14</v>
      </c>
      <c r="AJ109" s="14">
        <f>AI109*VLOOKUP('Données projet'!$B$10,Paramètres!$A$1:$I$89,3,0)*VLOOKUP('Données projet'!$B$10,Paramètres!$A$1:$I$89,5,0)</f>
        <v>3.3992364478763198E-14</v>
      </c>
      <c r="AK109" s="14">
        <f t="shared" si="89"/>
        <v>5.790027782444094E-13</v>
      </c>
      <c r="AL109" s="22">
        <f t="shared" si="58"/>
        <v>1.0676332069095257E-12</v>
      </c>
      <c r="AM109" s="62">
        <f t="shared" si="59"/>
        <v>293.33333333333439</v>
      </c>
      <c r="AN109" s="62">
        <f ca="1">AVERAGE(OFFSET($AM$3,0,0,'Données projet'!$E$10+1,1))-AVERAGE(OFFSET($H$3,0,0,'Données projet'!$E$10+1,1))</f>
        <v>157.21429387424644</v>
      </c>
      <c r="AO109" s="62">
        <f t="shared" si="90"/>
        <v>264.58225136820056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24.283544029548271</v>
      </c>
      <c r="AV109" s="23">
        <f>EXP(-LN(2)/25)*AV108+(1-EXP(-LN(2)/25))/(LN(2)/25)*Calculateur!AQ109*Calculateur!AS109*VLOOKUP('Données projet'!$B$10,Paramètres!$A$1:$I$89,3,0)*0.475*44/12</f>
        <v>0.40645761603230002</v>
      </c>
      <c r="AW109" s="23">
        <f>EXP(-LN(2)/2)*AW108+(1-EXP(-LN(2)/2))/(LN(2)/2)*AQ109*AT109*VLOOKUP('Données projet'!$B$10,Paramètres!$A$1:$I$89,3,0)*0.475*44/12</f>
        <v>4.0073014631672397E-9</v>
      </c>
      <c r="AX109" s="23">
        <f t="shared" si="60"/>
        <v>24.69000164958787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5.6843418860808015E-14</v>
      </c>
      <c r="AJ110" s="14">
        <f>AI110*VLOOKUP('Données projet'!$B$10,Paramètres!$A$1:$I$89,3,0)*VLOOKUP('Données projet'!$B$10,Paramètres!$A$1:$I$89,5,0)</f>
        <v>3.3992364478763198E-14</v>
      </c>
      <c r="AK110" s="14">
        <f t="shared" si="89"/>
        <v>5.790027782444094E-13</v>
      </c>
      <c r="AL110" s="22">
        <f t="shared" si="58"/>
        <v>1.0676332069095257E-12</v>
      </c>
      <c r="AM110" s="62">
        <f t="shared" si="59"/>
        <v>293.33333333333439</v>
      </c>
      <c r="AN110" s="62">
        <f ca="1">AVERAGE(OFFSET($AM$3,0,0,'Données projet'!$E$10+1,1))-AVERAGE(OFFSET($H$3,0,0,'Données projet'!$E$10+1,1))</f>
        <v>157.21429387424644</v>
      </c>
      <c r="AO110" s="62">
        <f t="shared" si="90"/>
        <v>264.58225136820056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23.807358542628172</v>
      </c>
      <c r="AV110" s="23">
        <f>EXP(-LN(2)/25)*AV109+(1-EXP(-LN(2)/25))/(LN(2)/25)*Calculateur!AQ110*Calculateur!AS110*VLOOKUP('Données projet'!$B$10,Paramètres!$A$1:$I$89,3,0)*0.475*44/12</f>
        <v>0.3953430111472197</v>
      </c>
      <c r="AW110" s="23">
        <f>EXP(-LN(2)/2)*AW109+(1-EXP(-LN(2)/2))/(LN(2)/2)*AQ110*AT110*VLOOKUP('Données projet'!$B$10,Paramètres!$A$1:$I$89,3,0)*0.475*44/12</f>
        <v>2.8335900388643291E-9</v>
      </c>
      <c r="AX110" s="23">
        <f t="shared" si="60"/>
        <v>24.202701556608982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5.6843418860808015E-14</v>
      </c>
      <c r="AJ111" s="14">
        <f>AI111*VLOOKUP('Données projet'!$B$10,Paramètres!$A$1:$I$89,3,0)*VLOOKUP('Données projet'!$B$10,Paramètres!$A$1:$I$89,5,0)</f>
        <v>3.3992364478763198E-14</v>
      </c>
      <c r="AK111" s="14">
        <f t="shared" si="89"/>
        <v>5.790027782444094E-13</v>
      </c>
      <c r="AL111" s="22">
        <f t="shared" si="58"/>
        <v>1.0676332069095257E-12</v>
      </c>
      <c r="AM111" s="62">
        <f t="shared" si="59"/>
        <v>293.33333333333439</v>
      </c>
      <c r="AN111" s="62">
        <f ca="1">AVERAGE(OFFSET($AM$3,0,0,'Données projet'!$E$10+1,1))-AVERAGE(OFFSET($H$3,0,0,'Données projet'!$E$10+1,1))</f>
        <v>157.21429387424644</v>
      </c>
      <c r="AO111" s="62">
        <f t="shared" si="90"/>
        <v>264.58225136820056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23.34051076266211</v>
      </c>
      <c r="AV111" s="23">
        <f>EXP(-LN(2)/25)*AV110+(1-EXP(-LN(2)/25))/(LN(2)/25)*Calculateur!AQ111*Calculateur!AS111*VLOOKUP('Données projet'!$B$10,Paramètres!$A$1:$I$89,3,0)*0.475*44/12</f>
        <v>0.38453233571721357</v>
      </c>
      <c r="AW111" s="23">
        <f>EXP(-LN(2)/2)*AW110+(1-EXP(-LN(2)/2))/(LN(2)/2)*AQ111*AT111*VLOOKUP('Données projet'!$B$10,Paramètres!$A$1:$I$89,3,0)*0.475*44/12</f>
        <v>2.0036507315836199E-9</v>
      </c>
      <c r="AX111" s="23">
        <f t="shared" si="60"/>
        <v>23.725043100382976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5.6843418860808015E-14</v>
      </c>
      <c r="AJ112" s="14">
        <f>AI112*VLOOKUP('Données projet'!$B$10,Paramètres!$A$1:$I$89,3,0)*VLOOKUP('Données projet'!$B$10,Paramètres!$A$1:$I$89,5,0)</f>
        <v>3.3992364478763198E-14</v>
      </c>
      <c r="AK112" s="14">
        <f t="shared" si="89"/>
        <v>5.790027782444094E-13</v>
      </c>
      <c r="AL112" s="22">
        <f t="shared" si="58"/>
        <v>1.0676332069095257E-12</v>
      </c>
      <c r="AM112" s="62">
        <f t="shared" si="59"/>
        <v>293.33333333333439</v>
      </c>
      <c r="AN112" s="62">
        <f ca="1">AVERAGE(OFFSET($AM$3,0,0,'Données projet'!$E$10+1,1))-AVERAGE(OFFSET($H$3,0,0,'Données projet'!$E$10+1,1))</f>
        <v>157.21429387424644</v>
      </c>
      <c r="AO112" s="62">
        <f t="shared" si="90"/>
        <v>264.58225136820056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22.882817582912153</v>
      </c>
      <c r="AV112" s="23">
        <f>EXP(-LN(2)/25)*AV111+(1-EXP(-LN(2)/25))/(LN(2)/25)*Calculateur!AQ112*Calculateur!AS112*VLOOKUP('Données projet'!$B$10,Paramètres!$A$1:$I$89,3,0)*0.475*44/12</f>
        <v>0.37401727877534968</v>
      </c>
      <c r="AW112" s="23">
        <f>EXP(-LN(2)/2)*AW111+(1-EXP(-LN(2)/2))/(LN(2)/2)*AQ112*AT112*VLOOKUP('Données projet'!$B$10,Paramètres!$A$1:$I$89,3,0)*0.475*44/12</f>
        <v>1.4167950194321646E-9</v>
      </c>
      <c r="AX112" s="23">
        <f t="shared" si="60"/>
        <v>23.256834863104295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5.6843418860808015E-14</v>
      </c>
      <c r="AJ113" s="14">
        <f>AI113*VLOOKUP('Données projet'!$B$10,Paramètres!$A$1:$I$89,3,0)*VLOOKUP('Données projet'!$B$10,Paramètres!$A$1:$I$89,5,0)</f>
        <v>3.3992364478763198E-14</v>
      </c>
      <c r="AK113" s="14">
        <f t="shared" si="89"/>
        <v>5.790027782444094E-13</v>
      </c>
      <c r="AL113" s="22">
        <f t="shared" si="58"/>
        <v>1.0676332069095257E-12</v>
      </c>
      <c r="AM113" s="62">
        <f t="shared" si="59"/>
        <v>293.33333333333439</v>
      </c>
      <c r="AN113" s="62">
        <f ca="1">AVERAGE(OFFSET($AM$3,0,0,'Données projet'!$E$10+1,1))-AVERAGE(OFFSET($H$3,0,0,'Données projet'!$E$10+1,1))</f>
        <v>157.21429387424644</v>
      </c>
      <c r="AO113" s="62">
        <f t="shared" si="90"/>
        <v>264.58225136820056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22.434099487251817</v>
      </c>
      <c r="AV113" s="23">
        <f>EXP(-LN(2)/25)*AV112+(1-EXP(-LN(2)/25))/(LN(2)/25)*Calculateur!AQ113*Calculateur!AS113*VLOOKUP('Données projet'!$B$10,Paramètres!$A$1:$I$89,3,0)*0.475*44/12</f>
        <v>0.36378975661852386</v>
      </c>
      <c r="AW113" s="23">
        <f>EXP(-LN(2)/2)*AW112+(1-EXP(-LN(2)/2))/(LN(2)/2)*AQ113*AT113*VLOOKUP('Données projet'!$B$10,Paramètres!$A$1:$I$89,3,0)*0.475*44/12</f>
        <v>1.0018253657918099E-9</v>
      </c>
      <c r="AX113" s="23">
        <f t="shared" si="60"/>
        <v>22.797889244872167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5.6843418860808015E-14</v>
      </c>
      <c r="AJ114" s="14">
        <f>AI114*VLOOKUP('Données projet'!$B$10,Paramètres!$A$1:$I$89,3,0)*VLOOKUP('Données projet'!$B$10,Paramètres!$A$1:$I$89,5,0)</f>
        <v>3.3992364478763198E-14</v>
      </c>
      <c r="AK114" s="14">
        <f t="shared" si="89"/>
        <v>5.790027782444094E-13</v>
      </c>
      <c r="AL114" s="22">
        <f t="shared" si="58"/>
        <v>1.0676332069095257E-12</v>
      </c>
      <c r="AM114" s="62">
        <f t="shared" si="59"/>
        <v>293.33333333333439</v>
      </c>
      <c r="AN114" s="62">
        <f ca="1">AVERAGE(OFFSET($AM$3,0,0,'Données projet'!$E$10+1,1))-AVERAGE(OFFSET($H$3,0,0,'Données projet'!$E$10+1,1))</f>
        <v>157.21429387424644</v>
      </c>
      <c r="AO114" s="62">
        <f t="shared" si="90"/>
        <v>264.58225136820056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21.994180479756366</v>
      </c>
      <c r="AV114" s="23">
        <f>EXP(-LN(2)/25)*AV113+(1-EXP(-LN(2)/25))/(LN(2)/25)*Calculateur!AQ114*Calculateur!AS114*VLOOKUP('Données projet'!$B$10,Paramètres!$A$1:$I$89,3,0)*0.475*44/12</f>
        <v>0.35384190659291848</v>
      </c>
      <c r="AW114" s="23">
        <f>EXP(-LN(2)/2)*AW113+(1-EXP(-LN(2)/2))/(LN(2)/2)*AQ114*AT114*VLOOKUP('Données projet'!$B$10,Paramètres!$A$1:$I$89,3,0)*0.475*44/12</f>
        <v>7.0839750971608228E-10</v>
      </c>
      <c r="AX114" s="23">
        <f t="shared" si="60"/>
        <v>22.348022387057682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5.6843418860808015E-14</v>
      </c>
      <c r="AJ115" s="14">
        <f>AI115*VLOOKUP('Données projet'!$B$10,Paramètres!$A$1:$I$89,3,0)*VLOOKUP('Données projet'!$B$10,Paramètres!$A$1:$I$89,5,0)</f>
        <v>3.3992364478763198E-14</v>
      </c>
      <c r="AK115" s="14">
        <f t="shared" si="89"/>
        <v>5.790027782444094E-13</v>
      </c>
      <c r="AL115" s="22">
        <f t="shared" si="58"/>
        <v>1.0676332069095257E-12</v>
      </c>
      <c r="AM115" s="62">
        <f t="shared" si="59"/>
        <v>293.33333333333439</v>
      </c>
      <c r="AN115" s="62">
        <f ca="1">AVERAGE(OFFSET($AM$3,0,0,'Données projet'!$E$10+1,1))-AVERAGE(OFFSET($H$3,0,0,'Données projet'!$E$10+1,1))</f>
        <v>157.21429387424644</v>
      </c>
      <c r="AO115" s="62">
        <f t="shared" si="90"/>
        <v>264.58225136820056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21.562888015673803</v>
      </c>
      <c r="AV115" s="23">
        <f>EXP(-LN(2)/25)*AV114+(1-EXP(-LN(2)/25))/(LN(2)/25)*Calculateur!AQ115*Calculateur!AS115*VLOOKUP('Données projet'!$B$10,Paramètres!$A$1:$I$89,3,0)*0.475*44/12</f>
        <v>0.34416608104939794</v>
      </c>
      <c r="AW115" s="23">
        <f>EXP(-LN(2)/2)*AW114+(1-EXP(-LN(2)/2))/(LN(2)/2)*AQ115*AT115*VLOOKUP('Données projet'!$B$10,Paramètres!$A$1:$I$89,3,0)*0.475*44/12</f>
        <v>5.0091268289590496E-10</v>
      </c>
      <c r="AX115" s="23">
        <f t="shared" si="60"/>
        <v>21.907054097224112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5.6843418860808015E-14</v>
      </c>
      <c r="AJ116" s="14">
        <f>AI116*VLOOKUP('Données projet'!$B$10,Paramètres!$A$1:$I$89,3,0)*VLOOKUP('Données projet'!$B$10,Paramètres!$A$1:$I$89,5,0)</f>
        <v>3.3992364478763198E-14</v>
      </c>
      <c r="AK116" s="14">
        <f t="shared" si="89"/>
        <v>5.790027782444094E-13</v>
      </c>
      <c r="AL116" s="22">
        <f t="shared" si="58"/>
        <v>1.0676332069095257E-12</v>
      </c>
      <c r="AM116" s="62">
        <f t="shared" si="59"/>
        <v>293.33333333333439</v>
      </c>
      <c r="AN116" s="62">
        <f ca="1">AVERAGE(OFFSET($AM$3,0,0,'Données projet'!$E$10+1,1))-AVERAGE(OFFSET($H$3,0,0,'Données projet'!$E$10+1,1))</f>
        <v>157.21429387424644</v>
      </c>
      <c r="AO116" s="62">
        <f t="shared" si="90"/>
        <v>264.58225136820056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21.14005293374947</v>
      </c>
      <c r="AV116" s="23">
        <f>EXP(-LN(2)/25)*AV115+(1-EXP(-LN(2)/25))/(LN(2)/25)*Calculateur!AQ116*Calculateur!AS116*VLOOKUP('Données projet'!$B$10,Paramètres!$A$1:$I$89,3,0)*0.475*44/12</f>
        <v>0.33475484146419454</v>
      </c>
      <c r="AW116" s="23">
        <f>EXP(-LN(2)/2)*AW115+(1-EXP(-LN(2)/2))/(LN(2)/2)*AQ116*AT116*VLOOKUP('Données projet'!$B$10,Paramètres!$A$1:$I$89,3,0)*0.475*44/12</f>
        <v>3.5419875485804114E-10</v>
      </c>
      <c r="AX116" s="23">
        <f t="shared" si="60"/>
        <v>21.474807775567861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5.6843418860808015E-14</v>
      </c>
      <c r="AJ117" s="14">
        <f>AI117*VLOOKUP('Données projet'!$B$10,Paramètres!$A$1:$I$89,3,0)*VLOOKUP('Données projet'!$B$10,Paramètres!$A$1:$I$89,5,0)</f>
        <v>3.3992364478763198E-14</v>
      </c>
      <c r="AK117" s="14">
        <f t="shared" si="89"/>
        <v>5.790027782444094E-13</v>
      </c>
      <c r="AL117" s="22">
        <f t="shared" si="58"/>
        <v>1.0676332069095257E-12</v>
      </c>
      <c r="AM117" s="62">
        <f t="shared" si="59"/>
        <v>293.33333333333439</v>
      </c>
      <c r="AN117" s="62">
        <f ca="1">AVERAGE(OFFSET($AM$3,0,0,'Données projet'!$E$10+1,1))-AVERAGE(OFFSET($H$3,0,0,'Données projet'!$E$10+1,1))</f>
        <v>157.21429387424644</v>
      </c>
      <c r="AO117" s="62">
        <f t="shared" si="90"/>
        <v>264.58225136820056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20.72550938987774</v>
      </c>
      <c r="AV117" s="23">
        <f>EXP(-LN(2)/25)*AV116+(1-EXP(-LN(2)/25))/(LN(2)/25)*Calculateur!AQ117*Calculateur!AS117*VLOOKUP('Données projet'!$B$10,Paramètres!$A$1:$I$89,3,0)*0.475*44/12</f>
        <v>0.3256009527203641</v>
      </c>
      <c r="AW117" s="23">
        <f>EXP(-LN(2)/2)*AW116+(1-EXP(-LN(2)/2))/(LN(2)/2)*AQ117*AT117*VLOOKUP('Données projet'!$B$10,Paramètres!$A$1:$I$89,3,0)*0.475*44/12</f>
        <v>2.5045634144795248E-10</v>
      </c>
      <c r="AX117" s="23">
        <f t="shared" si="60"/>
        <v>21.05111034284856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5.6843418860808015E-14</v>
      </c>
      <c r="AJ118" s="14">
        <f>AI118*VLOOKUP('Données projet'!$B$10,Paramètres!$A$1:$I$89,3,0)*VLOOKUP('Données projet'!$B$10,Paramètres!$A$1:$I$89,5,0)</f>
        <v>3.3992364478763198E-14</v>
      </c>
      <c r="AK118" s="14">
        <f t="shared" si="89"/>
        <v>5.790027782444094E-13</v>
      </c>
      <c r="AL118" s="22">
        <f t="shared" si="58"/>
        <v>1.0676332069095257E-12</v>
      </c>
      <c r="AM118" s="62">
        <f t="shared" si="59"/>
        <v>293.33333333333439</v>
      </c>
      <c r="AN118" s="62">
        <f ca="1">AVERAGE(OFFSET($AM$3,0,0,'Données projet'!$E$10+1,1))-AVERAGE(OFFSET($H$3,0,0,'Données projet'!$E$10+1,1))</f>
        <v>157.21429387424644</v>
      </c>
      <c r="AO118" s="62">
        <f t="shared" si="90"/>
        <v>264.58225136820056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20.319094792054738</v>
      </c>
      <c r="AV118" s="23">
        <f>EXP(-LN(2)/25)*AV117+(1-EXP(-LN(2)/25))/(LN(2)/25)*Calculateur!AQ118*Calculateur!AS118*VLOOKUP('Données projet'!$B$10,Paramètres!$A$1:$I$89,3,0)*0.475*44/12</f>
        <v>0.31669737754561583</v>
      </c>
      <c r="AW118" s="23">
        <f>EXP(-LN(2)/2)*AW117+(1-EXP(-LN(2)/2))/(LN(2)/2)*AQ118*AT118*VLOOKUP('Données projet'!$B$10,Paramètres!$A$1:$I$89,3,0)*0.475*44/12</f>
        <v>1.7709937742902057E-10</v>
      </c>
      <c r="AX118" s="23">
        <f t="shared" si="60"/>
        <v>20.635792169777453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5.6843418860808015E-14</v>
      </c>
      <c r="AJ119" s="14">
        <f>AI119*VLOOKUP('Données projet'!$B$10,Paramètres!$A$1:$I$89,3,0)*VLOOKUP('Données projet'!$B$10,Paramètres!$A$1:$I$89,5,0)</f>
        <v>3.3992364478763198E-14</v>
      </c>
      <c r="AK119" s="14">
        <f t="shared" si="89"/>
        <v>5.790027782444094E-13</v>
      </c>
      <c r="AL119" s="22">
        <f t="shared" si="58"/>
        <v>1.0676332069095257E-12</v>
      </c>
      <c r="AM119" s="62">
        <f t="shared" si="59"/>
        <v>293.33333333333439</v>
      </c>
      <c r="AN119" s="62">
        <f ca="1">AVERAGE(OFFSET($AM$3,0,0,'Données projet'!$E$10+1,1))-AVERAGE(OFFSET($H$3,0,0,'Données projet'!$E$10+1,1))</f>
        <v>157.21429387424644</v>
      </c>
      <c r="AO119" s="62">
        <f t="shared" si="90"/>
        <v>264.58225136820056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19.92064973660662</v>
      </c>
      <c r="AV119" s="23">
        <f>EXP(-LN(2)/25)*AV118+(1-EXP(-LN(2)/25))/(LN(2)/25)*Calculateur!AQ119*Calculateur!AS119*VLOOKUP('Données projet'!$B$10,Paramètres!$A$1:$I$89,3,0)*0.475*44/12</f>
        <v>0.30803727110223972</v>
      </c>
      <c r="AW119" s="23">
        <f>EXP(-LN(2)/2)*AW118+(1-EXP(-LN(2)/2))/(LN(2)/2)*AQ119*AT119*VLOOKUP('Données projet'!$B$10,Paramètres!$A$1:$I$89,3,0)*0.475*44/12</f>
        <v>1.2522817072397624E-10</v>
      </c>
      <c r="AX119" s="23">
        <f t="shared" si="60"/>
        <v>20.22868700783409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5.6843418860808015E-14</v>
      </c>
      <c r="AJ120" s="14">
        <f>AI120*VLOOKUP('Données projet'!$B$10,Paramètres!$A$1:$I$89,3,0)*VLOOKUP('Données projet'!$B$10,Paramètres!$A$1:$I$89,5,0)</f>
        <v>3.3992364478763198E-14</v>
      </c>
      <c r="AK120" s="14">
        <f t="shared" si="89"/>
        <v>5.790027782444094E-13</v>
      </c>
      <c r="AL120" s="22">
        <f t="shared" si="58"/>
        <v>1.0676332069095257E-12</v>
      </c>
      <c r="AM120" s="62">
        <f t="shared" si="59"/>
        <v>293.33333333333439</v>
      </c>
      <c r="AN120" s="62">
        <f ca="1">AVERAGE(OFFSET($AM$3,0,0,'Données projet'!$E$10+1,1))-AVERAGE(OFFSET($H$3,0,0,'Données projet'!$E$10+1,1))</f>
        <v>157.21429387424644</v>
      </c>
      <c r="AO120" s="62">
        <f t="shared" si="90"/>
        <v>264.58225136820056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19.530017945668352</v>
      </c>
      <c r="AV120" s="23">
        <f>EXP(-LN(2)/25)*AV119+(1-EXP(-LN(2)/25))/(LN(2)/25)*Calculateur!AQ120*Calculateur!AS120*VLOOKUP('Données projet'!$B$10,Paramètres!$A$1:$I$89,3,0)*0.475*44/12</f>
        <v>0.29961397572497289</v>
      </c>
      <c r="AW120" s="23">
        <f>EXP(-LN(2)/2)*AW119+(1-EXP(-LN(2)/2))/(LN(2)/2)*AQ120*AT120*VLOOKUP('Données projet'!$B$10,Paramètres!$A$1:$I$89,3,0)*0.475*44/12</f>
        <v>8.8549688714510285E-11</v>
      </c>
      <c r="AX120" s="23">
        <f t="shared" si="60"/>
        <v>19.829631921481877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5.6843418860808015E-14</v>
      </c>
      <c r="AJ121" s="14">
        <f>AI121*VLOOKUP('Données projet'!$B$10,Paramètres!$A$1:$I$89,3,0)*VLOOKUP('Données projet'!$B$10,Paramètres!$A$1:$I$89,5,0)</f>
        <v>3.3992364478763198E-14</v>
      </c>
      <c r="AK121" s="14">
        <f t="shared" si="89"/>
        <v>5.790027782444094E-13</v>
      </c>
      <c r="AL121" s="22">
        <f t="shared" si="58"/>
        <v>1.0676332069095257E-12</v>
      </c>
      <c r="AM121" s="62">
        <f t="shared" si="59"/>
        <v>293.33333333333439</v>
      </c>
      <c r="AN121" s="62">
        <f ca="1">AVERAGE(OFFSET($AM$3,0,0,'Données projet'!$E$10+1,1))-AVERAGE(OFFSET($H$3,0,0,'Données projet'!$E$10+1,1))</f>
        <v>157.21429387424644</v>
      </c>
      <c r="AO121" s="62">
        <f t="shared" si="90"/>
        <v>264.58225136820056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19.147046205888515</v>
      </c>
      <c r="AV121" s="23">
        <f>EXP(-LN(2)/25)*AV120+(1-EXP(-LN(2)/25))/(LN(2)/25)*Calculateur!AQ121*Calculateur!AS121*VLOOKUP('Données projet'!$B$10,Paramètres!$A$1:$I$89,3,0)*0.475*44/12</f>
        <v>0.29142101580275931</v>
      </c>
      <c r="AW121" s="23">
        <f>EXP(-LN(2)/2)*AW120+(1-EXP(-LN(2)/2))/(LN(2)/2)*AQ121*AT121*VLOOKUP('Données projet'!$B$10,Paramètres!$A$1:$I$89,3,0)*0.475*44/12</f>
        <v>6.2614085361988121E-11</v>
      </c>
      <c r="AX121" s="23">
        <f t="shared" si="60"/>
        <v>19.438467221753886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5.6843418860808015E-14</v>
      </c>
      <c r="AJ122" s="14">
        <f>AI122*VLOOKUP('Données projet'!$B$10,Paramètres!$A$1:$I$89,3,0)*VLOOKUP('Données projet'!$B$10,Paramètres!$A$1:$I$89,5,0)</f>
        <v>3.3992364478763198E-14</v>
      </c>
      <c r="AK122" s="14">
        <f t="shared" si="89"/>
        <v>5.790027782444094E-13</v>
      </c>
      <c r="AL122" s="22">
        <f t="shared" si="58"/>
        <v>1.0676332069095257E-12</v>
      </c>
      <c r="AM122" s="62">
        <f t="shared" si="59"/>
        <v>293.33333333333439</v>
      </c>
      <c r="AN122" s="62">
        <f ca="1">AVERAGE(OFFSET($AM$3,0,0,'Données projet'!$E$10+1,1))-AVERAGE(OFFSET($H$3,0,0,'Données projet'!$E$10+1,1))</f>
        <v>157.21429387424644</v>
      </c>
      <c r="AO122" s="62">
        <f t="shared" si="90"/>
        <v>264.58225136820056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18.771584308336067</v>
      </c>
      <c r="AV122" s="23">
        <f>EXP(-LN(2)/25)*AV121+(1-EXP(-LN(2)/25))/(LN(2)/25)*Calculateur!AQ122*Calculateur!AS122*VLOOKUP('Données projet'!$B$10,Paramètres!$A$1:$I$89,3,0)*0.475*44/12</f>
        <v>0.28345209280046768</v>
      </c>
      <c r="AW122" s="23">
        <f>EXP(-LN(2)/2)*AW121+(1-EXP(-LN(2)/2))/(LN(2)/2)*AQ122*AT122*VLOOKUP('Données projet'!$B$10,Paramètres!$A$1:$I$89,3,0)*0.475*44/12</f>
        <v>4.4274844357255142E-11</v>
      </c>
      <c r="AX122" s="23">
        <f t="shared" si="60"/>
        <v>19.055036401180807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5.6843418860808015E-14</v>
      </c>
      <c r="AJ123" s="14">
        <f>AI123*VLOOKUP('Données projet'!$B$10,Paramètres!$A$1:$I$89,3,0)*VLOOKUP('Données projet'!$B$10,Paramètres!$A$1:$I$89,5,0)</f>
        <v>3.3992364478763198E-14</v>
      </c>
      <c r="AK123" s="14">
        <f t="shared" si="89"/>
        <v>5.790027782444094E-13</v>
      </c>
      <c r="AL123" s="22">
        <f t="shared" si="58"/>
        <v>1.0676332069095257E-12</v>
      </c>
      <c r="AM123" s="62">
        <f t="shared" si="59"/>
        <v>293.33333333333439</v>
      </c>
      <c r="AN123" s="62">
        <f ca="1">AVERAGE(OFFSET($AM$3,0,0,'Données projet'!$E$10+1,1))-AVERAGE(OFFSET($H$3,0,0,'Données projet'!$E$10+1,1))</f>
        <v>157.21429387424644</v>
      </c>
      <c r="AO123" s="62">
        <f t="shared" si="90"/>
        <v>264.58225136820056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18.403484989585476</v>
      </c>
      <c r="AV123" s="23">
        <f>EXP(-LN(2)/25)*AV122+(1-EXP(-LN(2)/25))/(LN(2)/25)*Calculateur!AQ123*Calculateur!AS123*VLOOKUP('Données projet'!$B$10,Paramètres!$A$1:$I$89,3,0)*0.475*44/12</f>
        <v>0.27570108041674118</v>
      </c>
      <c r="AW123" s="23">
        <f>EXP(-LN(2)/2)*AW122+(1-EXP(-LN(2)/2))/(LN(2)/2)*AQ123*AT123*VLOOKUP('Données projet'!$B$10,Paramètres!$A$1:$I$89,3,0)*0.475*44/12</f>
        <v>3.130704268099406E-11</v>
      </c>
      <c r="AX123" s="23">
        <f t="shared" si="60"/>
        <v>18.679186070033523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5.6843418860808015E-14</v>
      </c>
      <c r="AJ124" s="14">
        <f>AI124*VLOOKUP('Données projet'!$B$10,Paramètres!$A$1:$I$89,3,0)*VLOOKUP('Données projet'!$B$10,Paramètres!$A$1:$I$89,5,0)</f>
        <v>3.3992364478763198E-14</v>
      </c>
      <c r="AK124" s="14">
        <f t="shared" si="89"/>
        <v>5.790027782444094E-13</v>
      </c>
      <c r="AL124" s="22">
        <f t="shared" si="58"/>
        <v>1.0676332069095257E-12</v>
      </c>
      <c r="AM124" s="62">
        <f t="shared" si="59"/>
        <v>293.33333333333439</v>
      </c>
      <c r="AN124" s="62">
        <f ca="1">AVERAGE(OFFSET($AM$3,0,0,'Données projet'!$E$10+1,1))-AVERAGE(OFFSET($H$3,0,0,'Données projet'!$E$10+1,1))</f>
        <v>157.21429387424644</v>
      </c>
      <c r="AO124" s="62">
        <f t="shared" si="90"/>
        <v>264.58225136820056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18.042603873957169</v>
      </c>
      <c r="AV124" s="23">
        <f>EXP(-LN(2)/25)*AV123+(1-EXP(-LN(2)/25))/(LN(2)/25)*Calculateur!AQ124*Calculateur!AS124*VLOOKUP('Données projet'!$B$10,Paramètres!$A$1:$I$89,3,0)*0.475*44/12</f>
        <v>0.2681620198742557</v>
      </c>
      <c r="AW124" s="23">
        <f>EXP(-LN(2)/2)*AW123+(1-EXP(-LN(2)/2))/(LN(2)/2)*AQ124*AT124*VLOOKUP('Données projet'!$B$10,Paramètres!$A$1:$I$89,3,0)*0.475*44/12</f>
        <v>2.2137422178627571E-11</v>
      </c>
      <c r="AX124" s="23">
        <f t="shared" si="60"/>
        <v>18.310765893853564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5.6843418860808015E-14</v>
      </c>
      <c r="AJ125" s="14">
        <f>AI125*VLOOKUP('Données projet'!$B$10,Paramètres!$A$1:$I$89,3,0)*VLOOKUP('Données projet'!$B$10,Paramètres!$A$1:$I$89,5,0)</f>
        <v>3.3992364478763198E-14</v>
      </c>
      <c r="AK125" s="14">
        <f t="shared" si="89"/>
        <v>5.790027782444094E-13</v>
      </c>
      <c r="AL125" s="22">
        <f t="shared" si="58"/>
        <v>1.0676332069095257E-12</v>
      </c>
      <c r="AM125" s="62">
        <f t="shared" si="59"/>
        <v>293.33333333333439</v>
      </c>
      <c r="AN125" s="62">
        <f ca="1">AVERAGE(OFFSET($AM$3,0,0,'Données projet'!$E$10+1,1))-AVERAGE(OFFSET($H$3,0,0,'Données projet'!$E$10+1,1))</f>
        <v>157.21429387424644</v>
      </c>
      <c r="AO125" s="62">
        <f t="shared" si="90"/>
        <v>264.58225136820056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17.688799416890589</v>
      </c>
      <c r="AV125" s="23">
        <f>EXP(-LN(2)/25)*AV124+(1-EXP(-LN(2)/25))/(LN(2)/25)*Calculateur!AQ125*Calculateur!AS125*VLOOKUP('Données projet'!$B$10,Paramètres!$A$1:$I$89,3,0)*0.475*44/12</f>
        <v>0.26082911533876646</v>
      </c>
      <c r="AW125" s="23">
        <f>EXP(-LN(2)/2)*AW124+(1-EXP(-LN(2)/2))/(LN(2)/2)*AQ125*AT125*VLOOKUP('Données projet'!$B$10,Paramètres!$A$1:$I$89,3,0)*0.475*44/12</f>
        <v>1.565352134049703E-11</v>
      </c>
      <c r="AX125" s="23">
        <f t="shared" si="60"/>
        <v>17.949628532245008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5.6843418860808015E-14</v>
      </c>
      <c r="AJ126" s="14">
        <f>AI126*VLOOKUP('Données projet'!$B$10,Paramètres!$A$1:$I$89,3,0)*VLOOKUP('Données projet'!$B$10,Paramètres!$A$1:$I$89,5,0)</f>
        <v>3.3992364478763198E-14</v>
      </c>
      <c r="AK126" s="14">
        <f t="shared" si="89"/>
        <v>5.790027782444094E-13</v>
      </c>
      <c r="AL126" s="22">
        <f t="shared" si="58"/>
        <v>1.0676332069095257E-12</v>
      </c>
      <c r="AM126" s="62">
        <f t="shared" si="59"/>
        <v>293.33333333333439</v>
      </c>
      <c r="AN126" s="62">
        <f ca="1">AVERAGE(OFFSET($AM$3,0,0,'Données projet'!$E$10+1,1))-AVERAGE(OFFSET($H$3,0,0,'Données projet'!$E$10+1,1))</f>
        <v>157.21429387424644</v>
      </c>
      <c r="AO126" s="62">
        <f t="shared" si="90"/>
        <v>264.58225136820056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17.341932849427675</v>
      </c>
      <c r="AV126" s="23">
        <f>EXP(-LN(2)/25)*AV125+(1-EXP(-LN(2)/25))/(LN(2)/25)*Calculateur!AQ126*Calculateur!AS126*VLOOKUP('Données projet'!$B$10,Paramètres!$A$1:$I$89,3,0)*0.475*44/12</f>
        <v>0.25369672946342087</v>
      </c>
      <c r="AW126" s="23">
        <f>EXP(-LN(2)/2)*AW125+(1-EXP(-LN(2)/2))/(LN(2)/2)*AQ126*AT126*VLOOKUP('Données projet'!$B$10,Paramètres!$A$1:$I$89,3,0)*0.475*44/12</f>
        <v>1.1068711089313786E-11</v>
      </c>
      <c r="AX126" s="23">
        <f t="shared" si="60"/>
        <v>17.595629578902166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5.6843418860808015E-14</v>
      </c>
      <c r="AJ127" s="14">
        <f>AI127*VLOOKUP('Données projet'!$B$10,Paramètres!$A$1:$I$89,3,0)*VLOOKUP('Données projet'!$B$10,Paramètres!$A$1:$I$89,5,0)</f>
        <v>3.3992364478763198E-14</v>
      </c>
      <c r="AK127" s="14">
        <f t="shared" si="89"/>
        <v>5.790027782444094E-13</v>
      </c>
      <c r="AL127" s="22">
        <f t="shared" si="58"/>
        <v>1.0676332069095257E-12</v>
      </c>
      <c r="AM127" s="62">
        <f t="shared" si="59"/>
        <v>293.33333333333439</v>
      </c>
      <c r="AN127" s="62">
        <f ca="1">AVERAGE(OFFSET($AM$3,0,0,'Données projet'!$E$10+1,1))-AVERAGE(OFFSET($H$3,0,0,'Données projet'!$E$10+1,1))</f>
        <v>157.21429387424644</v>
      </c>
      <c r="AO127" s="62">
        <f t="shared" si="90"/>
        <v>264.58225136820056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17.001868123784991</v>
      </c>
      <c r="AV127" s="23">
        <f>EXP(-LN(2)/25)*AV126+(1-EXP(-LN(2)/25))/(LN(2)/25)*Calculateur!AQ127*Calculateur!AS127*VLOOKUP('Données projet'!$B$10,Paramètres!$A$1:$I$89,3,0)*0.475*44/12</f>
        <v>0.24675937905491246</v>
      </c>
      <c r="AW127" s="23">
        <f>EXP(-LN(2)/2)*AW126+(1-EXP(-LN(2)/2))/(LN(2)/2)*AQ127*AT127*VLOOKUP('Données projet'!$B$10,Paramètres!$A$1:$I$89,3,0)*0.475*44/12</f>
        <v>7.8267606702485151E-12</v>
      </c>
      <c r="AX127" s="23">
        <f t="shared" si="60"/>
        <v>17.248627502847729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5.6843418860808015E-14</v>
      </c>
      <c r="AJ128" s="14">
        <f>AI128*VLOOKUP('Données projet'!$B$10,Paramètres!$A$1:$I$89,3,0)*VLOOKUP('Données projet'!$B$10,Paramètres!$A$1:$I$89,5,0)</f>
        <v>3.3992364478763198E-14</v>
      </c>
      <c r="AK128" s="14">
        <f t="shared" si="89"/>
        <v>5.790027782444094E-13</v>
      </c>
      <c r="AL128" s="22">
        <f t="shared" si="58"/>
        <v>1.0676332069095257E-12</v>
      </c>
      <c r="AM128" s="62">
        <f t="shared" si="59"/>
        <v>293.33333333333439</v>
      </c>
      <c r="AN128" s="62">
        <f ca="1">AVERAGE(OFFSET($AM$3,0,0,'Données projet'!$E$10+1,1))-AVERAGE(OFFSET($H$3,0,0,'Données projet'!$E$10+1,1))</f>
        <v>157.21429387424644</v>
      </c>
      <c r="AO128" s="62">
        <f t="shared" si="90"/>
        <v>264.58225136820056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16.668471859993158</v>
      </c>
      <c r="AV128" s="23">
        <f>EXP(-LN(2)/25)*AV127+(1-EXP(-LN(2)/25))/(LN(2)/25)*Calculateur!AQ128*Calculateur!AS128*VLOOKUP('Données projet'!$B$10,Paramètres!$A$1:$I$89,3,0)*0.475*44/12</f>
        <v>0.24001173085814412</v>
      </c>
      <c r="AW128" s="23">
        <f>EXP(-LN(2)/2)*AW127+(1-EXP(-LN(2)/2))/(LN(2)/2)*AQ128*AT128*VLOOKUP('Données projet'!$B$10,Paramètres!$A$1:$I$89,3,0)*0.475*44/12</f>
        <v>5.5343555446568928E-12</v>
      </c>
      <c r="AX128" s="23">
        <f t="shared" si="60"/>
        <v>16.908483590856836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5.6843418860808015E-14</v>
      </c>
      <c r="AJ129" s="14">
        <f>AI129*VLOOKUP('Données projet'!$B$10,Paramètres!$A$1:$I$89,3,0)*VLOOKUP('Données projet'!$B$10,Paramètres!$A$1:$I$89,5,0)</f>
        <v>3.3992364478763198E-14</v>
      </c>
      <c r="AK129" s="14">
        <f t="shared" si="89"/>
        <v>5.790027782444094E-13</v>
      </c>
      <c r="AL129" s="22">
        <f t="shared" si="58"/>
        <v>1.0676332069095257E-12</v>
      </c>
      <c r="AM129" s="62">
        <f t="shared" si="59"/>
        <v>293.33333333333439</v>
      </c>
      <c r="AN129" s="62">
        <f ca="1">AVERAGE(OFFSET($AM$3,0,0,'Données projet'!$E$10+1,1))-AVERAGE(OFFSET($H$3,0,0,'Données projet'!$E$10+1,1))</f>
        <v>157.21429387424644</v>
      </c>
      <c r="AO129" s="62">
        <f t="shared" si="90"/>
        <v>264.58225136820056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16.341613293582643</v>
      </c>
      <c r="AV129" s="23">
        <f>EXP(-LN(2)/25)*AV128+(1-EXP(-LN(2)/25))/(LN(2)/25)*Calculateur!AQ129*Calculateur!AS129*VLOOKUP('Données projet'!$B$10,Paramètres!$A$1:$I$89,3,0)*0.475*44/12</f>
        <v>0.23344859745615978</v>
      </c>
      <c r="AW129" s="23">
        <f>EXP(-LN(2)/2)*AW128+(1-EXP(-LN(2)/2))/(LN(2)/2)*AQ129*AT129*VLOOKUP('Données projet'!$B$10,Paramètres!$A$1:$I$89,3,0)*0.475*44/12</f>
        <v>3.9133803351242575E-12</v>
      </c>
      <c r="AX129" s="23">
        <f t="shared" si="60"/>
        <v>16.575061891042719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5.6843418860808015E-14</v>
      </c>
      <c r="AJ130" s="14">
        <f>AI130*VLOOKUP('Données projet'!$B$10,Paramètres!$A$1:$I$89,3,0)*VLOOKUP('Données projet'!$B$10,Paramètres!$A$1:$I$89,5,0)</f>
        <v>3.3992364478763198E-14</v>
      </c>
      <c r="AK130" s="14">
        <f t="shared" si="89"/>
        <v>5.790027782444094E-13</v>
      </c>
      <c r="AL130" s="22">
        <f t="shared" si="58"/>
        <v>1.0676332069095257E-12</v>
      </c>
      <c r="AM130" s="62">
        <f t="shared" si="59"/>
        <v>293.33333333333439</v>
      </c>
      <c r="AN130" s="62">
        <f ca="1">AVERAGE(OFFSET($AM$3,0,0,'Données projet'!$E$10+1,1))-AVERAGE(OFFSET($H$3,0,0,'Données projet'!$E$10+1,1))</f>
        <v>157.21429387424644</v>
      </c>
      <c r="AO130" s="62">
        <f t="shared" si="90"/>
        <v>264.58225136820056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16.021164224295397</v>
      </c>
      <c r="AV130" s="23">
        <f>EXP(-LN(2)/25)*AV129+(1-EXP(-LN(2)/25))/(LN(2)/25)*Calculateur!AQ130*Calculateur!AS130*VLOOKUP('Données projet'!$B$10,Paramètres!$A$1:$I$89,3,0)*0.475*44/12</f>
        <v>0.2270649332821929</v>
      </c>
      <c r="AW130" s="23">
        <f>EXP(-LN(2)/2)*AW129+(1-EXP(-LN(2)/2))/(LN(2)/2)*AQ130*AT130*VLOOKUP('Données projet'!$B$10,Paramètres!$A$1:$I$89,3,0)*0.475*44/12</f>
        <v>2.7671777723284464E-12</v>
      </c>
      <c r="AX130" s="23">
        <f t="shared" si="60"/>
        <v>16.248229157580358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5.6843418860808015E-14</v>
      </c>
      <c r="AJ131" s="14">
        <f>AI131*VLOOKUP('Données projet'!$B$10,Paramètres!$A$1:$I$89,3,0)*VLOOKUP('Données projet'!$B$10,Paramètres!$A$1:$I$89,5,0)</f>
        <v>3.3992364478763198E-14</v>
      </c>
      <c r="AK131" s="14">
        <f t="shared" si="89"/>
        <v>5.790027782444094E-13</v>
      </c>
      <c r="AL131" s="22">
        <f t="shared" si="58"/>
        <v>1.0676332069095257E-12</v>
      </c>
      <c r="AM131" s="62">
        <f t="shared" si="59"/>
        <v>293.33333333333439</v>
      </c>
      <c r="AN131" s="62">
        <f ca="1">AVERAGE(OFFSET($AM$3,0,0,'Données projet'!$E$10+1,1))-AVERAGE(OFFSET($H$3,0,0,'Données projet'!$E$10+1,1))</f>
        <v>157.21429387424644</v>
      </c>
      <c r="AO131" s="62">
        <f t="shared" si="90"/>
        <v>264.58225136820056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15.706998965802242</v>
      </c>
      <c r="AV131" s="23">
        <f>EXP(-LN(2)/25)*AV130+(1-EXP(-LN(2)/25))/(LN(2)/25)*Calculateur!AQ131*Calculateur!AS131*VLOOKUP('Données projet'!$B$10,Paramètres!$A$1:$I$89,3,0)*0.475*44/12</f>
        <v>0.22085583074076545</v>
      </c>
      <c r="AW131" s="23">
        <f>EXP(-LN(2)/2)*AW130+(1-EXP(-LN(2)/2))/(LN(2)/2)*AQ131*AT131*VLOOKUP('Données projet'!$B$10,Paramètres!$A$1:$I$89,3,0)*0.475*44/12</f>
        <v>1.9566901675621288E-12</v>
      </c>
      <c r="AX131" s="23">
        <f t="shared" si="60"/>
        <v>15.927854796544965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5.6843418860808015E-14</v>
      </c>
      <c r="AJ132" s="14">
        <f>AI132*VLOOKUP('Données projet'!$B$10,Paramètres!$A$1:$I$89,3,0)*VLOOKUP('Données projet'!$B$10,Paramètres!$A$1:$I$89,5,0)</f>
        <v>3.3992364478763198E-14</v>
      </c>
      <c r="AK132" s="14">
        <f t="shared" si="89"/>
        <v>5.790027782444094E-13</v>
      </c>
      <c r="AL132" s="22">
        <f t="shared" ref="AL132:AL153" si="112">(AJ132+AK132)*0.475*44/12</f>
        <v>1.0676332069095257E-12</v>
      </c>
      <c r="AM132" s="62">
        <f t="shared" ref="AM132:AM195" si="113">AL132+(AD132+AE132)*44/12</f>
        <v>293.33333333333439</v>
      </c>
      <c r="AN132" s="62">
        <f ca="1">AVERAGE(OFFSET($AM$3,0,0,'Données projet'!$E$10+1,1))-AVERAGE(OFFSET($H$3,0,0,'Données projet'!$E$10+1,1))</f>
        <v>157.21429387424644</v>
      </c>
      <c r="AO132" s="62">
        <f t="shared" si="90"/>
        <v>264.58225136820056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15.398994296406251</v>
      </c>
      <c r="AV132" s="23">
        <f>EXP(-LN(2)/25)*AV131+(1-EXP(-LN(2)/25))/(LN(2)/25)*Calculateur!AQ132*Calculateur!AS132*VLOOKUP('Données projet'!$B$10,Paramètres!$A$1:$I$89,3,0)*0.475*44/12</f>
        <v>0.21481651643485586</v>
      </c>
      <c r="AW132" s="23">
        <f>EXP(-LN(2)/2)*AW131+(1-EXP(-LN(2)/2))/(LN(2)/2)*AQ132*AT132*VLOOKUP('Données projet'!$B$10,Paramètres!$A$1:$I$89,3,0)*0.475*44/12</f>
        <v>1.3835888861642232E-12</v>
      </c>
      <c r="AX132" s="23">
        <f t="shared" ref="AX132:AX153" si="114">SUM(AU132:AW132)</f>
        <v>15.613810812842491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5.6843418860808015E-14</v>
      </c>
      <c r="AJ133" s="14">
        <f>AI133*VLOOKUP('Données projet'!$B$10,Paramètres!$A$1:$I$89,3,0)*VLOOKUP('Données projet'!$B$10,Paramètres!$A$1:$I$89,5,0)</f>
        <v>3.3992364478763198E-14</v>
      </c>
      <c r="AK133" s="14">
        <f t="shared" ref="AK133:AK153" si="143">EXP(-1.0587+0.8836*LN(AJ133)+0.284)</f>
        <v>5.790027782444094E-13</v>
      </c>
      <c r="AL133" s="22">
        <f t="shared" si="112"/>
        <v>1.0676332069095257E-12</v>
      </c>
      <c r="AM133" s="62">
        <f t="shared" si="113"/>
        <v>293.33333333333439</v>
      </c>
      <c r="AN133" s="62">
        <f ca="1">AVERAGE(OFFSET($AM$3,0,0,'Données projet'!$E$10+1,1))-AVERAGE(OFFSET($H$3,0,0,'Données projet'!$E$10+1,1))</f>
        <v>157.21429387424644</v>
      </c>
      <c r="AO133" s="62">
        <f t="shared" ref="AO133:AO196" si="144">$AO$3</f>
        <v>264.58225136820056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15.097029410712816</v>
      </c>
      <c r="AV133" s="23">
        <f>EXP(-LN(2)/25)*AV132+(1-EXP(-LN(2)/25))/(LN(2)/25)*Calculateur!AQ133*Calculateur!AS133*VLOOKUP('Données projet'!$B$10,Paramètres!$A$1:$I$89,3,0)*0.475*44/12</f>
        <v>0.20894234749623511</v>
      </c>
      <c r="AW133" s="23">
        <f>EXP(-LN(2)/2)*AW132+(1-EXP(-LN(2)/2))/(LN(2)/2)*AQ133*AT133*VLOOKUP('Données projet'!$B$10,Paramètres!$A$1:$I$89,3,0)*0.475*44/12</f>
        <v>9.7834508378106438E-13</v>
      </c>
      <c r="AX133" s="23">
        <f t="shared" si="114"/>
        <v>15.305971758210029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5.6843418860808015E-14</v>
      </c>
      <c r="AJ134" s="14">
        <f>AI134*VLOOKUP('Données projet'!$B$10,Paramètres!$A$1:$I$89,3,0)*VLOOKUP('Données projet'!$B$10,Paramètres!$A$1:$I$89,5,0)</f>
        <v>3.3992364478763198E-14</v>
      </c>
      <c r="AK134" s="14">
        <f t="shared" si="143"/>
        <v>5.790027782444094E-13</v>
      </c>
      <c r="AL134" s="22">
        <f t="shared" si="112"/>
        <v>1.0676332069095257E-12</v>
      </c>
      <c r="AM134" s="62">
        <f t="shared" si="113"/>
        <v>293.33333333333439</v>
      </c>
      <c r="AN134" s="62">
        <f ca="1">AVERAGE(OFFSET($AM$3,0,0,'Données projet'!$E$10+1,1))-AVERAGE(OFFSET($H$3,0,0,'Données projet'!$E$10+1,1))</f>
        <v>157.21429387424644</v>
      </c>
      <c r="AO134" s="62">
        <f t="shared" si="144"/>
        <v>264.58225136820056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14.800985872247436</v>
      </c>
      <c r="AV134" s="23">
        <f>EXP(-LN(2)/25)*AV133+(1-EXP(-LN(2)/25))/(LN(2)/25)*Calculateur!AQ134*Calculateur!AS134*VLOOKUP('Données projet'!$B$10,Paramètres!$A$1:$I$89,3,0)*0.475*44/12</f>
        <v>0.20322880801615004</v>
      </c>
      <c r="AW134" s="23">
        <f>EXP(-LN(2)/2)*AW133+(1-EXP(-LN(2)/2))/(LN(2)/2)*AQ134*AT134*VLOOKUP('Données projet'!$B$10,Paramètres!$A$1:$I$89,3,0)*0.475*44/12</f>
        <v>6.917944430821116E-13</v>
      </c>
      <c r="AX134" s="23">
        <f t="shared" si="114"/>
        <v>15.004214680264276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5.6843418860808015E-14</v>
      </c>
      <c r="AJ135" s="14">
        <f>AI135*VLOOKUP('Données projet'!$B$10,Paramètres!$A$1:$I$89,3,0)*VLOOKUP('Données projet'!$B$10,Paramètres!$A$1:$I$89,5,0)</f>
        <v>3.3992364478763198E-14</v>
      </c>
      <c r="AK135" s="14">
        <f t="shared" si="143"/>
        <v>5.790027782444094E-13</v>
      </c>
      <c r="AL135" s="22">
        <f t="shared" si="112"/>
        <v>1.0676332069095257E-12</v>
      </c>
      <c r="AM135" s="62">
        <f t="shared" si="113"/>
        <v>293.33333333333439</v>
      </c>
      <c r="AN135" s="62">
        <f ca="1">AVERAGE(OFFSET($AM$3,0,0,'Données projet'!$E$10+1,1))-AVERAGE(OFFSET($H$3,0,0,'Données projet'!$E$10+1,1))</f>
        <v>157.21429387424644</v>
      </c>
      <c r="AO135" s="62">
        <f t="shared" si="144"/>
        <v>264.58225136820056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14.510747567002634</v>
      </c>
      <c r="AV135" s="23">
        <f>EXP(-LN(2)/25)*AV134+(1-EXP(-LN(2)/25))/(LN(2)/25)*Calculateur!AQ135*Calculateur!AS135*VLOOKUP('Données projet'!$B$10,Paramètres!$A$1:$I$89,3,0)*0.475*44/12</f>
        <v>0.19767150557360988</v>
      </c>
      <c r="AW135" s="23">
        <f>EXP(-LN(2)/2)*AW134+(1-EXP(-LN(2)/2))/(LN(2)/2)*AQ135*AT135*VLOOKUP('Données projet'!$B$10,Paramètres!$A$1:$I$89,3,0)*0.475*44/12</f>
        <v>4.8917254189053219E-13</v>
      </c>
      <c r="AX135" s="23">
        <f t="shared" si="114"/>
        <v>14.708419072576731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5.6843418860808015E-14</v>
      </c>
      <c r="AJ136" s="14">
        <f>AI136*VLOOKUP('Données projet'!$B$10,Paramètres!$A$1:$I$89,3,0)*VLOOKUP('Données projet'!$B$10,Paramètres!$A$1:$I$89,5,0)</f>
        <v>3.3992364478763198E-14</v>
      </c>
      <c r="AK136" s="14">
        <f t="shared" si="143"/>
        <v>5.790027782444094E-13</v>
      </c>
      <c r="AL136" s="22">
        <f t="shared" si="112"/>
        <v>1.0676332069095257E-12</v>
      </c>
      <c r="AM136" s="62">
        <f t="shared" si="113"/>
        <v>293.33333333333439</v>
      </c>
      <c r="AN136" s="62">
        <f ca="1">AVERAGE(OFFSET($AM$3,0,0,'Données projet'!$E$10+1,1))-AVERAGE(OFFSET($H$3,0,0,'Données projet'!$E$10+1,1))</f>
        <v>157.21429387424644</v>
      </c>
      <c r="AO136" s="62">
        <f t="shared" si="144"/>
        <v>264.58225136820056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14.226200657895795</v>
      </c>
      <c r="AV136" s="23">
        <f>EXP(-LN(2)/25)*AV135+(1-EXP(-LN(2)/25))/(LN(2)/25)*Calculateur!AQ136*Calculateur!AS136*VLOOKUP('Données projet'!$B$10,Paramètres!$A$1:$I$89,3,0)*0.475*44/12</f>
        <v>0.19226616785860681</v>
      </c>
      <c r="AW136" s="23">
        <f>EXP(-LN(2)/2)*AW135+(1-EXP(-LN(2)/2))/(LN(2)/2)*AQ136*AT136*VLOOKUP('Données projet'!$B$10,Paramètres!$A$1:$I$89,3,0)*0.475*44/12</f>
        <v>3.458972215410558E-13</v>
      </c>
      <c r="AX136" s="23">
        <f t="shared" si="114"/>
        <v>14.418466825754749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5.6843418860808015E-14</v>
      </c>
      <c r="AJ137" s="14">
        <f>AI137*VLOOKUP('Données projet'!$B$10,Paramètres!$A$1:$I$89,3,0)*VLOOKUP('Données projet'!$B$10,Paramètres!$A$1:$I$89,5,0)</f>
        <v>3.3992364478763198E-14</v>
      </c>
      <c r="AK137" s="14">
        <f t="shared" si="143"/>
        <v>5.790027782444094E-13</v>
      </c>
      <c r="AL137" s="22">
        <f t="shared" si="112"/>
        <v>1.0676332069095257E-12</v>
      </c>
      <c r="AM137" s="62">
        <f t="shared" si="113"/>
        <v>293.33333333333439</v>
      </c>
      <c r="AN137" s="62">
        <f ca="1">AVERAGE(OFFSET($AM$3,0,0,'Données projet'!$E$10+1,1))-AVERAGE(OFFSET($H$3,0,0,'Données projet'!$E$10+1,1))</f>
        <v>157.21429387424644</v>
      </c>
      <c r="AO137" s="62">
        <f t="shared" si="144"/>
        <v>264.58225136820056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13.947233540120065</v>
      </c>
      <c r="AV137" s="23">
        <f>EXP(-LN(2)/25)*AV136+(1-EXP(-LN(2)/25))/(LN(2)/25)*Calculateur!AQ137*Calculateur!AS137*VLOOKUP('Données projet'!$B$10,Paramètres!$A$1:$I$89,3,0)*0.475*44/12</f>
        <v>0.18700863938767487</v>
      </c>
      <c r="AW137" s="23">
        <f>EXP(-LN(2)/2)*AW136+(1-EXP(-LN(2)/2))/(LN(2)/2)*AQ137*AT137*VLOOKUP('Données projet'!$B$10,Paramètres!$A$1:$I$89,3,0)*0.475*44/12</f>
        <v>2.445862709452661E-13</v>
      </c>
      <c r="AX137" s="23">
        <f t="shared" si="114"/>
        <v>14.134242179507986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5.6843418860808015E-14</v>
      </c>
      <c r="AJ138" s="14">
        <f>AI138*VLOOKUP('Données projet'!$B$10,Paramètres!$A$1:$I$89,3,0)*VLOOKUP('Données projet'!$B$10,Paramètres!$A$1:$I$89,5,0)</f>
        <v>3.3992364478763198E-14</v>
      </c>
      <c r="AK138" s="14">
        <f t="shared" si="143"/>
        <v>5.790027782444094E-13</v>
      </c>
      <c r="AL138" s="22">
        <f t="shared" si="112"/>
        <v>1.0676332069095257E-12</v>
      </c>
      <c r="AM138" s="62">
        <f t="shared" si="113"/>
        <v>293.33333333333439</v>
      </c>
      <c r="AN138" s="62">
        <f ca="1">AVERAGE(OFFSET($AM$3,0,0,'Données projet'!$E$10+1,1))-AVERAGE(OFFSET($H$3,0,0,'Données projet'!$E$10+1,1))</f>
        <v>157.21429387424644</v>
      </c>
      <c r="AO138" s="62">
        <f t="shared" si="144"/>
        <v>264.58225136820056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13.673736797370776</v>
      </c>
      <c r="AV138" s="23">
        <f>EXP(-LN(2)/25)*AV137+(1-EXP(-LN(2)/25))/(LN(2)/25)*Calculateur!AQ138*Calculateur!AS138*VLOOKUP('Données projet'!$B$10,Paramètres!$A$1:$I$89,3,0)*0.475*44/12</f>
        <v>0.18189487830926196</v>
      </c>
      <c r="AW138" s="23">
        <f>EXP(-LN(2)/2)*AW137+(1-EXP(-LN(2)/2))/(LN(2)/2)*AQ138*AT138*VLOOKUP('Données projet'!$B$10,Paramètres!$A$1:$I$89,3,0)*0.475*44/12</f>
        <v>1.729486107705279E-13</v>
      </c>
      <c r="AX138" s="23">
        <f t="shared" si="114"/>
        <v>13.855631675680209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5.6843418860808015E-14</v>
      </c>
      <c r="AJ139" s="14">
        <f>AI139*VLOOKUP('Données projet'!$B$10,Paramètres!$A$1:$I$89,3,0)*VLOOKUP('Données projet'!$B$10,Paramètres!$A$1:$I$89,5,0)</f>
        <v>3.3992364478763198E-14</v>
      </c>
      <c r="AK139" s="14">
        <f t="shared" si="143"/>
        <v>5.790027782444094E-13</v>
      </c>
      <c r="AL139" s="22">
        <f t="shared" si="112"/>
        <v>1.0676332069095257E-12</v>
      </c>
      <c r="AM139" s="62">
        <f t="shared" si="113"/>
        <v>293.33333333333439</v>
      </c>
      <c r="AN139" s="62">
        <f ca="1">AVERAGE(OFFSET($AM$3,0,0,'Données projet'!$E$10+1,1))-AVERAGE(OFFSET($H$3,0,0,'Données projet'!$E$10+1,1))</f>
        <v>157.21429387424644</v>
      </c>
      <c r="AO139" s="62">
        <f t="shared" si="144"/>
        <v>264.58225136820056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13.405603158930258</v>
      </c>
      <c r="AV139" s="23">
        <f>EXP(-LN(2)/25)*AV138+(1-EXP(-LN(2)/25))/(LN(2)/25)*Calculateur!AQ139*Calculateur!AS139*VLOOKUP('Données projet'!$B$10,Paramètres!$A$1:$I$89,3,0)*0.475*44/12</f>
        <v>0.17692095329645927</v>
      </c>
      <c r="AW139" s="23">
        <f>EXP(-LN(2)/2)*AW138+(1-EXP(-LN(2)/2))/(LN(2)/2)*AQ139*AT139*VLOOKUP('Données projet'!$B$10,Paramètres!$A$1:$I$89,3,0)*0.475*44/12</f>
        <v>1.2229313547263305E-13</v>
      </c>
      <c r="AX139" s="23">
        <f t="shared" si="114"/>
        <v>13.582524112226841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5.6843418860808015E-14</v>
      </c>
      <c r="AJ140" s="14">
        <f>AI140*VLOOKUP('Données projet'!$B$10,Paramètres!$A$1:$I$89,3,0)*VLOOKUP('Données projet'!$B$10,Paramètres!$A$1:$I$89,5,0)</f>
        <v>3.3992364478763198E-14</v>
      </c>
      <c r="AK140" s="14">
        <f t="shared" si="143"/>
        <v>5.790027782444094E-13</v>
      </c>
      <c r="AL140" s="22">
        <f t="shared" si="112"/>
        <v>1.0676332069095257E-12</v>
      </c>
      <c r="AM140" s="62">
        <f t="shared" si="113"/>
        <v>293.33333333333439</v>
      </c>
      <c r="AN140" s="62">
        <f ca="1">AVERAGE(OFFSET($AM$3,0,0,'Données projet'!$E$10+1,1))-AVERAGE(OFFSET($H$3,0,0,'Données projet'!$E$10+1,1))</f>
        <v>157.21429387424644</v>
      </c>
      <c r="AO140" s="62">
        <f t="shared" si="144"/>
        <v>264.58225136820056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13.142727457594189</v>
      </c>
      <c r="AV140" s="23">
        <f>EXP(-LN(2)/25)*AV139+(1-EXP(-LN(2)/25))/(LN(2)/25)*Calculateur!AQ140*Calculateur!AS140*VLOOKUP('Données projet'!$B$10,Paramètres!$A$1:$I$89,3,0)*0.475*44/12</f>
        <v>0.172083040524699</v>
      </c>
      <c r="AW140" s="23">
        <f>EXP(-LN(2)/2)*AW139+(1-EXP(-LN(2)/2))/(LN(2)/2)*AQ140*AT140*VLOOKUP('Données projet'!$B$10,Paramètres!$A$1:$I$89,3,0)*0.475*44/12</f>
        <v>8.647430538526395E-14</v>
      </c>
      <c r="AX140" s="23">
        <f t="shared" si="114"/>
        <v>13.314810498118975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5.6843418860808015E-14</v>
      </c>
      <c r="AJ141" s="14">
        <f>AI141*VLOOKUP('Données projet'!$B$10,Paramètres!$A$1:$I$89,3,0)*VLOOKUP('Données projet'!$B$10,Paramètres!$A$1:$I$89,5,0)</f>
        <v>3.3992364478763198E-14</v>
      </c>
      <c r="AK141" s="14">
        <f t="shared" si="143"/>
        <v>5.790027782444094E-13</v>
      </c>
      <c r="AL141" s="22">
        <f t="shared" si="112"/>
        <v>1.0676332069095257E-12</v>
      </c>
      <c r="AM141" s="62">
        <f t="shared" si="113"/>
        <v>293.33333333333439</v>
      </c>
      <c r="AN141" s="62">
        <f ca="1">AVERAGE(OFFSET($AM$3,0,0,'Données projet'!$E$10+1,1))-AVERAGE(OFFSET($H$3,0,0,'Données projet'!$E$10+1,1))</f>
        <v>157.21429387424644</v>
      </c>
      <c r="AO141" s="62">
        <f t="shared" si="144"/>
        <v>264.58225136820056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12.885006588422975</v>
      </c>
      <c r="AV141" s="23">
        <f>EXP(-LN(2)/25)*AV140+(1-EXP(-LN(2)/25))/(LN(2)/25)*Calculateur!AQ141*Calculateur!AS141*VLOOKUP('Données projet'!$B$10,Paramètres!$A$1:$I$89,3,0)*0.475*44/12</f>
        <v>0.1673774207320973</v>
      </c>
      <c r="AW141" s="23">
        <f>EXP(-LN(2)/2)*AW140+(1-EXP(-LN(2)/2))/(LN(2)/2)*AQ141*AT141*VLOOKUP('Données projet'!$B$10,Paramètres!$A$1:$I$89,3,0)*0.475*44/12</f>
        <v>6.1146567736316524E-14</v>
      </c>
      <c r="AX141" s="23">
        <f t="shared" si="114"/>
        <v>13.052384009155134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5.6843418860808015E-14</v>
      </c>
      <c r="AJ142" s="14">
        <f>AI142*VLOOKUP('Données projet'!$B$10,Paramètres!$A$1:$I$89,3,0)*VLOOKUP('Données projet'!$B$10,Paramètres!$A$1:$I$89,5,0)</f>
        <v>3.3992364478763198E-14</v>
      </c>
      <c r="AK142" s="14">
        <f t="shared" si="143"/>
        <v>5.790027782444094E-13</v>
      </c>
      <c r="AL142" s="22">
        <f t="shared" si="112"/>
        <v>1.0676332069095257E-12</v>
      </c>
      <c r="AM142" s="62">
        <f t="shared" si="113"/>
        <v>293.33333333333439</v>
      </c>
      <c r="AN142" s="62">
        <f ca="1">AVERAGE(OFFSET($AM$3,0,0,'Données projet'!$E$10+1,1))-AVERAGE(OFFSET($H$3,0,0,'Données projet'!$E$10+1,1))</f>
        <v>157.21429387424644</v>
      </c>
      <c r="AO142" s="62">
        <f t="shared" si="144"/>
        <v>264.58225136820056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12.632339468302</v>
      </c>
      <c r="AV142" s="23">
        <f>EXP(-LN(2)/25)*AV141+(1-EXP(-LN(2)/25))/(LN(2)/25)*Calculateur!AQ142*Calculateur!AS142*VLOOKUP('Données projet'!$B$10,Paramètres!$A$1:$I$89,3,0)*0.475*44/12</f>
        <v>0.16280047636018208</v>
      </c>
      <c r="AW142" s="23">
        <f>EXP(-LN(2)/2)*AW141+(1-EXP(-LN(2)/2))/(LN(2)/2)*AQ142*AT142*VLOOKUP('Données projet'!$B$10,Paramètres!$A$1:$I$89,3,0)*0.475*44/12</f>
        <v>4.3237152692631975E-14</v>
      </c>
      <c r="AX142" s="23">
        <f t="shared" si="114"/>
        <v>12.795139944662225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5.6843418860808015E-14</v>
      </c>
      <c r="AJ143" s="14">
        <f>AI143*VLOOKUP('Données projet'!$B$10,Paramètres!$A$1:$I$89,3,0)*VLOOKUP('Données projet'!$B$10,Paramètres!$A$1:$I$89,5,0)</f>
        <v>3.3992364478763198E-14</v>
      </c>
      <c r="AK143" s="14">
        <f t="shared" si="143"/>
        <v>5.790027782444094E-13</v>
      </c>
      <c r="AL143" s="22">
        <f t="shared" si="112"/>
        <v>1.0676332069095257E-12</v>
      </c>
      <c r="AM143" s="62">
        <f t="shared" si="113"/>
        <v>293.33333333333439</v>
      </c>
      <c r="AN143" s="62">
        <f ca="1">AVERAGE(OFFSET($AM$3,0,0,'Données projet'!$E$10+1,1))-AVERAGE(OFFSET($H$3,0,0,'Données projet'!$E$10+1,1))</f>
        <v>157.21429387424644</v>
      </c>
      <c r="AO143" s="62">
        <f t="shared" si="144"/>
        <v>264.58225136820056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12.384626996294871</v>
      </c>
      <c r="AV143" s="23">
        <f>EXP(-LN(2)/25)*AV142+(1-EXP(-LN(2)/25))/(LN(2)/25)*Calculateur!AQ143*Calculateur!AS143*VLOOKUP('Données projet'!$B$10,Paramètres!$A$1:$I$89,3,0)*0.475*44/12</f>
        <v>0.15834868877280794</v>
      </c>
      <c r="AW143" s="23">
        <f>EXP(-LN(2)/2)*AW142+(1-EXP(-LN(2)/2))/(LN(2)/2)*AQ143*AT143*VLOOKUP('Données projet'!$B$10,Paramètres!$A$1:$I$89,3,0)*0.475*44/12</f>
        <v>3.0573283868158262E-14</v>
      </c>
      <c r="AX143" s="23">
        <f t="shared" si="114"/>
        <v>12.542975685067709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5.6843418860808015E-14</v>
      </c>
      <c r="AJ144" s="14">
        <f>AI144*VLOOKUP('Données projet'!$B$10,Paramètres!$A$1:$I$89,3,0)*VLOOKUP('Données projet'!$B$10,Paramètres!$A$1:$I$89,5,0)</f>
        <v>3.3992364478763198E-14</v>
      </c>
      <c r="AK144" s="14">
        <f t="shared" si="143"/>
        <v>5.790027782444094E-13</v>
      </c>
      <c r="AL144" s="22">
        <f t="shared" si="112"/>
        <v>1.0676332069095257E-12</v>
      </c>
      <c r="AM144" s="62">
        <f t="shared" si="113"/>
        <v>293.33333333333439</v>
      </c>
      <c r="AN144" s="62">
        <f ca="1">AVERAGE(OFFSET($AM$3,0,0,'Données projet'!$E$10+1,1))-AVERAGE(OFFSET($H$3,0,0,'Données projet'!$E$10+1,1))</f>
        <v>157.21429387424644</v>
      </c>
      <c r="AO144" s="62">
        <f t="shared" si="144"/>
        <v>264.58225136820056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12.141772014774114</v>
      </c>
      <c r="AV144" s="23">
        <f>EXP(-LN(2)/25)*AV143+(1-EXP(-LN(2)/25))/(LN(2)/25)*Calculateur!AQ144*Calculateur!AS144*VLOOKUP('Données projet'!$B$10,Paramètres!$A$1:$I$89,3,0)*0.475*44/12</f>
        <v>0.15401863555111989</v>
      </c>
      <c r="AW144" s="23">
        <f>EXP(-LN(2)/2)*AW143+(1-EXP(-LN(2)/2))/(LN(2)/2)*AQ144*AT144*VLOOKUP('Données projet'!$B$10,Paramètres!$A$1:$I$89,3,0)*0.475*44/12</f>
        <v>2.1618576346315987E-14</v>
      </c>
      <c r="AX144" s="23">
        <f t="shared" si="114"/>
        <v>12.295790650325255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5.6843418860808015E-14</v>
      </c>
      <c r="AJ145" s="14">
        <f>AI145*VLOOKUP('Données projet'!$B$10,Paramètres!$A$1:$I$89,3,0)*VLOOKUP('Données projet'!$B$10,Paramètres!$A$1:$I$89,5,0)</f>
        <v>3.3992364478763198E-14</v>
      </c>
      <c r="AK145" s="14">
        <f t="shared" si="143"/>
        <v>5.790027782444094E-13</v>
      </c>
      <c r="AL145" s="22">
        <f t="shared" si="112"/>
        <v>1.0676332069095257E-12</v>
      </c>
      <c r="AM145" s="62">
        <f t="shared" si="113"/>
        <v>293.33333333333439</v>
      </c>
      <c r="AN145" s="62">
        <f ca="1">AVERAGE(OFFSET($AM$3,0,0,'Données projet'!$E$10+1,1))-AVERAGE(OFFSET($H$3,0,0,'Données projet'!$E$10+1,1))</f>
        <v>157.21429387424644</v>
      </c>
      <c r="AO145" s="62">
        <f t="shared" si="144"/>
        <v>264.58225136820056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11.903679271314065</v>
      </c>
      <c r="AV145" s="23">
        <f>EXP(-LN(2)/25)*AV144+(1-EXP(-LN(2)/25))/(LN(2)/25)*Calculateur!AQ145*Calculateur!AS145*VLOOKUP('Données projet'!$B$10,Paramètres!$A$1:$I$89,3,0)*0.475*44/12</f>
        <v>0.14980698786248647</v>
      </c>
      <c r="AW145" s="23">
        <f>EXP(-LN(2)/2)*AW144+(1-EXP(-LN(2)/2))/(LN(2)/2)*AQ145*AT145*VLOOKUP('Données projet'!$B$10,Paramètres!$A$1:$I$89,3,0)*0.475*44/12</f>
        <v>1.5286641934079131E-14</v>
      </c>
      <c r="AX145" s="23">
        <f t="shared" si="114"/>
        <v>12.053486259176568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5.6843418860808015E-14</v>
      </c>
      <c r="AJ146" s="14">
        <f>AI146*VLOOKUP('Données projet'!$B$10,Paramètres!$A$1:$I$89,3,0)*VLOOKUP('Données projet'!$B$10,Paramètres!$A$1:$I$89,5,0)</f>
        <v>3.3992364478763198E-14</v>
      </c>
      <c r="AK146" s="14">
        <f t="shared" si="143"/>
        <v>5.790027782444094E-13</v>
      </c>
      <c r="AL146" s="22">
        <f t="shared" si="112"/>
        <v>1.0676332069095257E-12</v>
      </c>
      <c r="AM146" s="62">
        <f t="shared" si="113"/>
        <v>293.33333333333439</v>
      </c>
      <c r="AN146" s="62">
        <f ca="1">AVERAGE(OFFSET($AM$3,0,0,'Données projet'!$E$10+1,1))-AVERAGE(OFFSET($H$3,0,0,'Données projet'!$E$10+1,1))</f>
        <v>157.21429387424644</v>
      </c>
      <c r="AO146" s="62">
        <f t="shared" si="144"/>
        <v>264.58225136820056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11.670255381331033</v>
      </c>
      <c r="AV146" s="23">
        <f>EXP(-LN(2)/25)*AV145+(1-EXP(-LN(2)/25))/(LN(2)/25)*Calculateur!AQ146*Calculateur!AS146*VLOOKUP('Données projet'!$B$10,Paramètres!$A$1:$I$89,3,0)*0.475*44/12</f>
        <v>0.14571050790137968</v>
      </c>
      <c r="AW146" s="23">
        <f>EXP(-LN(2)/2)*AW145+(1-EXP(-LN(2)/2))/(LN(2)/2)*AQ146*AT146*VLOOKUP('Données projet'!$B$10,Paramètres!$A$1:$I$89,3,0)*0.475*44/12</f>
        <v>1.0809288173157994E-14</v>
      </c>
      <c r="AX146" s="23">
        <f t="shared" si="114"/>
        <v>11.815965889232423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5.6843418860808015E-14</v>
      </c>
      <c r="AJ147" s="14">
        <f>AI147*VLOOKUP('Données projet'!$B$10,Paramètres!$A$1:$I$89,3,0)*VLOOKUP('Données projet'!$B$10,Paramètres!$A$1:$I$89,5,0)</f>
        <v>3.3992364478763198E-14</v>
      </c>
      <c r="AK147" s="14">
        <f t="shared" si="143"/>
        <v>5.790027782444094E-13</v>
      </c>
      <c r="AL147" s="22">
        <f t="shared" si="112"/>
        <v>1.0676332069095257E-12</v>
      </c>
      <c r="AM147" s="62">
        <f t="shared" si="113"/>
        <v>293.33333333333439</v>
      </c>
      <c r="AN147" s="62">
        <f ca="1">AVERAGE(OFFSET($AM$3,0,0,'Données projet'!$E$10+1,1))-AVERAGE(OFFSET($H$3,0,0,'Données projet'!$E$10+1,1))</f>
        <v>157.21429387424644</v>
      </c>
      <c r="AO147" s="62">
        <f t="shared" si="144"/>
        <v>264.58225136820056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11.441408791456055</v>
      </c>
      <c r="AV147" s="23">
        <f>EXP(-LN(2)/25)*AV146+(1-EXP(-LN(2)/25))/(LN(2)/25)*Calculateur!AQ147*Calculateur!AS147*VLOOKUP('Données projet'!$B$10,Paramètres!$A$1:$I$89,3,0)*0.475*44/12</f>
        <v>0.14172604640023387</v>
      </c>
      <c r="AW147" s="23">
        <f>EXP(-LN(2)/2)*AW146+(1-EXP(-LN(2)/2))/(LN(2)/2)*AQ147*AT147*VLOOKUP('Données projet'!$B$10,Paramètres!$A$1:$I$89,3,0)*0.475*44/12</f>
        <v>7.6433209670395655E-15</v>
      </c>
      <c r="AX147" s="23">
        <f t="shared" si="114"/>
        <v>11.583134837856296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5.6843418860808015E-14</v>
      </c>
      <c r="AJ148" s="14">
        <f>AI148*VLOOKUP('Données projet'!$B$10,Paramètres!$A$1:$I$89,3,0)*VLOOKUP('Données projet'!$B$10,Paramètres!$A$1:$I$89,5,0)</f>
        <v>3.3992364478763198E-14</v>
      </c>
      <c r="AK148" s="14">
        <f t="shared" si="143"/>
        <v>5.790027782444094E-13</v>
      </c>
      <c r="AL148" s="22">
        <f t="shared" si="112"/>
        <v>1.0676332069095257E-12</v>
      </c>
      <c r="AM148" s="62">
        <f t="shared" si="113"/>
        <v>293.33333333333439</v>
      </c>
      <c r="AN148" s="62">
        <f ca="1">AVERAGE(OFFSET($AM$3,0,0,'Données projet'!$E$10+1,1))-AVERAGE(OFFSET($H$3,0,0,'Données projet'!$E$10+1,1))</f>
        <v>157.21429387424644</v>
      </c>
      <c r="AO148" s="62">
        <f t="shared" si="144"/>
        <v>264.58225136820056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11.217049743625889</v>
      </c>
      <c r="AV148" s="23">
        <f>EXP(-LN(2)/25)*AV147+(1-EXP(-LN(2)/25))/(LN(2)/25)*Calculateur!AQ148*Calculateur!AS148*VLOOKUP('Données projet'!$B$10,Paramètres!$A$1:$I$89,3,0)*0.475*44/12</f>
        <v>0.13785054020837062</v>
      </c>
      <c r="AW148" s="23">
        <f>EXP(-LN(2)/2)*AW147+(1-EXP(-LN(2)/2))/(LN(2)/2)*AQ148*AT148*VLOOKUP('Données projet'!$B$10,Paramètres!$A$1:$I$89,3,0)*0.475*44/12</f>
        <v>5.4046440865789969E-15</v>
      </c>
      <c r="AX148" s="23">
        <f t="shared" si="114"/>
        <v>11.354900283834265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5.6843418860808015E-14</v>
      </c>
      <c r="AJ149" s="14">
        <f>AI149*VLOOKUP('Données projet'!$B$10,Paramètres!$A$1:$I$89,3,0)*VLOOKUP('Données projet'!$B$10,Paramètres!$A$1:$I$89,5,0)</f>
        <v>3.3992364478763198E-14</v>
      </c>
      <c r="AK149" s="14">
        <f t="shared" si="143"/>
        <v>5.790027782444094E-13</v>
      </c>
      <c r="AL149" s="22">
        <f t="shared" si="112"/>
        <v>1.0676332069095257E-12</v>
      </c>
      <c r="AM149" s="62">
        <f t="shared" si="113"/>
        <v>293.33333333333439</v>
      </c>
      <c r="AN149" s="62">
        <f ca="1">AVERAGE(OFFSET($AM$3,0,0,'Données projet'!$E$10+1,1))-AVERAGE(OFFSET($H$3,0,0,'Données projet'!$E$10+1,1))</f>
        <v>157.21429387424644</v>
      </c>
      <c r="AO149" s="62">
        <f t="shared" si="144"/>
        <v>264.58225136820056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10.997090239878165</v>
      </c>
      <c r="AV149" s="23">
        <f>EXP(-LN(2)/25)*AV148+(1-EXP(-LN(2)/25))/(LN(2)/25)*Calculateur!AQ149*Calculateur!AS149*VLOOKUP('Données projet'!$B$10,Paramètres!$A$1:$I$89,3,0)*0.475*44/12</f>
        <v>0.13408100993712788</v>
      </c>
      <c r="AW149" s="23">
        <f>EXP(-LN(2)/2)*AW148+(1-EXP(-LN(2)/2))/(LN(2)/2)*AQ149*AT149*VLOOKUP('Données projet'!$B$10,Paramètres!$A$1:$I$89,3,0)*0.475*44/12</f>
        <v>3.8216604835197828E-15</v>
      </c>
      <c r="AX149" s="23">
        <f t="shared" si="114"/>
        <v>11.131171249815297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5.6843418860808015E-14</v>
      </c>
      <c r="AJ150" s="14">
        <f>AI150*VLOOKUP('Données projet'!$B$10,Paramètres!$A$1:$I$89,3,0)*VLOOKUP('Données projet'!$B$10,Paramètres!$A$1:$I$89,5,0)</f>
        <v>3.3992364478763198E-14</v>
      </c>
      <c r="AK150" s="14">
        <f t="shared" si="143"/>
        <v>5.790027782444094E-13</v>
      </c>
      <c r="AL150" s="22">
        <f t="shared" si="112"/>
        <v>1.0676332069095257E-12</v>
      </c>
      <c r="AM150" s="62">
        <f t="shared" si="113"/>
        <v>293.33333333333439</v>
      </c>
      <c r="AN150" s="62">
        <f ca="1">AVERAGE(OFFSET($AM$3,0,0,'Données projet'!$E$10+1,1))-AVERAGE(OFFSET($H$3,0,0,'Données projet'!$E$10+1,1))</f>
        <v>157.21429387424644</v>
      </c>
      <c r="AO150" s="62">
        <f t="shared" si="144"/>
        <v>264.58225136820056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10.781444007836884</v>
      </c>
      <c r="AV150" s="23">
        <f>EXP(-LN(2)/25)*AV149+(1-EXP(-LN(2)/25))/(LN(2)/25)*Calculateur!AQ150*Calculateur!AS150*VLOOKUP('Données projet'!$B$10,Paramètres!$A$1:$I$89,3,0)*0.475*44/12</f>
        <v>0.13041455766938326</v>
      </c>
      <c r="AW150" s="23">
        <f>EXP(-LN(2)/2)*AW149+(1-EXP(-LN(2)/2))/(LN(2)/2)*AQ150*AT150*VLOOKUP('Données projet'!$B$10,Paramètres!$A$1:$I$89,3,0)*0.475*44/12</f>
        <v>2.7023220432894984E-15</v>
      </c>
      <c r="AX150" s="23">
        <f t="shared" si="114"/>
        <v>10.91185856550627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5.6843418860808015E-14</v>
      </c>
      <c r="AJ151" s="14">
        <f>AI151*VLOOKUP('Données projet'!$B$10,Paramètres!$A$1:$I$89,3,0)*VLOOKUP('Données projet'!$B$10,Paramètres!$A$1:$I$89,5,0)</f>
        <v>3.3992364478763198E-14</v>
      </c>
      <c r="AK151" s="14">
        <f t="shared" si="143"/>
        <v>5.790027782444094E-13</v>
      </c>
      <c r="AL151" s="22">
        <f t="shared" si="112"/>
        <v>1.0676332069095257E-12</v>
      </c>
      <c r="AM151" s="62">
        <f t="shared" si="113"/>
        <v>293.33333333333439</v>
      </c>
      <c r="AN151" s="62">
        <f ca="1">AVERAGE(OFFSET($AM$3,0,0,'Données projet'!$E$10+1,1))-AVERAGE(OFFSET($H$3,0,0,'Données projet'!$E$10+1,1))</f>
        <v>157.21429387424644</v>
      </c>
      <c r="AO151" s="62">
        <f t="shared" si="144"/>
        <v>264.58225136820056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10.570026466874719</v>
      </c>
      <c r="AV151" s="23">
        <f>EXP(-LN(2)/25)*AV150+(1-EXP(-LN(2)/25))/(LN(2)/25)*Calculateur!AQ151*Calculateur!AS151*VLOOKUP('Données projet'!$B$10,Paramètres!$A$1:$I$89,3,0)*0.475*44/12</f>
        <v>0.12684836473171046</v>
      </c>
      <c r="AW151" s="23">
        <f>EXP(-LN(2)/2)*AW150+(1-EXP(-LN(2)/2))/(LN(2)/2)*AQ151*AT151*VLOOKUP('Données projet'!$B$10,Paramètres!$A$1:$I$89,3,0)*0.475*44/12</f>
        <v>1.9108302417598914E-15</v>
      </c>
      <c r="AX151" s="23">
        <f t="shared" si="114"/>
        <v>10.696874831606431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5.6843418860808015E-14</v>
      </c>
      <c r="AJ152" s="14">
        <f>AI152*VLOOKUP('Données projet'!$B$10,Paramètres!$A$1:$I$89,3,0)*VLOOKUP('Données projet'!$B$10,Paramètres!$A$1:$I$89,5,0)</f>
        <v>3.3992364478763198E-14</v>
      </c>
      <c r="AK152" s="14">
        <f t="shared" si="143"/>
        <v>5.790027782444094E-13</v>
      </c>
      <c r="AL152" s="22">
        <f t="shared" si="112"/>
        <v>1.0676332069095257E-12</v>
      </c>
      <c r="AM152" s="62">
        <f t="shared" si="113"/>
        <v>293.33333333333439</v>
      </c>
      <c r="AN152" s="62">
        <f ca="1">AVERAGE(OFFSET($AM$3,0,0,'Données projet'!$E$10+1,1))-AVERAGE(OFFSET($H$3,0,0,'Données projet'!$E$10+1,1))</f>
        <v>157.21429387424644</v>
      </c>
      <c r="AO152" s="62">
        <f t="shared" si="144"/>
        <v>264.58225136820056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10.362754694938854</v>
      </c>
      <c r="AV152" s="23">
        <f>EXP(-LN(2)/25)*AV151+(1-EXP(-LN(2)/25))/(LN(2)/25)*Calculateur!AQ152*Calculateur!AS152*VLOOKUP('Données projet'!$B$10,Paramètres!$A$1:$I$89,3,0)*0.475*44/12</f>
        <v>0.12337968952745626</v>
      </c>
      <c r="AW152" s="23">
        <f>EXP(-LN(2)/2)*AW151+(1-EXP(-LN(2)/2))/(LN(2)/2)*AQ152*AT152*VLOOKUP('Données projet'!$B$10,Paramètres!$A$1:$I$89,3,0)*0.475*44/12</f>
        <v>1.3511610216447492E-15</v>
      </c>
      <c r="AX152" s="23">
        <f t="shared" si="114"/>
        <v>10.486134384466311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5.6843418860808015E-14</v>
      </c>
      <c r="AJ153" s="14">
        <f>AI153*VLOOKUP('Données projet'!$B$10,Paramètres!$A$1:$I$89,3,0)*VLOOKUP('Données projet'!$B$10,Paramètres!$A$1:$I$89,5,0)</f>
        <v>3.3992364478763198E-14</v>
      </c>
      <c r="AK153" s="14">
        <f t="shared" si="143"/>
        <v>5.790027782444094E-13</v>
      </c>
      <c r="AL153" s="22">
        <f t="shared" si="112"/>
        <v>1.0676332069095257E-12</v>
      </c>
      <c r="AM153" s="62">
        <f t="shared" si="113"/>
        <v>293.33333333333439</v>
      </c>
      <c r="AN153" s="62">
        <f ca="1">AVERAGE(OFFSET($AM$3,0,0,'Données projet'!$E$10+1,1))-AVERAGE(OFFSET($H$3,0,0,'Données projet'!$E$10+1,1))</f>
        <v>157.21429387424644</v>
      </c>
      <c r="AO153" s="62">
        <f t="shared" si="144"/>
        <v>264.58225136820056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10.159547396027353</v>
      </c>
      <c r="AV153" s="23">
        <f>EXP(-LN(2)/25)*AV152+(1-EXP(-LN(2)/25))/(LN(2)/25)*Calculateur!AQ153*Calculateur!AS153*VLOOKUP('Données projet'!$B$10,Paramètres!$A$1:$I$89,3,0)*0.475*44/12</f>
        <v>0.12000586542907209</v>
      </c>
      <c r="AW153" s="23">
        <f>EXP(-LN(2)/2)*AW152+(1-EXP(-LN(2)/2))/(LN(2)/2)*AQ153*AT153*VLOOKUP('Données projet'!$B$10,Paramètres!$A$1:$I$89,3,0)*0.475*44/12</f>
        <v>9.5541512087994569E-16</v>
      </c>
      <c r="AX153" s="23">
        <f t="shared" si="114"/>
        <v>10.279553261456426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5.6843418860808015E-14</v>
      </c>
      <c r="AJ154" s="14">
        <f>AI154*VLOOKUP('Données projet'!$B$10,Paramètres!$A$1:$I$89,3,0)*VLOOKUP('Données projet'!$B$10,Paramètres!$A$1:$I$89,5,0)</f>
        <v>3.3992364478763198E-14</v>
      </c>
      <c r="AK154" s="14">
        <f t="shared" ref="AK154:AK203" si="164">EXP(-1.0587+0.8836*LN(AJ154)+0.284)</f>
        <v>5.790027782444094E-13</v>
      </c>
      <c r="AL154" s="22">
        <f t="shared" ref="AL154:AL203" si="165">(AJ154+AK154)*0.475*44/12</f>
        <v>1.0676332069095257E-12</v>
      </c>
      <c r="AM154" s="62">
        <f t="shared" si="113"/>
        <v>293.33333333333439</v>
      </c>
      <c r="AN154" s="62">
        <f ca="1">AVERAGE(OFFSET($AM$3,0,0,'Données projet'!$E$10+1,1))-AVERAGE(OFFSET($H$3,0,0,'Données projet'!$E$10+1,1))</f>
        <v>157.21429387424644</v>
      </c>
      <c r="AO154" s="62">
        <f t="shared" si="144"/>
        <v>264.58225136820056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9.9603248683032941</v>
      </c>
      <c r="AV154" s="23">
        <f>EXP(-LN(2)/25)*AV153+(1-EXP(-LN(2)/25))/(LN(2)/25)*Calculateur!AQ154*Calculateur!AS154*VLOOKUP('Données projet'!$B$10,Paramètres!$A$1:$I$89,3,0)*0.475*44/12</f>
        <v>0.11672429872807992</v>
      </c>
      <c r="AW154" s="23">
        <f>EXP(-LN(2)/2)*AW153+(1-EXP(-LN(2)/2))/(LN(2)/2)*AQ154*AT154*VLOOKUP('Données projet'!$B$10,Paramètres!$A$1:$I$89,3,0)*0.475*44/12</f>
        <v>6.7558051082237461E-16</v>
      </c>
      <c r="AX154" s="23">
        <f t="shared" ref="AX154:AX203" si="166">SUM(AU154:AW154)</f>
        <v>10.077049167031374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5.6843418860808015E-14</v>
      </c>
      <c r="AJ155" s="14">
        <f>AI155*VLOOKUP('Données projet'!$B$10,Paramètres!$A$1:$I$89,3,0)*VLOOKUP('Données projet'!$B$10,Paramètres!$A$1:$I$89,5,0)</f>
        <v>3.3992364478763198E-14</v>
      </c>
      <c r="AK155" s="14">
        <f t="shared" si="164"/>
        <v>5.790027782444094E-13</v>
      </c>
      <c r="AL155" s="22">
        <f t="shared" si="165"/>
        <v>1.0676332069095257E-12</v>
      </c>
      <c r="AM155" s="62">
        <f t="shared" si="113"/>
        <v>293.33333333333439</v>
      </c>
      <c r="AN155" s="62">
        <f ca="1">AVERAGE(OFFSET($AM$3,0,0,'Données projet'!$E$10+1,1))-AVERAGE(OFFSET($H$3,0,0,'Données projet'!$E$10+1,1))</f>
        <v>157.21429387424644</v>
      </c>
      <c r="AO155" s="62">
        <f t="shared" si="144"/>
        <v>264.58225136820056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9.7650089728341598</v>
      </c>
      <c r="AV155" s="23">
        <f>EXP(-LN(2)/25)*AV154+(1-EXP(-LN(2)/25))/(LN(2)/25)*Calculateur!AQ155*Calculateur!AS155*VLOOKUP('Données projet'!$B$10,Paramètres!$A$1:$I$89,3,0)*0.475*44/12</f>
        <v>0.11353246664109648</v>
      </c>
      <c r="AW155" s="23">
        <f>EXP(-LN(2)/2)*AW154+(1-EXP(-LN(2)/2))/(LN(2)/2)*AQ155*AT155*VLOOKUP('Données projet'!$B$10,Paramètres!$A$1:$I$89,3,0)*0.475*44/12</f>
        <v>4.7770756043997284E-16</v>
      </c>
      <c r="AX155" s="23">
        <f t="shared" si="166"/>
        <v>9.8785414394752564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5.6843418860808015E-14</v>
      </c>
      <c r="AJ156" s="14">
        <f>AI156*VLOOKUP('Données projet'!$B$10,Paramètres!$A$1:$I$89,3,0)*VLOOKUP('Données projet'!$B$10,Paramètres!$A$1:$I$89,5,0)</f>
        <v>3.3992364478763198E-14</v>
      </c>
      <c r="AK156" s="14">
        <f t="shared" si="164"/>
        <v>5.790027782444094E-13</v>
      </c>
      <c r="AL156" s="22">
        <f t="shared" si="165"/>
        <v>1.0676332069095257E-12</v>
      </c>
      <c r="AM156" s="62">
        <f t="shared" si="113"/>
        <v>293.33333333333439</v>
      </c>
      <c r="AN156" s="62">
        <f ca="1">AVERAGE(OFFSET($AM$3,0,0,'Données projet'!$E$10+1,1))-AVERAGE(OFFSET($H$3,0,0,'Données projet'!$E$10+1,1))</f>
        <v>157.21429387424644</v>
      </c>
      <c r="AO156" s="62">
        <f t="shared" si="144"/>
        <v>264.58225136820056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9.5735231029442431</v>
      </c>
      <c r="AV156" s="23">
        <f>EXP(-LN(2)/25)*AV155+(1-EXP(-LN(2)/25))/(LN(2)/25)*Calculateur!AQ156*Calculateur!AS156*VLOOKUP('Données projet'!$B$10,Paramètres!$A$1:$I$89,3,0)*0.475*44/12</f>
        <v>0.11042791537038275</v>
      </c>
      <c r="AW156" s="23">
        <f>EXP(-LN(2)/2)*AW155+(1-EXP(-LN(2)/2))/(LN(2)/2)*AQ156*AT156*VLOOKUP('Données projet'!$B$10,Paramètres!$A$1:$I$89,3,0)*0.475*44/12</f>
        <v>3.377902554111873E-16</v>
      </c>
      <c r="AX156" s="23">
        <f t="shared" si="166"/>
        <v>9.6839510183146267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5.6843418860808015E-14</v>
      </c>
      <c r="AJ157" s="14">
        <f>AI157*VLOOKUP('Données projet'!$B$10,Paramètres!$A$1:$I$89,3,0)*VLOOKUP('Données projet'!$B$10,Paramètres!$A$1:$I$89,5,0)</f>
        <v>3.3992364478763198E-14</v>
      </c>
      <c r="AK157" s="14">
        <f t="shared" si="164"/>
        <v>5.790027782444094E-13</v>
      </c>
      <c r="AL157" s="22">
        <f t="shared" si="165"/>
        <v>1.0676332069095257E-12</v>
      </c>
      <c r="AM157" s="62">
        <f t="shared" si="113"/>
        <v>293.33333333333439</v>
      </c>
      <c r="AN157" s="62">
        <f ca="1">AVERAGE(OFFSET($AM$3,0,0,'Données projet'!$E$10+1,1))-AVERAGE(OFFSET($H$3,0,0,'Données projet'!$E$10+1,1))</f>
        <v>157.21429387424644</v>
      </c>
      <c r="AO157" s="62">
        <f t="shared" si="144"/>
        <v>264.58225136820056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9.3857921541680192</v>
      </c>
      <c r="AV157" s="23">
        <f>EXP(-LN(2)/25)*AV156+(1-EXP(-LN(2)/25))/(LN(2)/25)*Calculateur!AQ157*Calculateur!AS157*VLOOKUP('Données projet'!$B$10,Paramètres!$A$1:$I$89,3,0)*0.475*44/12</f>
        <v>0.10740825821742796</v>
      </c>
      <c r="AW157" s="23">
        <f>EXP(-LN(2)/2)*AW156+(1-EXP(-LN(2)/2))/(LN(2)/2)*AQ157*AT157*VLOOKUP('Données projet'!$B$10,Paramètres!$A$1:$I$89,3,0)*0.475*44/12</f>
        <v>2.3885378021998642E-16</v>
      </c>
      <c r="AX157" s="23">
        <f t="shared" si="166"/>
        <v>9.4932004123854465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5.6843418860808015E-14</v>
      </c>
      <c r="AJ158" s="14">
        <f>AI158*VLOOKUP('Données projet'!$B$10,Paramètres!$A$1:$I$89,3,0)*VLOOKUP('Données projet'!$B$10,Paramètres!$A$1:$I$89,5,0)</f>
        <v>3.3992364478763198E-14</v>
      </c>
      <c r="AK158" s="14">
        <f t="shared" si="164"/>
        <v>5.790027782444094E-13</v>
      </c>
      <c r="AL158" s="22">
        <f t="shared" si="165"/>
        <v>1.0676332069095257E-12</v>
      </c>
      <c r="AM158" s="62">
        <f t="shared" si="113"/>
        <v>293.33333333333439</v>
      </c>
      <c r="AN158" s="62">
        <f ca="1">AVERAGE(OFFSET($AM$3,0,0,'Données projet'!$E$10+1,1))-AVERAGE(OFFSET($H$3,0,0,'Données projet'!$E$10+1,1))</f>
        <v>157.21429387424644</v>
      </c>
      <c r="AO158" s="62">
        <f t="shared" si="144"/>
        <v>264.58225136820056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9.2017424947927253</v>
      </c>
      <c r="AV158" s="23">
        <f>EXP(-LN(2)/25)*AV157+(1-EXP(-LN(2)/25))/(LN(2)/25)*Calculateur!AQ158*Calculateur!AS158*VLOOKUP('Données projet'!$B$10,Paramètres!$A$1:$I$89,3,0)*0.475*44/12</f>
        <v>0.10447117374811757</v>
      </c>
      <c r="AW158" s="23">
        <f>EXP(-LN(2)/2)*AW157+(1-EXP(-LN(2)/2))/(LN(2)/2)*AQ158*AT158*VLOOKUP('Données projet'!$B$10,Paramètres!$A$1:$I$89,3,0)*0.475*44/12</f>
        <v>1.6889512770559365E-16</v>
      </c>
      <c r="AX158" s="23">
        <f t="shared" si="166"/>
        <v>9.3062136685408436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5.6843418860808015E-14</v>
      </c>
      <c r="AJ159" s="14">
        <f>AI159*VLOOKUP('Données projet'!$B$10,Paramètres!$A$1:$I$89,3,0)*VLOOKUP('Données projet'!$B$10,Paramètres!$A$1:$I$89,5,0)</f>
        <v>3.3992364478763198E-14</v>
      </c>
      <c r="AK159" s="14">
        <f t="shared" si="164"/>
        <v>5.790027782444094E-13</v>
      </c>
      <c r="AL159" s="22">
        <f t="shared" si="165"/>
        <v>1.0676332069095257E-12</v>
      </c>
      <c r="AM159" s="62">
        <f t="shared" si="113"/>
        <v>293.33333333333439</v>
      </c>
      <c r="AN159" s="62">
        <f ca="1">AVERAGE(OFFSET($AM$3,0,0,'Données projet'!$E$10+1,1))-AVERAGE(OFFSET($H$3,0,0,'Données projet'!$E$10+1,1))</f>
        <v>157.21429387424644</v>
      </c>
      <c r="AO159" s="62">
        <f t="shared" si="144"/>
        <v>264.58225136820056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9.0213019369785723</v>
      </c>
      <c r="AV159" s="23">
        <f>EXP(-LN(2)/25)*AV158+(1-EXP(-LN(2)/25))/(LN(2)/25)*Calculateur!AQ159*Calculateur!AS159*VLOOKUP('Données projet'!$B$10,Paramètres!$A$1:$I$89,3,0)*0.475*44/12</f>
        <v>0.10161440400807503</v>
      </c>
      <c r="AW159" s="23">
        <f>EXP(-LN(2)/2)*AW158+(1-EXP(-LN(2)/2))/(LN(2)/2)*AQ159*AT159*VLOOKUP('Données projet'!$B$10,Paramètres!$A$1:$I$89,3,0)*0.475*44/12</f>
        <v>1.1942689010999321E-16</v>
      </c>
      <c r="AX159" s="23">
        <f t="shared" si="166"/>
        <v>9.1229163409866469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5.6843418860808015E-14</v>
      </c>
      <c r="AJ160" s="14">
        <f>AI160*VLOOKUP('Données projet'!$B$10,Paramètres!$A$1:$I$89,3,0)*VLOOKUP('Données projet'!$B$10,Paramètres!$A$1:$I$89,5,0)</f>
        <v>3.3992364478763198E-14</v>
      </c>
      <c r="AK160" s="14">
        <f t="shared" si="164"/>
        <v>5.790027782444094E-13</v>
      </c>
      <c r="AL160" s="22">
        <f t="shared" si="165"/>
        <v>1.0676332069095257E-12</v>
      </c>
      <c r="AM160" s="62">
        <f t="shared" si="113"/>
        <v>293.33333333333439</v>
      </c>
      <c r="AN160" s="62">
        <f ca="1">AVERAGE(OFFSET($AM$3,0,0,'Données projet'!$E$10+1,1))-AVERAGE(OFFSET($H$3,0,0,'Données projet'!$E$10+1,1))</f>
        <v>157.21429387424644</v>
      </c>
      <c r="AO160" s="62">
        <f t="shared" si="144"/>
        <v>264.58225136820056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8.8443997084452821</v>
      </c>
      <c r="AV160" s="23">
        <f>EXP(-LN(2)/25)*AV159+(1-EXP(-LN(2)/25))/(LN(2)/25)*Calculateur!AQ160*Calculateur!AS160*VLOOKUP('Données projet'!$B$10,Paramètres!$A$1:$I$89,3,0)*0.475*44/12</f>
        <v>9.8835752786804953E-2</v>
      </c>
      <c r="AW160" s="23">
        <f>EXP(-LN(2)/2)*AW159+(1-EXP(-LN(2)/2))/(LN(2)/2)*AQ160*AT160*VLOOKUP('Données projet'!$B$10,Paramètres!$A$1:$I$89,3,0)*0.475*44/12</f>
        <v>8.4447563852796826E-17</v>
      </c>
      <c r="AX160" s="23">
        <f t="shared" si="166"/>
        <v>8.9432354612320868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5.6843418860808015E-14</v>
      </c>
      <c r="AJ161" s="14">
        <f>AI161*VLOOKUP('Données projet'!$B$10,Paramètres!$A$1:$I$89,3,0)*VLOOKUP('Données projet'!$B$10,Paramètres!$A$1:$I$89,5,0)</f>
        <v>3.3992364478763198E-14</v>
      </c>
      <c r="AK161" s="14">
        <f t="shared" si="164"/>
        <v>5.790027782444094E-13</v>
      </c>
      <c r="AL161" s="22">
        <f t="shared" si="165"/>
        <v>1.0676332069095257E-12</v>
      </c>
      <c r="AM161" s="62">
        <f t="shared" si="113"/>
        <v>293.33333333333439</v>
      </c>
      <c r="AN161" s="62">
        <f ca="1">AVERAGE(OFFSET($AM$3,0,0,'Données projet'!$E$10+1,1))-AVERAGE(OFFSET($H$3,0,0,'Données projet'!$E$10+1,1))</f>
        <v>157.21429387424644</v>
      </c>
      <c r="AO161" s="62">
        <f t="shared" si="144"/>
        <v>264.58225136820056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8.6709664247138249</v>
      </c>
      <c r="AV161" s="23">
        <f>EXP(-LN(2)/25)*AV160+(1-EXP(-LN(2)/25))/(LN(2)/25)*Calculateur!AQ161*Calculateur!AS161*VLOOKUP('Données projet'!$B$10,Paramètres!$A$1:$I$89,3,0)*0.475*44/12</f>
        <v>9.613308392930342E-2</v>
      </c>
      <c r="AW161" s="23">
        <f>EXP(-LN(2)/2)*AW160+(1-EXP(-LN(2)/2))/(LN(2)/2)*AQ161*AT161*VLOOKUP('Données projet'!$B$10,Paramètres!$A$1:$I$89,3,0)*0.475*44/12</f>
        <v>5.9713445054996605E-17</v>
      </c>
      <c r="AX161" s="23">
        <f t="shared" si="166"/>
        <v>8.7670995086431276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5.6843418860808015E-14</v>
      </c>
      <c r="AJ162" s="14">
        <f>AI162*VLOOKUP('Données projet'!$B$10,Paramètres!$A$1:$I$89,3,0)*VLOOKUP('Données projet'!$B$10,Paramètres!$A$1:$I$89,5,0)</f>
        <v>3.3992364478763198E-14</v>
      </c>
      <c r="AK162" s="14">
        <f t="shared" si="164"/>
        <v>5.790027782444094E-13</v>
      </c>
      <c r="AL162" s="22">
        <f t="shared" si="165"/>
        <v>1.0676332069095257E-12</v>
      </c>
      <c r="AM162" s="62">
        <f t="shared" si="113"/>
        <v>293.33333333333439</v>
      </c>
      <c r="AN162" s="62">
        <f ca="1">AVERAGE(OFFSET($AM$3,0,0,'Données projet'!$E$10+1,1))-AVERAGE(OFFSET($H$3,0,0,'Données projet'!$E$10+1,1))</f>
        <v>157.21429387424644</v>
      </c>
      <c r="AO162" s="62">
        <f t="shared" si="144"/>
        <v>264.58225136820056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8.5009340618924831</v>
      </c>
      <c r="AV162" s="23">
        <f>EXP(-LN(2)/25)*AV161+(1-EXP(-LN(2)/25))/(LN(2)/25)*Calculateur!AQ162*Calculateur!AS162*VLOOKUP('Données projet'!$B$10,Paramètres!$A$1:$I$89,3,0)*0.475*44/12</f>
        <v>9.3504319693837448E-2</v>
      </c>
      <c r="AW162" s="23">
        <f>EXP(-LN(2)/2)*AW161+(1-EXP(-LN(2)/2))/(LN(2)/2)*AQ162*AT162*VLOOKUP('Données projet'!$B$10,Paramètres!$A$1:$I$89,3,0)*0.475*44/12</f>
        <v>4.2223781926398413E-17</v>
      </c>
      <c r="AX162" s="23">
        <f t="shared" si="166"/>
        <v>8.5944383815863201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5.6843418860808015E-14</v>
      </c>
      <c r="AJ163" s="14">
        <f>AI163*VLOOKUP('Données projet'!$B$10,Paramètres!$A$1:$I$89,3,0)*VLOOKUP('Données projet'!$B$10,Paramètres!$A$1:$I$89,5,0)</f>
        <v>3.3992364478763198E-14</v>
      </c>
      <c r="AK163" s="14">
        <f t="shared" si="164"/>
        <v>5.790027782444094E-13</v>
      </c>
      <c r="AL163" s="22">
        <f t="shared" si="165"/>
        <v>1.0676332069095257E-12</v>
      </c>
      <c r="AM163" s="62">
        <f t="shared" si="113"/>
        <v>293.33333333333439</v>
      </c>
      <c r="AN163" s="62">
        <f ca="1">AVERAGE(OFFSET($AM$3,0,0,'Données projet'!$E$10+1,1))-AVERAGE(OFFSET($H$3,0,0,'Données projet'!$E$10+1,1))</f>
        <v>157.21429387424644</v>
      </c>
      <c r="AO163" s="62">
        <f t="shared" si="144"/>
        <v>264.58225136820056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8.3342359299965665</v>
      </c>
      <c r="AV163" s="23">
        <f>EXP(-LN(2)/25)*AV162+(1-EXP(-LN(2)/25))/(LN(2)/25)*Calculateur!AQ163*Calculateur!AS163*VLOOKUP('Données projet'!$B$10,Paramètres!$A$1:$I$89,3,0)*0.475*44/12</f>
        <v>9.0947439154630993E-2</v>
      </c>
      <c r="AW163" s="23">
        <f>EXP(-LN(2)/2)*AW162+(1-EXP(-LN(2)/2))/(LN(2)/2)*AQ163*AT163*VLOOKUP('Données projet'!$B$10,Paramètres!$A$1:$I$89,3,0)*0.475*44/12</f>
        <v>2.9856722527498303E-17</v>
      </c>
      <c r="AX163" s="23">
        <f t="shared" si="166"/>
        <v>8.4251833691511973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5.6843418860808015E-14</v>
      </c>
      <c r="AJ164" s="14">
        <f>AI164*VLOOKUP('Données projet'!$B$10,Paramètres!$A$1:$I$89,3,0)*VLOOKUP('Données projet'!$B$10,Paramètres!$A$1:$I$89,5,0)</f>
        <v>3.3992364478763198E-14</v>
      </c>
      <c r="AK164" s="14">
        <f t="shared" si="164"/>
        <v>5.790027782444094E-13</v>
      </c>
      <c r="AL164" s="22">
        <f t="shared" si="165"/>
        <v>1.0676332069095257E-12</v>
      </c>
      <c r="AM164" s="62">
        <f t="shared" si="113"/>
        <v>293.33333333333439</v>
      </c>
      <c r="AN164" s="62">
        <f ca="1">AVERAGE(OFFSET($AM$3,0,0,'Données projet'!$E$10+1,1))-AVERAGE(OFFSET($H$3,0,0,'Données projet'!$E$10+1,1))</f>
        <v>157.21429387424644</v>
      </c>
      <c r="AO164" s="62">
        <f t="shared" si="144"/>
        <v>264.58225136820056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8.1708066467913092</v>
      </c>
      <c r="AV164" s="23">
        <f>EXP(-LN(2)/25)*AV163+(1-EXP(-LN(2)/25))/(LN(2)/25)*Calculateur!AQ164*Calculateur!AS164*VLOOKUP('Données projet'!$B$10,Paramètres!$A$1:$I$89,3,0)*0.475*44/12</f>
        <v>8.8460476648229647E-2</v>
      </c>
      <c r="AW164" s="23">
        <f>EXP(-LN(2)/2)*AW163+(1-EXP(-LN(2)/2))/(LN(2)/2)*AQ164*AT164*VLOOKUP('Données projet'!$B$10,Paramètres!$A$1:$I$89,3,0)*0.475*44/12</f>
        <v>2.1111890963199206E-17</v>
      </c>
      <c r="AX164" s="23">
        <f t="shared" si="166"/>
        <v>8.2592671234395389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5.6843418860808015E-14</v>
      </c>
      <c r="AJ165" s="14">
        <f>AI165*VLOOKUP('Données projet'!$B$10,Paramètres!$A$1:$I$89,3,0)*VLOOKUP('Données projet'!$B$10,Paramètres!$A$1:$I$89,5,0)</f>
        <v>3.3992364478763198E-14</v>
      </c>
      <c r="AK165" s="14">
        <f t="shared" si="164"/>
        <v>5.790027782444094E-13</v>
      </c>
      <c r="AL165" s="22">
        <f t="shared" si="165"/>
        <v>1.0676332069095257E-12</v>
      </c>
      <c r="AM165" s="62">
        <f t="shared" si="113"/>
        <v>293.33333333333439</v>
      </c>
      <c r="AN165" s="62">
        <f ca="1">AVERAGE(OFFSET($AM$3,0,0,'Données projet'!$E$10+1,1))-AVERAGE(OFFSET($H$3,0,0,'Données projet'!$E$10+1,1))</f>
        <v>157.21429387424644</v>
      </c>
      <c r="AO165" s="62">
        <f t="shared" si="144"/>
        <v>264.58225136820056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8.0105821121476861</v>
      </c>
      <c r="AV165" s="23">
        <f>EXP(-LN(2)/25)*AV164+(1-EXP(-LN(2)/25))/(LN(2)/25)*Calculateur!AQ165*Calculateur!AS165*VLOOKUP('Données projet'!$B$10,Paramètres!$A$1:$I$89,3,0)*0.475*44/12</f>
        <v>8.6041520262349513E-2</v>
      </c>
      <c r="AW165" s="23">
        <f>EXP(-LN(2)/2)*AW164+(1-EXP(-LN(2)/2))/(LN(2)/2)*AQ165*AT165*VLOOKUP('Données projet'!$B$10,Paramètres!$A$1:$I$89,3,0)*0.475*44/12</f>
        <v>1.4928361263749151E-17</v>
      </c>
      <c r="AX165" s="23">
        <f t="shared" si="166"/>
        <v>8.0966236324100365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5.6843418860808015E-14</v>
      </c>
      <c r="AJ166" s="14">
        <f>AI166*VLOOKUP('Données projet'!$B$10,Paramètres!$A$1:$I$89,3,0)*VLOOKUP('Données projet'!$B$10,Paramètres!$A$1:$I$89,5,0)</f>
        <v>3.3992364478763198E-14</v>
      </c>
      <c r="AK166" s="14">
        <f t="shared" si="164"/>
        <v>5.790027782444094E-13</v>
      </c>
      <c r="AL166" s="22">
        <f t="shared" si="165"/>
        <v>1.0676332069095257E-12</v>
      </c>
      <c r="AM166" s="62">
        <f t="shared" si="113"/>
        <v>293.33333333333439</v>
      </c>
      <c r="AN166" s="62">
        <f ca="1">AVERAGE(OFFSET($AM$3,0,0,'Données projet'!$E$10+1,1))-AVERAGE(OFFSET($H$3,0,0,'Données projet'!$E$10+1,1))</f>
        <v>157.21429387424644</v>
      </c>
      <c r="AO166" s="62">
        <f t="shared" si="144"/>
        <v>264.58225136820056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7.8534994829011087</v>
      </c>
      <c r="AV166" s="23">
        <f>EXP(-LN(2)/25)*AV165+(1-EXP(-LN(2)/25))/(LN(2)/25)*Calculateur!AQ166*Calculateur!AS166*VLOOKUP('Données projet'!$B$10,Paramètres!$A$1:$I$89,3,0)*0.475*44/12</f>
        <v>8.3688710366048663E-2</v>
      </c>
      <c r="AW166" s="23">
        <f>EXP(-LN(2)/2)*AW165+(1-EXP(-LN(2)/2))/(LN(2)/2)*AQ166*AT166*VLOOKUP('Données projet'!$B$10,Paramètres!$A$1:$I$89,3,0)*0.475*44/12</f>
        <v>1.0555945481599603E-17</v>
      </c>
      <c r="AX166" s="23">
        <f t="shared" si="166"/>
        <v>7.9371881932671577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5.6843418860808015E-14</v>
      </c>
      <c r="AJ167" s="14">
        <f>AI167*VLOOKUP('Données projet'!$B$10,Paramètres!$A$1:$I$89,3,0)*VLOOKUP('Données projet'!$B$10,Paramètres!$A$1:$I$89,5,0)</f>
        <v>3.3992364478763198E-14</v>
      </c>
      <c r="AK167" s="14">
        <f t="shared" si="164"/>
        <v>5.790027782444094E-13</v>
      </c>
      <c r="AL167" s="22">
        <f t="shared" si="165"/>
        <v>1.0676332069095257E-12</v>
      </c>
      <c r="AM167" s="62">
        <f t="shared" si="113"/>
        <v>293.33333333333439</v>
      </c>
      <c r="AN167" s="62">
        <f ca="1">AVERAGE(OFFSET($AM$3,0,0,'Données projet'!$E$10+1,1))-AVERAGE(OFFSET($H$3,0,0,'Données projet'!$E$10+1,1))</f>
        <v>157.21429387424644</v>
      </c>
      <c r="AO167" s="62">
        <f t="shared" si="144"/>
        <v>264.58225136820056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7.6994971482031129</v>
      </c>
      <c r="AV167" s="23">
        <f>EXP(-LN(2)/25)*AV166+(1-EXP(-LN(2)/25))/(LN(2)/25)*Calculateur!AQ167*Calculateur!AS167*VLOOKUP('Données projet'!$B$10,Paramètres!$A$1:$I$89,3,0)*0.475*44/12</f>
        <v>8.1400238180091053E-2</v>
      </c>
      <c r="AW167" s="23">
        <f>EXP(-LN(2)/2)*AW166+(1-EXP(-LN(2)/2))/(LN(2)/2)*AQ167*AT167*VLOOKUP('Données projet'!$B$10,Paramètres!$A$1:$I$89,3,0)*0.475*44/12</f>
        <v>7.4641806318745757E-18</v>
      </c>
      <c r="AX167" s="23">
        <f t="shared" si="166"/>
        <v>7.7808973863832041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5.6843418860808015E-14</v>
      </c>
      <c r="AJ168" s="14">
        <f>AI168*VLOOKUP('Données projet'!$B$10,Paramètres!$A$1:$I$89,3,0)*VLOOKUP('Données projet'!$B$10,Paramètres!$A$1:$I$89,5,0)</f>
        <v>3.3992364478763198E-14</v>
      </c>
      <c r="AK168" s="14">
        <f t="shared" si="164"/>
        <v>5.790027782444094E-13</v>
      </c>
      <c r="AL168" s="22">
        <f t="shared" si="165"/>
        <v>1.0676332069095257E-12</v>
      </c>
      <c r="AM168" s="62">
        <f t="shared" si="113"/>
        <v>293.33333333333439</v>
      </c>
      <c r="AN168" s="62">
        <f ca="1">AVERAGE(OFFSET($AM$3,0,0,'Données projet'!$E$10+1,1))-AVERAGE(OFFSET($H$3,0,0,'Données projet'!$E$10+1,1))</f>
        <v>157.21429387424644</v>
      </c>
      <c r="AO168" s="62">
        <f t="shared" si="144"/>
        <v>264.58225136820056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7.5485147053563963</v>
      </c>
      <c r="AV168" s="23">
        <f>EXP(-LN(2)/25)*AV167+(1-EXP(-LN(2)/25))/(LN(2)/25)*Calculateur!AQ168*Calculateur!AS168*VLOOKUP('Données projet'!$B$10,Paramètres!$A$1:$I$89,3,0)*0.475*44/12</f>
        <v>7.9174344386403986E-2</v>
      </c>
      <c r="AW168" s="23">
        <f>EXP(-LN(2)/2)*AW167+(1-EXP(-LN(2)/2))/(LN(2)/2)*AQ168*AT168*VLOOKUP('Données projet'!$B$10,Paramètres!$A$1:$I$89,3,0)*0.475*44/12</f>
        <v>5.2779727407998016E-18</v>
      </c>
      <c r="AX168" s="23">
        <f t="shared" si="166"/>
        <v>7.6276890497428003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5.6843418860808015E-14</v>
      </c>
      <c r="AJ169" s="14">
        <f>AI169*VLOOKUP('Données projet'!$B$10,Paramètres!$A$1:$I$89,3,0)*VLOOKUP('Données projet'!$B$10,Paramètres!$A$1:$I$89,5,0)</f>
        <v>3.3992364478763198E-14</v>
      </c>
      <c r="AK169" s="14">
        <f t="shared" si="164"/>
        <v>5.790027782444094E-13</v>
      </c>
      <c r="AL169" s="22">
        <f t="shared" si="165"/>
        <v>1.0676332069095257E-12</v>
      </c>
      <c r="AM169" s="62">
        <f t="shared" si="113"/>
        <v>293.33333333333439</v>
      </c>
      <c r="AN169" s="62">
        <f ca="1">AVERAGE(OFFSET($AM$3,0,0,'Données projet'!$E$10+1,1))-AVERAGE(OFFSET($H$3,0,0,'Données projet'!$E$10+1,1))</f>
        <v>157.21429387424644</v>
      </c>
      <c r="AO169" s="62">
        <f t="shared" si="144"/>
        <v>264.58225136820056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7.4004929361237064</v>
      </c>
      <c r="AV169" s="23">
        <f>EXP(-LN(2)/25)*AV168+(1-EXP(-LN(2)/25))/(LN(2)/25)*Calculateur!AQ169*Calculateur!AS169*VLOOKUP('Données projet'!$B$10,Paramètres!$A$1:$I$89,3,0)*0.475*44/12</f>
        <v>7.7009317775559957E-2</v>
      </c>
      <c r="AW169" s="23">
        <f>EXP(-LN(2)/2)*AW168+(1-EXP(-LN(2)/2))/(LN(2)/2)*AQ169*AT169*VLOOKUP('Données projet'!$B$10,Paramètres!$A$1:$I$89,3,0)*0.475*44/12</f>
        <v>3.7320903159372878E-18</v>
      </c>
      <c r="AX169" s="23">
        <f t="shared" si="166"/>
        <v>7.4775022538992664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5.6843418860808015E-14</v>
      </c>
      <c r="AJ170" s="14">
        <f>AI170*VLOOKUP('Données projet'!$B$10,Paramètres!$A$1:$I$89,3,0)*VLOOKUP('Données projet'!$B$10,Paramètres!$A$1:$I$89,5,0)</f>
        <v>3.3992364478763198E-14</v>
      </c>
      <c r="AK170" s="14">
        <f t="shared" si="164"/>
        <v>5.790027782444094E-13</v>
      </c>
      <c r="AL170" s="22">
        <f t="shared" si="165"/>
        <v>1.0676332069095257E-12</v>
      </c>
      <c r="AM170" s="62">
        <f t="shared" si="113"/>
        <v>293.33333333333439</v>
      </c>
      <c r="AN170" s="62">
        <f ca="1">AVERAGE(OFFSET($AM$3,0,0,'Données projet'!$E$10+1,1))-AVERAGE(OFFSET($H$3,0,0,'Données projet'!$E$10+1,1))</f>
        <v>157.21429387424644</v>
      </c>
      <c r="AO170" s="62">
        <f t="shared" si="144"/>
        <v>264.58225136820056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7.2553737835013052</v>
      </c>
      <c r="AV170" s="23">
        <f>EXP(-LN(2)/25)*AV169+(1-EXP(-LN(2)/25))/(LN(2)/25)*Calculateur!AQ170*Calculateur!AS170*VLOOKUP('Données projet'!$B$10,Paramètres!$A$1:$I$89,3,0)*0.475*44/12</f>
        <v>7.4903493931243251E-2</v>
      </c>
      <c r="AW170" s="23">
        <f>EXP(-LN(2)/2)*AW169+(1-EXP(-LN(2)/2))/(LN(2)/2)*AQ170*AT170*VLOOKUP('Données projet'!$B$10,Paramètres!$A$1:$I$89,3,0)*0.475*44/12</f>
        <v>2.6389863703999008E-18</v>
      </c>
      <c r="AX170" s="23">
        <f t="shared" si="166"/>
        <v>7.3302772774325486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5.6843418860808015E-14</v>
      </c>
      <c r="AJ171" s="14">
        <f>AI171*VLOOKUP('Données projet'!$B$10,Paramètres!$A$1:$I$89,3,0)*VLOOKUP('Données projet'!$B$10,Paramètres!$A$1:$I$89,5,0)</f>
        <v>3.3992364478763198E-14</v>
      </c>
      <c r="AK171" s="14">
        <f t="shared" si="164"/>
        <v>5.790027782444094E-13</v>
      </c>
      <c r="AL171" s="22">
        <f t="shared" si="165"/>
        <v>1.0676332069095257E-12</v>
      </c>
      <c r="AM171" s="62">
        <f t="shared" si="113"/>
        <v>293.33333333333439</v>
      </c>
      <c r="AN171" s="62">
        <f ca="1">AVERAGE(OFFSET($AM$3,0,0,'Données projet'!$E$10+1,1))-AVERAGE(OFFSET($H$3,0,0,'Données projet'!$E$10+1,1))</f>
        <v>157.21429387424644</v>
      </c>
      <c r="AO171" s="62">
        <f t="shared" si="144"/>
        <v>264.58225136820056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7.113100328947886</v>
      </c>
      <c r="AV171" s="23">
        <f>EXP(-LN(2)/25)*AV170+(1-EXP(-LN(2)/25))/(LN(2)/25)*Calculateur!AQ171*Calculateur!AS171*VLOOKUP('Données projet'!$B$10,Paramètres!$A$1:$I$89,3,0)*0.475*44/12</f>
        <v>7.2855253950689855E-2</v>
      </c>
      <c r="AW171" s="23">
        <f>EXP(-LN(2)/2)*AW170+(1-EXP(-LN(2)/2))/(LN(2)/2)*AQ171*AT171*VLOOKUP('Données projet'!$B$10,Paramètres!$A$1:$I$89,3,0)*0.475*44/12</f>
        <v>1.8660451579686439E-18</v>
      </c>
      <c r="AX171" s="23">
        <f t="shared" si="166"/>
        <v>7.1859555828985755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5.6843418860808015E-14</v>
      </c>
      <c r="AJ172" s="14">
        <f>AI172*VLOOKUP('Données projet'!$B$10,Paramètres!$A$1:$I$89,3,0)*VLOOKUP('Données projet'!$B$10,Paramètres!$A$1:$I$89,5,0)</f>
        <v>3.3992364478763198E-14</v>
      </c>
      <c r="AK172" s="14">
        <f t="shared" si="164"/>
        <v>5.790027782444094E-13</v>
      </c>
      <c r="AL172" s="22">
        <f t="shared" si="165"/>
        <v>1.0676332069095257E-12</v>
      </c>
      <c r="AM172" s="62">
        <f t="shared" si="113"/>
        <v>293.33333333333439</v>
      </c>
      <c r="AN172" s="62">
        <f ca="1">AVERAGE(OFFSET($AM$3,0,0,'Données projet'!$E$10+1,1))-AVERAGE(OFFSET($H$3,0,0,'Données projet'!$E$10+1,1))</f>
        <v>157.21429387424644</v>
      </c>
      <c r="AO172" s="62">
        <f t="shared" si="144"/>
        <v>264.58225136820056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6.9736167700600209</v>
      </c>
      <c r="AV172" s="23">
        <f>EXP(-LN(2)/25)*AV171+(1-EXP(-LN(2)/25))/(LN(2)/25)*Calculateur!AQ172*Calculateur!AS172*VLOOKUP('Données projet'!$B$10,Paramètres!$A$1:$I$89,3,0)*0.475*44/12</f>
        <v>7.0863023200116948E-2</v>
      </c>
      <c r="AW172" s="23">
        <f>EXP(-LN(2)/2)*AW171+(1-EXP(-LN(2)/2))/(LN(2)/2)*AQ172*AT172*VLOOKUP('Données projet'!$B$10,Paramètres!$A$1:$I$89,3,0)*0.475*44/12</f>
        <v>1.3194931851999504E-18</v>
      </c>
      <c r="AX172" s="23">
        <f t="shared" si="166"/>
        <v>7.0444797932601375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5.6843418860808015E-14</v>
      </c>
      <c r="AJ173" s="14">
        <f>AI173*VLOOKUP('Données projet'!$B$10,Paramètres!$A$1:$I$89,3,0)*VLOOKUP('Données projet'!$B$10,Paramètres!$A$1:$I$89,5,0)</f>
        <v>3.3992364478763198E-14</v>
      </c>
      <c r="AK173" s="14">
        <f t="shared" si="164"/>
        <v>5.790027782444094E-13</v>
      </c>
      <c r="AL173" s="22">
        <f t="shared" si="165"/>
        <v>1.0676332069095257E-12</v>
      </c>
      <c r="AM173" s="62">
        <f t="shared" si="113"/>
        <v>293.33333333333439</v>
      </c>
      <c r="AN173" s="62">
        <f ca="1">AVERAGE(OFFSET($AM$3,0,0,'Données projet'!$E$10+1,1))-AVERAGE(OFFSET($H$3,0,0,'Données projet'!$E$10+1,1))</f>
        <v>157.21429387424644</v>
      </c>
      <c r="AO173" s="62">
        <f t="shared" si="144"/>
        <v>264.58225136820056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6.8368683986853771</v>
      </c>
      <c r="AV173" s="23">
        <f>EXP(-LN(2)/25)*AV172+(1-EXP(-LN(2)/25))/(LN(2)/25)*Calculateur!AQ173*Calculateur!AS173*VLOOKUP('Données projet'!$B$10,Paramètres!$A$1:$I$89,3,0)*0.475*44/12</f>
        <v>6.8925270104185324E-2</v>
      </c>
      <c r="AW173" s="23">
        <f>EXP(-LN(2)/2)*AW172+(1-EXP(-LN(2)/2))/(LN(2)/2)*AQ173*AT173*VLOOKUP('Données projet'!$B$10,Paramètres!$A$1:$I$89,3,0)*0.475*44/12</f>
        <v>9.3302257898432196E-19</v>
      </c>
      <c r="AX173" s="23">
        <f t="shared" si="166"/>
        <v>6.9057936687895625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5.6843418860808015E-14</v>
      </c>
      <c r="AJ174" s="14">
        <f>AI174*VLOOKUP('Données projet'!$B$10,Paramètres!$A$1:$I$89,3,0)*VLOOKUP('Données projet'!$B$10,Paramètres!$A$1:$I$89,5,0)</f>
        <v>3.3992364478763198E-14</v>
      </c>
      <c r="AK174" s="14">
        <f t="shared" si="164"/>
        <v>5.790027782444094E-13</v>
      </c>
      <c r="AL174" s="22">
        <f t="shared" si="165"/>
        <v>1.0676332069095257E-12</v>
      </c>
      <c r="AM174" s="62">
        <f t="shared" si="113"/>
        <v>293.33333333333439</v>
      </c>
      <c r="AN174" s="62">
        <f ca="1">AVERAGE(OFFSET($AM$3,0,0,'Données projet'!$E$10+1,1))-AVERAGE(OFFSET($H$3,0,0,'Données projet'!$E$10+1,1))</f>
        <v>157.21429387424644</v>
      </c>
      <c r="AO174" s="62">
        <f t="shared" si="144"/>
        <v>264.58225136820056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6.7028015794651195</v>
      </c>
      <c r="AV174" s="23">
        <f>EXP(-LN(2)/25)*AV173+(1-EXP(-LN(2)/25))/(LN(2)/25)*Calculateur!AQ174*Calculateur!AS174*VLOOKUP('Données projet'!$B$10,Paramètres!$A$1:$I$89,3,0)*0.475*44/12</f>
        <v>6.7040504968563952E-2</v>
      </c>
      <c r="AW174" s="23">
        <f>EXP(-LN(2)/2)*AW173+(1-EXP(-LN(2)/2))/(LN(2)/2)*AQ174*AT174*VLOOKUP('Données projet'!$B$10,Paramètres!$A$1:$I$89,3,0)*0.475*44/12</f>
        <v>6.597465925999752E-19</v>
      </c>
      <c r="AX174" s="23">
        <f t="shared" si="166"/>
        <v>6.7698420844336837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5.6843418860808015E-14</v>
      </c>
      <c r="AJ175" s="14">
        <f>AI175*VLOOKUP('Données projet'!$B$10,Paramètres!$A$1:$I$89,3,0)*VLOOKUP('Données projet'!$B$10,Paramètres!$A$1:$I$89,5,0)</f>
        <v>3.3992364478763198E-14</v>
      </c>
      <c r="AK175" s="14">
        <f t="shared" si="164"/>
        <v>5.790027782444094E-13</v>
      </c>
      <c r="AL175" s="22">
        <f t="shared" si="165"/>
        <v>1.0676332069095257E-12</v>
      </c>
      <c r="AM175" s="62">
        <f t="shared" si="113"/>
        <v>293.33333333333439</v>
      </c>
      <c r="AN175" s="62">
        <f ca="1">AVERAGE(OFFSET($AM$3,0,0,'Données projet'!$E$10+1,1))-AVERAGE(OFFSET($H$3,0,0,'Données projet'!$E$10+1,1))</f>
        <v>157.21429387424644</v>
      </c>
      <c r="AO175" s="62">
        <f t="shared" si="144"/>
        <v>264.58225136820056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6.5713637287970856</v>
      </c>
      <c r="AV175" s="23">
        <f>EXP(-LN(2)/25)*AV174+(1-EXP(-LN(2)/25))/(LN(2)/25)*Calculateur!AQ175*Calculateur!AS175*VLOOKUP('Données projet'!$B$10,Paramètres!$A$1:$I$89,3,0)*0.475*44/12</f>
        <v>6.5207278834691643E-2</v>
      </c>
      <c r="AW175" s="23">
        <f>EXP(-LN(2)/2)*AW174+(1-EXP(-LN(2)/2))/(LN(2)/2)*AQ175*AT175*VLOOKUP('Données projet'!$B$10,Paramètres!$A$1:$I$89,3,0)*0.475*44/12</f>
        <v>4.6651128949216098E-19</v>
      </c>
      <c r="AX175" s="23">
        <f t="shared" si="166"/>
        <v>6.636571007631777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5.6843418860808015E-14</v>
      </c>
      <c r="AJ176" s="14">
        <f>AI176*VLOOKUP('Données projet'!$B$10,Paramètres!$A$1:$I$89,3,0)*VLOOKUP('Données projet'!$B$10,Paramètres!$A$1:$I$89,5,0)</f>
        <v>3.3992364478763198E-14</v>
      </c>
      <c r="AK176" s="14">
        <f t="shared" si="164"/>
        <v>5.790027782444094E-13</v>
      </c>
      <c r="AL176" s="22">
        <f t="shared" si="165"/>
        <v>1.0676332069095257E-12</v>
      </c>
      <c r="AM176" s="62">
        <f t="shared" si="113"/>
        <v>293.33333333333439</v>
      </c>
      <c r="AN176" s="62">
        <f ca="1">AVERAGE(OFFSET($AM$3,0,0,'Données projet'!$E$10+1,1))-AVERAGE(OFFSET($H$3,0,0,'Données projet'!$E$10+1,1))</f>
        <v>157.21429387424644</v>
      </c>
      <c r="AO176" s="62">
        <f t="shared" si="144"/>
        <v>264.58225136820056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6.4425032942114786</v>
      </c>
      <c r="AV176" s="23">
        <f>EXP(-LN(2)/25)*AV175+(1-EXP(-LN(2)/25))/(LN(2)/25)*Calculateur!AQ176*Calculateur!AS176*VLOOKUP('Données projet'!$B$10,Paramètres!$A$1:$I$89,3,0)*0.475*44/12</f>
        <v>6.3424182365855244E-2</v>
      </c>
      <c r="AW176" s="23">
        <f>EXP(-LN(2)/2)*AW175+(1-EXP(-LN(2)/2))/(LN(2)/2)*AQ176*AT176*VLOOKUP('Données projet'!$B$10,Paramètres!$A$1:$I$89,3,0)*0.475*44/12</f>
        <v>3.298732962999876E-19</v>
      </c>
      <c r="AX176" s="23">
        <f t="shared" si="166"/>
        <v>6.5059274765773338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5.6843418860808015E-14</v>
      </c>
      <c r="AJ177" s="14">
        <f>AI177*VLOOKUP('Données projet'!$B$10,Paramètres!$A$1:$I$89,3,0)*VLOOKUP('Données projet'!$B$10,Paramètres!$A$1:$I$89,5,0)</f>
        <v>3.3992364478763198E-14</v>
      </c>
      <c r="AK177" s="14">
        <f t="shared" si="164"/>
        <v>5.790027782444094E-13</v>
      </c>
      <c r="AL177" s="22">
        <f t="shared" si="165"/>
        <v>1.0676332069095257E-12</v>
      </c>
      <c r="AM177" s="62">
        <f t="shared" si="113"/>
        <v>293.33333333333439</v>
      </c>
      <c r="AN177" s="62">
        <f ca="1">AVERAGE(OFFSET($AM$3,0,0,'Données projet'!$E$10+1,1))-AVERAGE(OFFSET($H$3,0,0,'Données projet'!$E$10+1,1))</f>
        <v>157.21429387424644</v>
      </c>
      <c r="AO177" s="62">
        <f t="shared" si="144"/>
        <v>264.58225136820056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6.316169734150991</v>
      </c>
      <c r="AV177" s="23">
        <f>EXP(-LN(2)/25)*AV176+(1-EXP(-LN(2)/25))/(LN(2)/25)*Calculateur!AQ177*Calculateur!AS177*VLOOKUP('Données projet'!$B$10,Paramètres!$A$1:$I$89,3,0)*0.475*44/12</f>
        <v>6.1689844763728137E-2</v>
      </c>
      <c r="AW177" s="23">
        <f>EXP(-LN(2)/2)*AW176+(1-EXP(-LN(2)/2))/(LN(2)/2)*AQ177*AT177*VLOOKUP('Données projet'!$B$10,Paramètres!$A$1:$I$89,3,0)*0.475*44/12</f>
        <v>2.3325564474608049E-19</v>
      </c>
      <c r="AX177" s="23">
        <f t="shared" si="166"/>
        <v>6.3778595789147188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5.6843418860808015E-14</v>
      </c>
      <c r="AJ178" s="14">
        <f>AI178*VLOOKUP('Données projet'!$B$10,Paramètres!$A$1:$I$89,3,0)*VLOOKUP('Données projet'!$B$10,Paramètres!$A$1:$I$89,5,0)</f>
        <v>3.3992364478763198E-14</v>
      </c>
      <c r="AK178" s="14">
        <f t="shared" si="164"/>
        <v>5.790027782444094E-13</v>
      </c>
      <c r="AL178" s="22">
        <f t="shared" si="165"/>
        <v>1.0676332069095257E-12</v>
      </c>
      <c r="AM178" s="62">
        <f t="shared" si="113"/>
        <v>293.33333333333439</v>
      </c>
      <c r="AN178" s="62">
        <f ca="1">AVERAGE(OFFSET($AM$3,0,0,'Données projet'!$E$10+1,1))-AVERAGE(OFFSET($H$3,0,0,'Données projet'!$E$10+1,1))</f>
        <v>157.21429387424644</v>
      </c>
      <c r="AO178" s="62">
        <f t="shared" si="144"/>
        <v>264.58225136820056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6.1923134981474268</v>
      </c>
      <c r="AV178" s="23">
        <f>EXP(-LN(2)/25)*AV177+(1-EXP(-LN(2)/25))/(LN(2)/25)*Calculateur!AQ178*Calculateur!AS178*VLOOKUP('Données projet'!$B$10,Paramètres!$A$1:$I$89,3,0)*0.475*44/12</f>
        <v>6.000293271453605E-2</v>
      </c>
      <c r="AW178" s="23">
        <f>EXP(-LN(2)/2)*AW177+(1-EXP(-LN(2)/2))/(LN(2)/2)*AQ178*AT178*VLOOKUP('Données projet'!$B$10,Paramètres!$A$1:$I$89,3,0)*0.475*44/12</f>
        <v>1.649366481499938E-19</v>
      </c>
      <c r="AX178" s="23">
        <f t="shared" si="166"/>
        <v>6.2523164308619625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5.6843418860808015E-14</v>
      </c>
      <c r="AJ179" s="14">
        <f>AI179*VLOOKUP('Données projet'!$B$10,Paramètres!$A$1:$I$89,3,0)*VLOOKUP('Données projet'!$B$10,Paramètres!$A$1:$I$89,5,0)</f>
        <v>3.3992364478763198E-14</v>
      </c>
      <c r="AK179" s="14">
        <f t="shared" si="164"/>
        <v>5.790027782444094E-13</v>
      </c>
      <c r="AL179" s="22">
        <f t="shared" si="165"/>
        <v>1.0676332069095257E-12</v>
      </c>
      <c r="AM179" s="62">
        <f t="shared" si="113"/>
        <v>293.33333333333439</v>
      </c>
      <c r="AN179" s="62">
        <f ca="1">AVERAGE(OFFSET($AM$3,0,0,'Données projet'!$E$10+1,1))-AVERAGE(OFFSET($H$3,0,0,'Données projet'!$E$10+1,1))</f>
        <v>157.21429387424644</v>
      </c>
      <c r="AO179" s="62">
        <f t="shared" si="144"/>
        <v>264.58225136820056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6.0708860073870481</v>
      </c>
      <c r="AV179" s="23">
        <f>EXP(-LN(2)/25)*AV178+(1-EXP(-LN(2)/25))/(LN(2)/25)*Calculateur!AQ179*Calculateur!AS179*VLOOKUP('Données projet'!$B$10,Paramètres!$A$1:$I$89,3,0)*0.475*44/12</f>
        <v>5.8362149364039967E-2</v>
      </c>
      <c r="AW179" s="23">
        <f>EXP(-LN(2)/2)*AW178+(1-EXP(-LN(2)/2))/(LN(2)/2)*AQ179*AT179*VLOOKUP('Données projet'!$B$10,Paramètres!$A$1:$I$89,3,0)*0.475*44/12</f>
        <v>1.1662782237304025E-19</v>
      </c>
      <c r="AX179" s="23">
        <f t="shared" si="166"/>
        <v>6.1292481567510881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5.6843418860808015E-14</v>
      </c>
      <c r="AJ180" s="14">
        <f>AI180*VLOOKUP('Données projet'!$B$10,Paramètres!$A$1:$I$89,3,0)*VLOOKUP('Données projet'!$B$10,Paramètres!$A$1:$I$89,5,0)</f>
        <v>3.3992364478763198E-14</v>
      </c>
      <c r="AK180" s="14">
        <f t="shared" si="164"/>
        <v>5.790027782444094E-13</v>
      </c>
      <c r="AL180" s="22">
        <f t="shared" si="165"/>
        <v>1.0676332069095257E-12</v>
      </c>
      <c r="AM180" s="62">
        <f t="shared" si="113"/>
        <v>293.33333333333439</v>
      </c>
      <c r="AN180" s="62">
        <f ca="1">AVERAGE(OFFSET($AM$3,0,0,'Données projet'!$E$10+1,1))-AVERAGE(OFFSET($H$3,0,0,'Données projet'!$E$10+1,1))</f>
        <v>157.21429387424644</v>
      </c>
      <c r="AO180" s="62">
        <f t="shared" si="144"/>
        <v>264.58225136820056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5.9518396356570245</v>
      </c>
      <c r="AV180" s="23">
        <f>EXP(-LN(2)/25)*AV179+(1-EXP(-LN(2)/25))/(LN(2)/25)*Calculateur!AQ180*Calculateur!AS180*VLOOKUP('Données projet'!$B$10,Paramètres!$A$1:$I$89,3,0)*0.475*44/12</f>
        <v>5.6766233320548247E-2</v>
      </c>
      <c r="AW180" s="23">
        <f>EXP(-LN(2)/2)*AW179+(1-EXP(-LN(2)/2))/(LN(2)/2)*AQ180*AT180*VLOOKUP('Données projet'!$B$10,Paramètres!$A$1:$I$89,3,0)*0.475*44/12</f>
        <v>8.24683240749969E-20</v>
      </c>
      <c r="AX180" s="23">
        <f t="shared" si="166"/>
        <v>6.0086058689775728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5.6843418860808015E-14</v>
      </c>
      <c r="AJ181" s="14">
        <f>AI181*VLOOKUP('Données projet'!$B$10,Paramètres!$A$1:$I$89,3,0)*VLOOKUP('Données projet'!$B$10,Paramètres!$A$1:$I$89,5,0)</f>
        <v>3.3992364478763198E-14</v>
      </c>
      <c r="AK181" s="14">
        <f t="shared" si="164"/>
        <v>5.790027782444094E-13</v>
      </c>
      <c r="AL181" s="22">
        <f t="shared" si="165"/>
        <v>1.0676332069095257E-12</v>
      </c>
      <c r="AM181" s="62">
        <f t="shared" si="113"/>
        <v>293.33333333333439</v>
      </c>
      <c r="AN181" s="62">
        <f ca="1">AVERAGE(OFFSET($AM$3,0,0,'Données projet'!$E$10+1,1))-AVERAGE(OFFSET($H$3,0,0,'Données projet'!$E$10+1,1))</f>
        <v>157.21429387424644</v>
      </c>
      <c r="AO181" s="62">
        <f t="shared" si="144"/>
        <v>264.58225136820056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5.8351276906655096</v>
      </c>
      <c r="AV181" s="23">
        <f>EXP(-LN(2)/25)*AV180+(1-EXP(-LN(2)/25))/(LN(2)/25)*Calculateur!AQ181*Calculateur!AS181*VLOOKUP('Données projet'!$B$10,Paramètres!$A$1:$I$89,3,0)*0.475*44/12</f>
        <v>5.5213957685191384E-2</v>
      </c>
      <c r="AW181" s="23">
        <f>EXP(-LN(2)/2)*AW180+(1-EXP(-LN(2)/2))/(LN(2)/2)*AQ181*AT181*VLOOKUP('Données projet'!$B$10,Paramètres!$A$1:$I$89,3,0)*0.475*44/12</f>
        <v>5.8313911186520123E-20</v>
      </c>
      <c r="AX181" s="23">
        <f t="shared" si="166"/>
        <v>5.8903416483507014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5.6843418860808015E-14</v>
      </c>
      <c r="AJ182" s="14">
        <f>AI182*VLOOKUP('Données projet'!$B$10,Paramètres!$A$1:$I$89,3,0)*VLOOKUP('Données projet'!$B$10,Paramètres!$A$1:$I$89,5,0)</f>
        <v>3.3992364478763198E-14</v>
      </c>
      <c r="AK182" s="14">
        <f t="shared" si="164"/>
        <v>5.790027782444094E-13</v>
      </c>
      <c r="AL182" s="22">
        <f t="shared" si="165"/>
        <v>1.0676332069095257E-12</v>
      </c>
      <c r="AM182" s="62">
        <f t="shared" si="113"/>
        <v>293.33333333333439</v>
      </c>
      <c r="AN182" s="62">
        <f ca="1">AVERAGE(OFFSET($AM$3,0,0,'Données projet'!$E$10+1,1))-AVERAGE(OFFSET($H$3,0,0,'Données projet'!$E$10+1,1))</f>
        <v>157.21429387424644</v>
      </c>
      <c r="AO182" s="62">
        <f t="shared" si="144"/>
        <v>264.58225136820056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5.7207043957280206</v>
      </c>
      <c r="AV182" s="23">
        <f>EXP(-LN(2)/25)*AV181+(1-EXP(-LN(2)/25))/(LN(2)/25)*Calculateur!AQ182*Calculateur!AS182*VLOOKUP('Données projet'!$B$10,Paramètres!$A$1:$I$89,3,0)*0.475*44/12</f>
        <v>5.3704129108713985E-2</v>
      </c>
      <c r="AW182" s="23">
        <f>EXP(-LN(2)/2)*AW181+(1-EXP(-LN(2)/2))/(LN(2)/2)*AQ182*AT182*VLOOKUP('Données projet'!$B$10,Paramètres!$A$1:$I$89,3,0)*0.475*44/12</f>
        <v>4.123416203749845E-20</v>
      </c>
      <c r="AX182" s="23">
        <f t="shared" si="166"/>
        <v>5.7744085248367343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5.6843418860808015E-14</v>
      </c>
      <c r="AJ183" s="14">
        <f>AI183*VLOOKUP('Données projet'!$B$10,Paramètres!$A$1:$I$89,3,0)*VLOOKUP('Données projet'!$B$10,Paramètres!$A$1:$I$89,5,0)</f>
        <v>3.3992364478763198E-14</v>
      </c>
      <c r="AK183" s="14">
        <f t="shared" si="164"/>
        <v>5.790027782444094E-13</v>
      </c>
      <c r="AL183" s="22">
        <f t="shared" si="165"/>
        <v>1.0676332069095257E-12</v>
      </c>
      <c r="AM183" s="62">
        <f t="shared" si="113"/>
        <v>293.33333333333439</v>
      </c>
      <c r="AN183" s="62">
        <f ca="1">AVERAGE(OFFSET($AM$3,0,0,'Données projet'!$E$10+1,1))-AVERAGE(OFFSET($H$3,0,0,'Données projet'!$E$10+1,1))</f>
        <v>157.21429387424644</v>
      </c>
      <c r="AO183" s="62">
        <f t="shared" si="144"/>
        <v>264.58225136820056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5.6085248718129375</v>
      </c>
      <c r="AV183" s="23">
        <f>EXP(-LN(2)/25)*AV182+(1-EXP(-LN(2)/25))/(LN(2)/25)*Calculateur!AQ183*Calculateur!AS183*VLOOKUP('Données projet'!$B$10,Paramètres!$A$1:$I$89,3,0)*0.475*44/12</f>
        <v>5.2235586874058791E-2</v>
      </c>
      <c r="AW183" s="23">
        <f>EXP(-LN(2)/2)*AW182+(1-EXP(-LN(2)/2))/(LN(2)/2)*AQ183*AT183*VLOOKUP('Données projet'!$B$10,Paramètres!$A$1:$I$89,3,0)*0.475*44/12</f>
        <v>2.9156955593260061E-20</v>
      </c>
      <c r="AX183" s="23">
        <f t="shared" si="166"/>
        <v>5.6607604586869966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5.6843418860808015E-14</v>
      </c>
      <c r="AJ184" s="14">
        <f>AI184*VLOOKUP('Données projet'!$B$10,Paramètres!$A$1:$I$89,3,0)*VLOOKUP('Données projet'!$B$10,Paramètres!$A$1:$I$89,5,0)</f>
        <v>3.3992364478763198E-14</v>
      </c>
      <c r="AK184" s="14">
        <f t="shared" si="164"/>
        <v>5.790027782444094E-13</v>
      </c>
      <c r="AL184" s="22">
        <f t="shared" si="165"/>
        <v>1.0676332069095257E-12</v>
      </c>
      <c r="AM184" s="62">
        <f t="shared" si="113"/>
        <v>293.33333333333439</v>
      </c>
      <c r="AN184" s="62">
        <f ca="1">AVERAGE(OFFSET($AM$3,0,0,'Données projet'!$E$10+1,1))-AVERAGE(OFFSET($H$3,0,0,'Données projet'!$E$10+1,1))</f>
        <v>157.21429387424644</v>
      </c>
      <c r="AO184" s="62">
        <f t="shared" si="144"/>
        <v>264.58225136820056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5.4985451199390756</v>
      </c>
      <c r="AV184" s="23">
        <f>EXP(-LN(2)/25)*AV183+(1-EXP(-LN(2)/25))/(LN(2)/25)*Calculateur!AQ184*Calculateur!AS184*VLOOKUP('Données projet'!$B$10,Paramètres!$A$1:$I$89,3,0)*0.475*44/12</f>
        <v>5.0807202004037523E-2</v>
      </c>
      <c r="AW184" s="23">
        <f>EXP(-LN(2)/2)*AW183+(1-EXP(-LN(2)/2))/(LN(2)/2)*AQ184*AT184*VLOOKUP('Données projet'!$B$10,Paramètres!$A$1:$I$89,3,0)*0.475*44/12</f>
        <v>2.0617081018749225E-20</v>
      </c>
      <c r="AX184" s="23">
        <f t="shared" si="166"/>
        <v>5.5493523219431129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5.6843418860808015E-14</v>
      </c>
      <c r="AJ185" s="14">
        <f>AI185*VLOOKUP('Données projet'!$B$10,Paramètres!$A$1:$I$89,3,0)*VLOOKUP('Données projet'!$B$10,Paramètres!$A$1:$I$89,5,0)</f>
        <v>3.3992364478763198E-14</v>
      </c>
      <c r="AK185" s="14">
        <f t="shared" si="164"/>
        <v>5.790027782444094E-13</v>
      </c>
      <c r="AL185" s="22">
        <f t="shared" si="165"/>
        <v>1.0676332069095257E-12</v>
      </c>
      <c r="AM185" s="62">
        <f t="shared" si="113"/>
        <v>293.33333333333439</v>
      </c>
      <c r="AN185" s="62">
        <f ca="1">AVERAGE(OFFSET($AM$3,0,0,'Données projet'!$E$10+1,1))-AVERAGE(OFFSET($H$3,0,0,'Données projet'!$E$10+1,1))</f>
        <v>157.21429387424644</v>
      </c>
      <c r="AO185" s="62">
        <f t="shared" si="144"/>
        <v>264.58225136820056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5.3907220039184347</v>
      </c>
      <c r="AV185" s="23">
        <f>EXP(-LN(2)/25)*AV184+(1-EXP(-LN(2)/25))/(LN(2)/25)*Calculateur!AQ185*Calculateur!AS185*VLOOKUP('Données projet'!$B$10,Paramètres!$A$1:$I$89,3,0)*0.475*44/12</f>
        <v>4.9417876393402484E-2</v>
      </c>
      <c r="AW185" s="23">
        <f>EXP(-LN(2)/2)*AW184+(1-EXP(-LN(2)/2))/(LN(2)/2)*AQ185*AT185*VLOOKUP('Données projet'!$B$10,Paramètres!$A$1:$I$89,3,0)*0.475*44/12</f>
        <v>1.4578477796630031E-20</v>
      </c>
      <c r="AX185" s="23">
        <f t="shared" si="166"/>
        <v>5.440139880311837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5.6843418860808015E-14</v>
      </c>
      <c r="AJ186" s="14">
        <f>AI186*VLOOKUP('Données projet'!$B$10,Paramètres!$A$1:$I$89,3,0)*VLOOKUP('Données projet'!$B$10,Paramètres!$A$1:$I$89,5,0)</f>
        <v>3.3992364478763198E-14</v>
      </c>
      <c r="AK186" s="14">
        <f t="shared" si="164"/>
        <v>5.790027782444094E-13</v>
      </c>
      <c r="AL186" s="22">
        <f t="shared" si="165"/>
        <v>1.0676332069095257E-12</v>
      </c>
      <c r="AM186" s="62">
        <f t="shared" si="113"/>
        <v>293.33333333333439</v>
      </c>
      <c r="AN186" s="62">
        <f ca="1">AVERAGE(OFFSET($AM$3,0,0,'Données projet'!$E$10+1,1))-AVERAGE(OFFSET($H$3,0,0,'Données projet'!$E$10+1,1))</f>
        <v>157.21429387424644</v>
      </c>
      <c r="AO186" s="62">
        <f t="shared" si="144"/>
        <v>264.58225136820056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5.2850132334373523</v>
      </c>
      <c r="AV186" s="23">
        <f>EXP(-LN(2)/25)*AV185+(1-EXP(-LN(2)/25))/(LN(2)/25)*Calculateur!AQ186*Calculateur!AS186*VLOOKUP('Données projet'!$B$10,Paramètres!$A$1:$I$89,3,0)*0.475*44/12</f>
        <v>4.8066541964651717E-2</v>
      </c>
      <c r="AW186" s="23">
        <f>EXP(-LN(2)/2)*AW185+(1-EXP(-LN(2)/2))/(LN(2)/2)*AQ186*AT186*VLOOKUP('Données projet'!$B$10,Paramètres!$A$1:$I$89,3,0)*0.475*44/12</f>
        <v>1.0308540509374613E-20</v>
      </c>
      <c r="AX186" s="23">
        <f t="shared" si="166"/>
        <v>5.3330797754020036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5.6843418860808015E-14</v>
      </c>
      <c r="AJ187" s="14">
        <f>AI187*VLOOKUP('Données projet'!$B$10,Paramètres!$A$1:$I$89,3,0)*VLOOKUP('Données projet'!$B$10,Paramètres!$A$1:$I$89,5,0)</f>
        <v>3.3992364478763198E-14</v>
      </c>
      <c r="AK187" s="14">
        <f t="shared" si="164"/>
        <v>5.790027782444094E-13</v>
      </c>
      <c r="AL187" s="22">
        <f t="shared" si="165"/>
        <v>1.0676332069095257E-12</v>
      </c>
      <c r="AM187" s="62">
        <f t="shared" si="113"/>
        <v>293.33333333333439</v>
      </c>
      <c r="AN187" s="62">
        <f ca="1">AVERAGE(OFFSET($AM$3,0,0,'Données projet'!$E$10+1,1))-AVERAGE(OFFSET($H$3,0,0,'Données projet'!$E$10+1,1))</f>
        <v>157.21429387424644</v>
      </c>
      <c r="AO187" s="62">
        <f t="shared" si="144"/>
        <v>264.58225136820056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5.1813773474694198</v>
      </c>
      <c r="AV187" s="23">
        <f>EXP(-LN(2)/25)*AV186+(1-EXP(-LN(2)/25))/(LN(2)/25)*Calculateur!AQ187*Calculateur!AS187*VLOOKUP('Données projet'!$B$10,Paramètres!$A$1:$I$89,3,0)*0.475*44/12</f>
        <v>4.6752159846918731E-2</v>
      </c>
      <c r="AW187" s="23">
        <f>EXP(-LN(2)/2)*AW186+(1-EXP(-LN(2)/2))/(LN(2)/2)*AQ187*AT187*VLOOKUP('Données projet'!$B$10,Paramètres!$A$1:$I$89,3,0)*0.475*44/12</f>
        <v>7.2892388983150153E-21</v>
      </c>
      <c r="AX187" s="23">
        <f t="shared" si="166"/>
        <v>5.2281295073163383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5.6843418860808015E-14</v>
      </c>
      <c r="AJ188" s="14">
        <f>AI188*VLOOKUP('Données projet'!$B$10,Paramètres!$A$1:$I$89,3,0)*VLOOKUP('Données projet'!$B$10,Paramètres!$A$1:$I$89,5,0)</f>
        <v>3.3992364478763198E-14</v>
      </c>
      <c r="AK188" s="14">
        <f t="shared" si="164"/>
        <v>5.790027782444094E-13</v>
      </c>
      <c r="AL188" s="22">
        <f t="shared" si="165"/>
        <v>1.0676332069095257E-12</v>
      </c>
      <c r="AM188" s="62">
        <f t="shared" si="113"/>
        <v>293.33333333333439</v>
      </c>
      <c r="AN188" s="62">
        <f ca="1">AVERAGE(OFFSET($AM$3,0,0,'Données projet'!$E$10+1,1))-AVERAGE(OFFSET($H$3,0,0,'Données projet'!$E$10+1,1))</f>
        <v>157.21429387424644</v>
      </c>
      <c r="AO188" s="62">
        <f t="shared" si="144"/>
        <v>264.58225136820056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5.0797736980136703</v>
      </c>
      <c r="AV188" s="23">
        <f>EXP(-LN(2)/25)*AV187+(1-EXP(-LN(2)/25))/(LN(2)/25)*Calculateur!AQ188*Calculateur!AS188*VLOOKUP('Données projet'!$B$10,Paramètres!$A$1:$I$89,3,0)*0.475*44/12</f>
        <v>4.5473719577315504E-2</v>
      </c>
      <c r="AW188" s="23">
        <f>EXP(-LN(2)/2)*AW187+(1-EXP(-LN(2)/2))/(LN(2)/2)*AQ188*AT188*VLOOKUP('Données projet'!$B$10,Paramètres!$A$1:$I$89,3,0)*0.475*44/12</f>
        <v>5.1542702546873063E-21</v>
      </c>
      <c r="AX188" s="23">
        <f t="shared" si="166"/>
        <v>5.1252474175909857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5.6843418860808015E-14</v>
      </c>
      <c r="AJ189" s="14">
        <f>AI189*VLOOKUP('Données projet'!$B$10,Paramètres!$A$1:$I$89,3,0)*VLOOKUP('Données projet'!$B$10,Paramètres!$A$1:$I$89,5,0)</f>
        <v>3.3992364478763198E-14</v>
      </c>
      <c r="AK189" s="14">
        <f t="shared" si="164"/>
        <v>5.790027782444094E-13</v>
      </c>
      <c r="AL189" s="22">
        <f t="shared" si="165"/>
        <v>1.0676332069095257E-12</v>
      </c>
      <c r="AM189" s="62">
        <f t="shared" si="113"/>
        <v>293.33333333333439</v>
      </c>
      <c r="AN189" s="62">
        <f ca="1">AVERAGE(OFFSET($AM$3,0,0,'Données projet'!$E$10+1,1))-AVERAGE(OFFSET($H$3,0,0,'Données projet'!$E$10+1,1))</f>
        <v>157.21429387424644</v>
      </c>
      <c r="AO189" s="62">
        <f t="shared" si="144"/>
        <v>264.58225136820056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4.9801624341516408</v>
      </c>
      <c r="AV189" s="23">
        <f>EXP(-LN(2)/25)*AV188+(1-EXP(-LN(2)/25))/(LN(2)/25)*Calculateur!AQ189*Calculateur!AS189*VLOOKUP('Données projet'!$B$10,Paramètres!$A$1:$I$89,3,0)*0.475*44/12</f>
        <v>4.423023832411483E-2</v>
      </c>
      <c r="AW189" s="23">
        <f>EXP(-LN(2)/2)*AW188+(1-EXP(-LN(2)/2))/(LN(2)/2)*AQ189*AT189*VLOOKUP('Données projet'!$B$10,Paramètres!$A$1:$I$89,3,0)*0.475*44/12</f>
        <v>3.6446194491575077E-21</v>
      </c>
      <c r="AX189" s="23">
        <f t="shared" si="166"/>
        <v>5.0243926724757557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5.6843418860808015E-14</v>
      </c>
      <c r="AJ190" s="14">
        <f>AI190*VLOOKUP('Données projet'!$B$10,Paramètres!$A$1:$I$89,3,0)*VLOOKUP('Données projet'!$B$10,Paramètres!$A$1:$I$89,5,0)</f>
        <v>3.3992364478763198E-14</v>
      </c>
      <c r="AK190" s="14">
        <f t="shared" si="164"/>
        <v>5.790027782444094E-13</v>
      </c>
      <c r="AL190" s="22">
        <f t="shared" si="165"/>
        <v>1.0676332069095257E-12</v>
      </c>
      <c r="AM190" s="62">
        <f t="shared" si="113"/>
        <v>293.33333333333439</v>
      </c>
      <c r="AN190" s="62">
        <f ca="1">AVERAGE(OFFSET($AM$3,0,0,'Données projet'!$E$10+1,1))-AVERAGE(OFFSET($H$3,0,0,'Données projet'!$E$10+1,1))</f>
        <v>157.21429387424644</v>
      </c>
      <c r="AO190" s="62">
        <f t="shared" si="144"/>
        <v>264.58225136820056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4.8825044864170737</v>
      </c>
      <c r="AV190" s="23">
        <f>EXP(-LN(2)/25)*AV189+(1-EXP(-LN(2)/25))/(LN(2)/25)*Calculateur!AQ190*Calculateur!AS190*VLOOKUP('Données projet'!$B$10,Paramètres!$A$1:$I$89,3,0)*0.475*44/12</f>
        <v>4.3020760131174764E-2</v>
      </c>
      <c r="AW190" s="23">
        <f>EXP(-LN(2)/2)*AW189+(1-EXP(-LN(2)/2))/(LN(2)/2)*AQ190*AT190*VLOOKUP('Données projet'!$B$10,Paramètres!$A$1:$I$89,3,0)*0.475*44/12</f>
        <v>2.5771351273436531E-21</v>
      </c>
      <c r="AX190" s="23">
        <f t="shared" si="166"/>
        <v>4.9255252465482489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5.6843418860808015E-14</v>
      </c>
      <c r="AJ191" s="14">
        <f>AI191*VLOOKUP('Données projet'!$B$10,Paramètres!$A$1:$I$89,3,0)*VLOOKUP('Données projet'!$B$10,Paramètres!$A$1:$I$89,5,0)</f>
        <v>3.3992364478763198E-14</v>
      </c>
      <c r="AK191" s="14">
        <f t="shared" si="164"/>
        <v>5.790027782444094E-13</v>
      </c>
      <c r="AL191" s="22">
        <f t="shared" si="165"/>
        <v>1.0676332069095257E-12</v>
      </c>
      <c r="AM191" s="62">
        <f t="shared" si="113"/>
        <v>293.33333333333439</v>
      </c>
      <c r="AN191" s="62">
        <f ca="1">AVERAGE(OFFSET($AM$3,0,0,'Données projet'!$E$10+1,1))-AVERAGE(OFFSET($H$3,0,0,'Données projet'!$E$10+1,1))</f>
        <v>157.21429387424644</v>
      </c>
      <c r="AO191" s="62">
        <f t="shared" si="144"/>
        <v>264.58225136820056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4.7867615514721154</v>
      </c>
      <c r="AV191" s="23">
        <f>EXP(-LN(2)/25)*AV190+(1-EXP(-LN(2)/25))/(LN(2)/25)*Calculateur!AQ191*Calculateur!AS191*VLOOKUP('Données projet'!$B$10,Paramètres!$A$1:$I$89,3,0)*0.475*44/12</f>
        <v>4.1844355183024338E-2</v>
      </c>
      <c r="AW191" s="23">
        <f>EXP(-LN(2)/2)*AW190+(1-EXP(-LN(2)/2))/(LN(2)/2)*AQ191*AT191*VLOOKUP('Données projet'!$B$10,Paramètres!$A$1:$I$89,3,0)*0.475*44/12</f>
        <v>1.8223097245787538E-21</v>
      </c>
      <c r="AX191" s="23">
        <f t="shared" si="166"/>
        <v>4.8286059066551399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5.6843418860808015E-14</v>
      </c>
      <c r="AJ192" s="14">
        <f>AI192*VLOOKUP('Données projet'!$B$10,Paramètres!$A$1:$I$89,3,0)*VLOOKUP('Données projet'!$B$10,Paramètres!$A$1:$I$89,5,0)</f>
        <v>3.3992364478763198E-14</v>
      </c>
      <c r="AK192" s="14">
        <f t="shared" si="164"/>
        <v>5.790027782444094E-13</v>
      </c>
      <c r="AL192" s="22">
        <f t="shared" si="165"/>
        <v>1.0676332069095257E-12</v>
      </c>
      <c r="AM192" s="62">
        <f t="shared" si="113"/>
        <v>293.33333333333439</v>
      </c>
      <c r="AN192" s="62">
        <f ca="1">AVERAGE(OFFSET($AM$3,0,0,'Données projet'!$E$10+1,1))-AVERAGE(OFFSET($H$3,0,0,'Données projet'!$E$10+1,1))</f>
        <v>157.21429387424644</v>
      </c>
      <c r="AO192" s="62">
        <f t="shared" si="144"/>
        <v>264.58225136820056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4.6928960770840034</v>
      </c>
      <c r="AV192" s="23">
        <f>EXP(-LN(2)/25)*AV191+(1-EXP(-LN(2)/25))/(LN(2)/25)*Calculateur!AQ192*Calculateur!AS192*VLOOKUP('Données projet'!$B$10,Paramètres!$A$1:$I$89,3,0)*0.475*44/12</f>
        <v>4.0700119090045533E-2</v>
      </c>
      <c r="AW192" s="23">
        <f>EXP(-LN(2)/2)*AW191+(1-EXP(-LN(2)/2))/(LN(2)/2)*AQ192*AT192*VLOOKUP('Données projet'!$B$10,Paramètres!$A$1:$I$89,3,0)*0.475*44/12</f>
        <v>1.2885675636718266E-21</v>
      </c>
      <c r="AX192" s="23">
        <f t="shared" si="166"/>
        <v>4.7335961961740489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5.6843418860808015E-14</v>
      </c>
      <c r="AJ193" s="14">
        <f>AI193*VLOOKUP('Données projet'!$B$10,Paramètres!$A$1:$I$89,3,0)*VLOOKUP('Données projet'!$B$10,Paramètres!$A$1:$I$89,5,0)</f>
        <v>3.3992364478763198E-14</v>
      </c>
      <c r="AK193" s="14">
        <f t="shared" si="164"/>
        <v>5.790027782444094E-13</v>
      </c>
      <c r="AL193" s="22">
        <f t="shared" si="165"/>
        <v>1.0676332069095257E-12</v>
      </c>
      <c r="AM193" s="62">
        <f t="shared" si="113"/>
        <v>293.33333333333439</v>
      </c>
      <c r="AN193" s="62">
        <f ca="1">AVERAGE(OFFSET($AM$3,0,0,'Données projet'!$E$10+1,1))-AVERAGE(OFFSET($H$3,0,0,'Données projet'!$E$10+1,1))</f>
        <v>157.21429387424644</v>
      </c>
      <c r="AO193" s="62">
        <f t="shared" si="144"/>
        <v>264.58225136820056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4.6008712473963564</v>
      </c>
      <c r="AV193" s="23">
        <f>EXP(-LN(2)/25)*AV192+(1-EXP(-LN(2)/25))/(LN(2)/25)*Calculateur!AQ193*Calculateur!AS193*VLOOKUP('Données projet'!$B$10,Paramètres!$A$1:$I$89,3,0)*0.475*44/12</f>
        <v>3.9587172193202E-2</v>
      </c>
      <c r="AW193" s="23">
        <f>EXP(-LN(2)/2)*AW192+(1-EXP(-LN(2)/2))/(LN(2)/2)*AQ193*AT193*VLOOKUP('Données projet'!$B$10,Paramètres!$A$1:$I$89,3,0)*0.475*44/12</f>
        <v>9.1115486228937691E-22</v>
      </c>
      <c r="AX193" s="23">
        <f t="shared" si="166"/>
        <v>4.6404584195895584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5.6843418860808015E-14</v>
      </c>
      <c r="AJ194" s="14">
        <f>AI194*VLOOKUP('Données projet'!$B$10,Paramètres!$A$1:$I$89,3,0)*VLOOKUP('Données projet'!$B$10,Paramètres!$A$1:$I$89,5,0)</f>
        <v>3.3992364478763198E-14</v>
      </c>
      <c r="AK194" s="14">
        <f t="shared" si="164"/>
        <v>5.790027782444094E-13</v>
      </c>
      <c r="AL194" s="22">
        <f t="shared" si="165"/>
        <v>1.0676332069095257E-12</v>
      </c>
      <c r="AM194" s="62">
        <f t="shared" si="113"/>
        <v>293.33333333333439</v>
      </c>
      <c r="AN194" s="62">
        <f ca="1">AVERAGE(OFFSET($AM$3,0,0,'Données projet'!$E$10+1,1))-AVERAGE(OFFSET($H$3,0,0,'Données projet'!$E$10+1,1))</f>
        <v>157.21429387424644</v>
      </c>
      <c r="AO194" s="62">
        <f t="shared" si="144"/>
        <v>264.58225136820056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4.5106509684892799</v>
      </c>
      <c r="AV194" s="23">
        <f>EXP(-LN(2)/25)*AV193+(1-EXP(-LN(2)/25))/(LN(2)/25)*Calculateur!AQ194*Calculateur!AS194*VLOOKUP('Données projet'!$B$10,Paramètres!$A$1:$I$89,3,0)*0.475*44/12</f>
        <v>3.8504658887779986E-2</v>
      </c>
      <c r="AW194" s="23">
        <f>EXP(-LN(2)/2)*AW193+(1-EXP(-LN(2)/2))/(LN(2)/2)*AQ194*AT194*VLOOKUP('Données projet'!$B$10,Paramètres!$A$1:$I$89,3,0)*0.475*44/12</f>
        <v>6.4428378183591328E-22</v>
      </c>
      <c r="AX194" s="23">
        <f t="shared" si="166"/>
        <v>4.5491556273770595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5.6843418860808015E-14</v>
      </c>
      <c r="AJ195" s="14">
        <f>AI195*VLOOKUP('Données projet'!$B$10,Paramètres!$A$1:$I$89,3,0)*VLOOKUP('Données projet'!$B$10,Paramètres!$A$1:$I$89,5,0)</f>
        <v>3.3992364478763198E-14</v>
      </c>
      <c r="AK195" s="14">
        <f t="shared" si="164"/>
        <v>5.790027782444094E-13</v>
      </c>
      <c r="AL195" s="22">
        <f t="shared" si="165"/>
        <v>1.0676332069095257E-12</v>
      </c>
      <c r="AM195" s="62">
        <f t="shared" si="113"/>
        <v>293.33333333333439</v>
      </c>
      <c r="AN195" s="62">
        <f ca="1">AVERAGE(OFFSET($AM$3,0,0,'Données projet'!$E$10+1,1))-AVERAGE(OFFSET($H$3,0,0,'Données projet'!$E$10+1,1))</f>
        <v>157.21429387424644</v>
      </c>
      <c r="AO195" s="62">
        <f t="shared" si="144"/>
        <v>264.58225136820056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4.4221998542226348</v>
      </c>
      <c r="AV195" s="23">
        <f>EXP(-LN(2)/25)*AV194+(1-EXP(-LN(2)/25))/(LN(2)/25)*Calculateur!AQ195*Calculateur!AS195*VLOOKUP('Données projet'!$B$10,Paramètres!$A$1:$I$89,3,0)*0.475*44/12</f>
        <v>3.7451746965621632E-2</v>
      </c>
      <c r="AW195" s="23">
        <f>EXP(-LN(2)/2)*AW194+(1-EXP(-LN(2)/2))/(LN(2)/2)*AQ195*AT195*VLOOKUP('Données projet'!$B$10,Paramètres!$A$1:$I$89,3,0)*0.475*44/12</f>
        <v>4.5557743114468846E-22</v>
      </c>
      <c r="AX195" s="23">
        <f t="shared" si="166"/>
        <v>4.4596516011882565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5.6843418860808015E-14</v>
      </c>
      <c r="AJ196" s="14">
        <f>AI196*VLOOKUP('Données projet'!$B$10,Paramètres!$A$1:$I$89,3,0)*VLOOKUP('Données projet'!$B$10,Paramètres!$A$1:$I$89,5,0)</f>
        <v>3.3992364478763198E-14</v>
      </c>
      <c r="AK196" s="14">
        <f t="shared" si="164"/>
        <v>5.790027782444094E-13</v>
      </c>
      <c r="AL196" s="22">
        <f t="shared" si="165"/>
        <v>1.0676332069095257E-12</v>
      </c>
      <c r="AM196" s="62">
        <f t="shared" ref="AM196:AM203" si="193">AL196+(AD196+AE196)*44/12</f>
        <v>293.33333333333439</v>
      </c>
      <c r="AN196" s="62">
        <f ca="1">AVERAGE(OFFSET($AM$3,0,0,'Données projet'!$E$10+1,1))-AVERAGE(OFFSET($H$3,0,0,'Données projet'!$E$10+1,1))</f>
        <v>157.21429387424644</v>
      </c>
      <c r="AO196" s="62">
        <f t="shared" si="144"/>
        <v>264.58225136820056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4.3354832123569063</v>
      </c>
      <c r="AV196" s="23">
        <f>EXP(-LN(2)/25)*AV195+(1-EXP(-LN(2)/25))/(LN(2)/25)*Calculateur!AQ196*Calculateur!AS196*VLOOKUP('Données projet'!$B$10,Paramètres!$A$1:$I$89,3,0)*0.475*44/12</f>
        <v>3.6427626975344934E-2</v>
      </c>
      <c r="AW196" s="23">
        <f>EXP(-LN(2)/2)*AW195+(1-EXP(-LN(2)/2))/(LN(2)/2)*AQ196*AT196*VLOOKUP('Données projet'!$B$10,Paramètres!$A$1:$I$89,3,0)*0.475*44/12</f>
        <v>3.2214189091795664E-22</v>
      </c>
      <c r="AX196" s="23">
        <f t="shared" si="166"/>
        <v>4.3719108393322514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5.6843418860808015E-14</v>
      </c>
      <c r="AJ197" s="14">
        <f>AI197*VLOOKUP('Données projet'!$B$10,Paramètres!$A$1:$I$89,3,0)*VLOOKUP('Données projet'!$B$10,Paramètres!$A$1:$I$89,5,0)</f>
        <v>3.3992364478763198E-14</v>
      </c>
      <c r="AK197" s="14">
        <f t="shared" si="164"/>
        <v>5.790027782444094E-13</v>
      </c>
      <c r="AL197" s="22">
        <f t="shared" si="165"/>
        <v>1.0676332069095257E-12</v>
      </c>
      <c r="AM197" s="62">
        <f t="shared" si="193"/>
        <v>293.33333333333439</v>
      </c>
      <c r="AN197" s="62">
        <f ca="1">AVERAGE(OFFSET($AM$3,0,0,'Données projet'!$E$10+1,1))-AVERAGE(OFFSET($H$3,0,0,'Données projet'!$E$10+1,1))</f>
        <v>157.21429387424644</v>
      </c>
      <c r="AO197" s="62">
        <f t="shared" ref="AO197:AO203" si="205">$AO$3</f>
        <v>264.58225136820056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4.2504670309462353</v>
      </c>
      <c r="AV197" s="23">
        <f>EXP(-LN(2)/25)*AV196+(1-EXP(-LN(2)/25))/(LN(2)/25)*Calculateur!AQ197*Calculateur!AS197*VLOOKUP('Données projet'!$B$10,Paramètres!$A$1:$I$89,3,0)*0.475*44/12</f>
        <v>3.5431511600058481E-2</v>
      </c>
      <c r="AW197" s="23">
        <f>EXP(-LN(2)/2)*AW196+(1-EXP(-LN(2)/2))/(LN(2)/2)*AQ197*AT197*VLOOKUP('Données projet'!$B$10,Paramètres!$A$1:$I$89,3,0)*0.475*44/12</f>
        <v>2.2778871557234423E-22</v>
      </c>
      <c r="AX197" s="23">
        <f t="shared" si="166"/>
        <v>4.2858985425462937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5.6843418860808015E-14</v>
      </c>
      <c r="AJ198" s="14">
        <f>AI198*VLOOKUP('Données projet'!$B$10,Paramètres!$A$1:$I$89,3,0)*VLOOKUP('Données projet'!$B$10,Paramètres!$A$1:$I$89,5,0)</f>
        <v>3.3992364478763198E-14</v>
      </c>
      <c r="AK198" s="14">
        <f t="shared" si="164"/>
        <v>5.790027782444094E-13</v>
      </c>
      <c r="AL198" s="22">
        <f t="shared" si="165"/>
        <v>1.0676332069095257E-12</v>
      </c>
      <c r="AM198" s="62">
        <f t="shared" si="193"/>
        <v>293.33333333333439</v>
      </c>
      <c r="AN198" s="62">
        <f ca="1">AVERAGE(OFFSET($AM$3,0,0,'Données projet'!$E$10+1,1))-AVERAGE(OFFSET($H$3,0,0,'Données projet'!$E$10+1,1))</f>
        <v>157.21429387424644</v>
      </c>
      <c r="AO198" s="62">
        <f t="shared" si="205"/>
        <v>264.58225136820056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4.1671179649982779</v>
      </c>
      <c r="AV198" s="23">
        <f>EXP(-LN(2)/25)*AV197+(1-EXP(-LN(2)/25))/(LN(2)/25)*Calculateur!AQ198*Calculateur!AS198*VLOOKUP('Données projet'!$B$10,Paramètres!$A$1:$I$89,3,0)*0.475*44/12</f>
        <v>3.4462635052092669E-2</v>
      </c>
      <c r="AW198" s="23">
        <f>EXP(-LN(2)/2)*AW197+(1-EXP(-LN(2)/2))/(LN(2)/2)*AQ198*AT198*VLOOKUP('Données projet'!$B$10,Paramètres!$A$1:$I$89,3,0)*0.475*44/12</f>
        <v>1.6107094545897832E-22</v>
      </c>
      <c r="AX198" s="23">
        <f t="shared" si="166"/>
        <v>4.2015806000503702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5.6843418860808015E-14</v>
      </c>
      <c r="AJ199" s="14">
        <f>AI199*VLOOKUP('Données projet'!$B$10,Paramètres!$A$1:$I$89,3,0)*VLOOKUP('Données projet'!$B$10,Paramètres!$A$1:$I$89,5,0)</f>
        <v>3.3992364478763198E-14</v>
      </c>
      <c r="AK199" s="14">
        <f t="shared" si="164"/>
        <v>5.790027782444094E-13</v>
      </c>
      <c r="AL199" s="22">
        <f t="shared" si="165"/>
        <v>1.0676332069095257E-12</v>
      </c>
      <c r="AM199" s="62">
        <f t="shared" si="193"/>
        <v>293.33333333333439</v>
      </c>
      <c r="AN199" s="62">
        <f ca="1">AVERAGE(OFFSET($AM$3,0,0,'Données projet'!$E$10+1,1))-AVERAGE(OFFSET($H$3,0,0,'Données projet'!$E$10+1,1))</f>
        <v>157.21429387424644</v>
      </c>
      <c r="AO199" s="62">
        <f t="shared" si="205"/>
        <v>264.58225136820056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4.0854033233956493</v>
      </c>
      <c r="AV199" s="23">
        <f>EXP(-LN(2)/25)*AV198+(1-EXP(-LN(2)/25))/(LN(2)/25)*Calculateur!AQ199*Calculateur!AS199*VLOOKUP('Données projet'!$B$10,Paramètres!$A$1:$I$89,3,0)*0.475*44/12</f>
        <v>3.3520252484281983E-2</v>
      </c>
      <c r="AW199" s="23">
        <f>EXP(-LN(2)/2)*AW198+(1-EXP(-LN(2)/2))/(LN(2)/2)*AQ199*AT199*VLOOKUP('Données projet'!$B$10,Paramètres!$A$1:$I$89,3,0)*0.475*44/12</f>
        <v>1.1389435778617211E-22</v>
      </c>
      <c r="AX199" s="23">
        <f t="shared" si="166"/>
        <v>4.118923575879931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5.6843418860808015E-14</v>
      </c>
      <c r="AJ200" s="14">
        <f>AI200*VLOOKUP('Données projet'!$B$10,Paramètres!$A$1:$I$89,3,0)*VLOOKUP('Données projet'!$B$10,Paramètres!$A$1:$I$89,5,0)</f>
        <v>3.3992364478763198E-14</v>
      </c>
      <c r="AK200" s="14">
        <f t="shared" si="164"/>
        <v>5.790027782444094E-13</v>
      </c>
      <c r="AL200" s="22">
        <f t="shared" si="165"/>
        <v>1.0676332069095257E-12</v>
      </c>
      <c r="AM200" s="62">
        <f t="shared" si="193"/>
        <v>293.33333333333439</v>
      </c>
      <c r="AN200" s="62">
        <f ca="1">AVERAGE(OFFSET($AM$3,0,0,'Données projet'!$E$10+1,1))-AVERAGE(OFFSET($H$3,0,0,'Données projet'!$E$10+1,1))</f>
        <v>157.21429387424644</v>
      </c>
      <c r="AO200" s="62">
        <f t="shared" si="205"/>
        <v>264.58225136820056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4.0052910560738377</v>
      </c>
      <c r="AV200" s="23">
        <f>EXP(-LN(2)/25)*AV199+(1-EXP(-LN(2)/25))/(LN(2)/25)*Calculateur!AQ200*Calculateur!AS200*VLOOKUP('Données projet'!$B$10,Paramètres!$A$1:$I$89,3,0)*0.475*44/12</f>
        <v>3.2603639417345828E-2</v>
      </c>
      <c r="AW200" s="23">
        <f>EXP(-LN(2)/2)*AW199+(1-EXP(-LN(2)/2))/(LN(2)/2)*AQ200*AT200*VLOOKUP('Données projet'!$B$10,Paramètres!$A$1:$I$89,3,0)*0.475*44/12</f>
        <v>8.053547272948916E-23</v>
      </c>
      <c r="AX200" s="23">
        <f t="shared" si="166"/>
        <v>4.0378946954911834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5.6843418860808015E-14</v>
      </c>
      <c r="AJ201" s="14">
        <f>AI201*VLOOKUP('Données projet'!$B$10,Paramètres!$A$1:$I$89,3,0)*VLOOKUP('Données projet'!$B$10,Paramètres!$A$1:$I$89,5,0)</f>
        <v>3.3992364478763198E-14</v>
      </c>
      <c r="AK201" s="14">
        <f t="shared" si="164"/>
        <v>5.790027782444094E-13</v>
      </c>
      <c r="AL201" s="22">
        <f t="shared" si="165"/>
        <v>1.0676332069095257E-12</v>
      </c>
      <c r="AM201" s="62">
        <f t="shared" si="193"/>
        <v>293.33333333333439</v>
      </c>
      <c r="AN201" s="62">
        <f ca="1">AVERAGE(OFFSET($AM$3,0,0,'Données projet'!$E$10+1,1))-AVERAGE(OFFSET($H$3,0,0,'Données projet'!$E$10+1,1))</f>
        <v>157.21429387424644</v>
      </c>
      <c r="AO201" s="62">
        <f t="shared" si="205"/>
        <v>264.58225136820056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3.926749741450549</v>
      </c>
      <c r="AV201" s="23">
        <f>EXP(-LN(2)/25)*AV200+(1-EXP(-LN(2)/25))/(LN(2)/25)*Calculateur!AQ201*Calculateur!AS201*VLOOKUP('Données projet'!$B$10,Paramètres!$A$1:$I$89,3,0)*0.475*44/12</f>
        <v>3.1712091182927629E-2</v>
      </c>
      <c r="AW201" s="23">
        <f>EXP(-LN(2)/2)*AW200+(1-EXP(-LN(2)/2))/(LN(2)/2)*AQ201*AT201*VLOOKUP('Données projet'!$B$10,Paramètres!$A$1:$I$89,3,0)*0.475*44/12</f>
        <v>5.6947178893086057E-23</v>
      </c>
      <c r="AX201" s="23">
        <f t="shared" si="166"/>
        <v>3.9584618326334766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5.6843418860808015E-14</v>
      </c>
      <c r="AJ202" s="14">
        <f>AI202*VLOOKUP('Données projet'!$B$10,Paramètres!$A$1:$I$89,3,0)*VLOOKUP('Données projet'!$B$10,Paramètres!$A$1:$I$89,5,0)</f>
        <v>3.3992364478763198E-14</v>
      </c>
      <c r="AK202" s="14">
        <f t="shared" si="164"/>
        <v>5.790027782444094E-13</v>
      </c>
      <c r="AL202" s="22">
        <f t="shared" si="165"/>
        <v>1.0676332069095257E-12</v>
      </c>
      <c r="AM202" s="62">
        <f t="shared" si="193"/>
        <v>293.33333333333439</v>
      </c>
      <c r="AN202" s="62">
        <f ca="1">AVERAGE(OFFSET($AM$3,0,0,'Données projet'!$E$10+1,1))-AVERAGE(OFFSET($H$3,0,0,'Données projet'!$E$10+1,1))</f>
        <v>157.21429387424644</v>
      </c>
      <c r="AO202" s="62">
        <f t="shared" si="205"/>
        <v>264.58225136820056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3.8497485741015516</v>
      </c>
      <c r="AV202" s="23">
        <f>EXP(-LN(2)/25)*AV201+(1-EXP(-LN(2)/25))/(LN(2)/25)*Calculateur!AQ202*Calculateur!AS202*VLOOKUP('Données projet'!$B$10,Paramètres!$A$1:$I$89,3,0)*0.475*44/12</f>
        <v>3.0844922381864075E-2</v>
      </c>
      <c r="AW202" s="23">
        <f>EXP(-LN(2)/2)*AW201+(1-EXP(-LN(2)/2))/(LN(2)/2)*AQ202*AT202*VLOOKUP('Données projet'!$B$10,Paramètres!$A$1:$I$89,3,0)*0.475*44/12</f>
        <v>4.026773636474458E-23</v>
      </c>
      <c r="AX202" s="23">
        <f t="shared" si="166"/>
        <v>3.8805934964834154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5.6843418860808015E-14</v>
      </c>
      <c r="AJ203" s="14">
        <f>AI203*VLOOKUP('Données projet'!$B$10,Paramètres!$A$1:$I$89,3,0)*VLOOKUP('Données projet'!$B$10,Paramètres!$A$1:$I$89,5,0)</f>
        <v>3.3992364478763198E-14</v>
      </c>
      <c r="AK203" s="14">
        <f t="shared" si="164"/>
        <v>5.790027782444094E-13</v>
      </c>
      <c r="AL203" s="22">
        <f t="shared" si="165"/>
        <v>1.0676332069095257E-12</v>
      </c>
      <c r="AM203" s="62">
        <f t="shared" si="193"/>
        <v>293.33333333333439</v>
      </c>
      <c r="AN203" s="62">
        <f ca="1">AVERAGE(OFFSET($AM$3,0,0,'Données projet'!$E$10+1,1))-AVERAGE(OFFSET($H$3,0,0,'Données projet'!$E$10+1,1))</f>
        <v>157.21429387424644</v>
      </c>
      <c r="AO203" s="62">
        <f t="shared" si="205"/>
        <v>264.58225136820056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3.7742573526781933</v>
      </c>
      <c r="AV203" s="23">
        <f>EXP(-LN(2)/25)*AV202+(1-EXP(-LN(2)/25))/(LN(2)/25)*Calculateur!AQ203*Calculateur!AS203*VLOOKUP('Données projet'!$B$10,Paramètres!$A$1:$I$89,3,0)*0.475*44/12</f>
        <v>3.0001466357268032E-2</v>
      </c>
      <c r="AW203" s="23">
        <f>EXP(-LN(2)/2)*AW202+(1-EXP(-LN(2)/2))/(LN(2)/2)*AQ203*AT203*VLOOKUP('Données projet'!$B$10,Paramètres!$A$1:$I$89,3,0)*0.475*44/12</f>
        <v>2.8473589446543029E-23</v>
      </c>
      <c r="AX203" s="23">
        <f t="shared" si="166"/>
        <v>3.8042588190354611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1.3939124009120489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N9" sqref="N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5.1983999999999995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767.95513136643319</v>
      </c>
      <c r="G6" s="156">
        <f ca="1">F6*(100%-'Données projet'!$C$24)*(100%-'Données projet'!$C$25)*(100%-'Données projet'!$C$26)*(100%-'Données projet'!$C$27)</f>
        <v>469.98854039625712</v>
      </c>
      <c r="H6" s="157">
        <f>IF(OR('Données projet'!B9="",'Données projet'!C9="",'Données projet'!C9=0%),0,AVERAGE(Calculateur!$AC$3:$AC$33)*B6)</f>
        <v>78.147952461648785</v>
      </c>
      <c r="I6" s="158">
        <f>H6*(100%-'Données projet'!$C$24)*(100%-'Données projet'!$C$25)*(100%-'Données projet'!$C$26)*(100%-'Données projet'!$C$27)</f>
        <v>47.826546906529053</v>
      </c>
      <c r="J6" s="159">
        <f>IF(OR('Données projet'!B9="",'Données projet'!C9="",'Données projet'!C9=0%),0,SUM(Calculateur!$V$3:$V$33)*VLOOKUP('Données projet'!$B$9,Paramètres!$A$1:$I$89,9,0)*B6)</f>
        <v>1355.6387519999996</v>
      </c>
      <c r="K6" s="160">
        <f>J6*(100%-'Données projet'!$C$24)*(100%-'Données projet'!$C$25)*(100%-'Données projet'!$C$26)*(100%-'Données projet'!$C$27)</f>
        <v>829.65091622399973</v>
      </c>
      <c r="L6" s="161">
        <f ca="1">G6+I6+K6</f>
        <v>1347.4660035267859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maritime</v>
      </c>
      <c r="B7" s="163">
        <f>'Données projet'!D10</f>
        <v>9.2416</v>
      </c>
      <c r="C7" s="156">
        <f ca="1">IF(OR('Données projet'!B10="",'Données projet'!C10="",'Données projet'!C10=0%),0,Calculateur!AN3)</f>
        <v>157.21429387424644</v>
      </c>
      <c r="D7" s="156">
        <f>IF(OR('Données projet'!B10="",'Données projet'!C10="",'Données projet'!C10=0%),0,Calculateur!AO3)</f>
        <v>264.58225136820056</v>
      </c>
      <c r="E7" s="156">
        <f t="shared" ref="E7:E15" ca="1" si="0">MIN(C7,D7)</f>
        <v>157.21429387424644</v>
      </c>
      <c r="F7" s="156">
        <f t="shared" ref="F7:F15" ca="1" si="1">E7*B7</f>
        <v>1452.9116182682358</v>
      </c>
      <c r="G7" s="156">
        <f ca="1">F7*(100%-'Données projet'!$C$24)*(100%-'Données projet'!$C$25)*(100%-'Données projet'!$C$26)*(100%-'Données projet'!$C$27)</f>
        <v>889.18191038016039</v>
      </c>
      <c r="H7" s="164">
        <f>IF(OR('Données projet'!B10="",'Données projet'!C10="",'Données projet'!C10=0%),0,AVERAGE(Calculateur!$AX$3:$AX$33)*B7)</f>
        <v>75.661438289086277</v>
      </c>
      <c r="I7" s="158">
        <f>H7*(100%-'Données projet'!$C$24)*(100%-'Données projet'!$C$25)*(100%-'Données projet'!$C$26)*(100%-'Données projet'!$C$27)</f>
        <v>46.304800232920805</v>
      </c>
      <c r="J7" s="159">
        <f>IF(OR('Données projet'!B10="",'Données projet'!C10="",'Données projet'!C10=0%),0,SUM(Calculateur!$AQ$3:$AQ$33)*VLOOKUP('Données projet'!$B$10,Paramètres!$A$1:$I$89,9,0)*B7)</f>
        <v>594.32729600000005</v>
      </c>
      <c r="K7" s="160">
        <f>J7*(100%-'Données projet'!$C$24)*(100%-'Données projet'!$C$25)*(100%-'Données projet'!$C$26)*(100%-'Données projet'!$C$27)</f>
        <v>363.72830515200002</v>
      </c>
      <c r="L7" s="161">
        <f t="shared" ref="L7:L15" ca="1" si="2">G7+I7+K7</f>
        <v>1299.2150157650813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2220.8667496346688</v>
      </c>
      <c r="G16" s="175">
        <f t="shared" ca="1" si="3"/>
        <v>1359.1704507764175</v>
      </c>
      <c r="H16" s="176">
        <f t="shared" si="3"/>
        <v>153.80939075073508</v>
      </c>
      <c r="I16" s="176">
        <f t="shared" si="3"/>
        <v>94.131347139449858</v>
      </c>
      <c r="J16" s="177">
        <f t="shared" si="3"/>
        <v>1949.9660479999998</v>
      </c>
      <c r="K16" s="177">
        <f t="shared" si="3"/>
        <v>1193.3792213759998</v>
      </c>
      <c r="L16" s="178">
        <f t="shared" ca="1" si="3"/>
        <v>2646.6810192918674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maritime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zoomScale="90" zoomScaleNormal="90" workbookViewId="0">
      <selection activeCell="H27" sqref="H2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5.1983999999999995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maritime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9.2416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maritime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13</v>
      </c>
      <c r="B54" s="193">
        <f>'Données projet'!D62</f>
        <v>15</v>
      </c>
      <c r="C54" s="206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19</v>
      </c>
      <c r="B55" s="193">
        <f>'Données projet'!D63</f>
        <v>40</v>
      </c>
      <c r="C55" s="206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25</v>
      </c>
      <c r="B56" s="193">
        <f>'Données projet'!D64</f>
        <v>54</v>
      </c>
      <c r="C56" s="206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38</v>
      </c>
      <c r="B57" s="193">
        <f>'Données projet'!D65</f>
        <v>338</v>
      </c>
      <c r="C57" s="206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2023-10-27T07:33:15Z</dcterms:modified>
</cp:coreProperties>
</file>